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omments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4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5.xml" ContentType="application/vnd.openxmlformats-officedocument.spreadsheetml.comments+xml"/>
  <Override PartName="/xl/drawings/drawing22.xml" ContentType="application/vnd.openxmlformats-officedocument.drawing+xml"/>
  <Override PartName="/xl/comments6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7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8.xml" ContentType="application/vnd.openxmlformats-officedocument.spreadsheetml.comments+xml"/>
  <Override PartName="/xl/drawings/drawing27.xml" ContentType="application/vnd.openxmlformats-officedocument.drawing+xml"/>
  <Override PartName="/xl/comments9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0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11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2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3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4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omments15.xml" ContentType="application/vnd.openxmlformats-officedocument.spreadsheetml.comments+xml"/>
  <Override PartName="/xl/drawings/drawing47.xml" ContentType="application/vnd.openxmlformats-officedocument.drawing+xml"/>
  <Override PartName="/xl/comments16.xml" ContentType="application/vnd.openxmlformats-officedocument.spreadsheetml.comment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תוכנית עבודה 2024\הצעת תקציב 2024\"/>
    </mc:Choice>
  </mc:AlternateContent>
  <bookViews>
    <workbookView xWindow="0" yWindow="0" windowWidth="28800" windowHeight="12468" firstSheet="8" activeTab="16"/>
  </bookViews>
  <sheets>
    <sheet name="כותרת" sheetId="348" r:id="rId1"/>
    <sheet name="תוכן ענינים" sheetId="46" r:id="rId2"/>
    <sheet name="מבוא" sheetId="39" r:id="rId3"/>
    <sheet name="תקציב 2023" sheetId="40" r:id="rId4"/>
    <sheet name="תקציב 2024 " sheetId="41" r:id="rId5"/>
    <sheet name="תקציב 2024 פרקים" sheetId="61" r:id="rId6"/>
    <sheet name="תקציב 2024  אגפים " sheetId="42" r:id="rId7"/>
    <sheet name="תקציב 2024  מקורות " sheetId="100" r:id="rId8"/>
    <sheet name="תקציב 2024 קרנות הרשות" sheetId="38" r:id="rId9"/>
    <sheet name="תקציב 2024 סעיף 3.7-3.9" sheetId="43" r:id="rId10"/>
    <sheet name="תרשים אגפים" sheetId="65" state="hidden" r:id="rId11"/>
    <sheet name="ריכוז אגפים" sheetId="12" r:id="rId12"/>
    <sheet name="תרשים פרקים" sheetId="98" state="hidden" r:id="rId13"/>
    <sheet name="ריכוז פרקים" sheetId="97" r:id="rId14"/>
    <sheet name="פרוט מקורות אחרים" sheetId="44" r:id="rId15"/>
    <sheet name="תרשים מקורות מימון" sheetId="66" state="hidden" r:id="rId16"/>
    <sheet name="הנדסה 2024" sheetId="67" r:id="rId17"/>
    <sheet name="הנדסה 2024 " sheetId="163" r:id="rId18"/>
    <sheet name="תקציב הנדסה 2024" sheetId="350" r:id="rId19"/>
    <sheet name="תקציב הנדסה 2024 תאור" sheetId="395" r:id="rId20"/>
    <sheet name="תקציב הנדסה 2024 פרקים" sheetId="384" state="hidden" r:id="rId21"/>
    <sheet name="החברה לפיתוח 2024" sheetId="68" r:id="rId22"/>
    <sheet name="החב. לפיתוח 2024" sheetId="99" r:id="rId23"/>
    <sheet name="תקציב החברה לפיתוח 2024" sheetId="313" r:id="rId24"/>
    <sheet name="תקציב החברה לפיתוח 2023 תאור" sheetId="337" state="hidden" r:id="rId25"/>
    <sheet name="תקציב החברה לפיתוח 2023  פרקים" sheetId="336" state="hidden" r:id="rId26"/>
    <sheet name="תקציב החברה לפיתוח 2024 תאור" sheetId="396" r:id="rId27"/>
    <sheet name="תקציב החברה לפיתוח 2024 פרקים" sheetId="385" state="hidden" r:id="rId28"/>
    <sheet name="מינהל תפעול 2024" sheetId="69" r:id="rId29"/>
    <sheet name="מינהל תפעול  2024 " sheetId="160" r:id="rId30"/>
    <sheet name="תקציב מינהל תפעול 2024 " sheetId="351" r:id="rId31"/>
    <sheet name="תקציב מינהל תפעול 2023 תאור" sheetId="339" state="hidden" r:id="rId32"/>
    <sheet name="תקציב מינהל תפעול 2023 פרקים" sheetId="340" state="hidden" r:id="rId33"/>
    <sheet name="תקציב מינהל תפעול 2024 תאור" sheetId="397" r:id="rId34"/>
    <sheet name="תקציב מינהל תפעול 2024 פרקים" sheetId="386" state="hidden" r:id="rId35"/>
    <sheet name="מינהל חינוך 2024" sheetId="72" r:id="rId36"/>
    <sheet name="תקציב מינהל חינוך 2024 " sheetId="352" r:id="rId37"/>
    <sheet name="תקציב מינהל חינוך 2023 פרקים" sheetId="341" state="hidden" r:id="rId38"/>
    <sheet name="תקציב מינהל חינוך 2024 פרקים" sheetId="387" state="hidden" r:id="rId39"/>
    <sheet name="אגף ספורט 2024" sheetId="74" r:id="rId40"/>
    <sheet name="תקציב אגף ספורט 2024" sheetId="353" r:id="rId41"/>
    <sheet name="תקציב אגף ספורט 2024פרקים" sheetId="388" state="hidden" r:id="rId42"/>
    <sheet name="אגף תנוק 2024" sheetId="381" r:id="rId43"/>
    <sheet name="תקציב אגף תנוק 2024 " sheetId="354" r:id="rId44"/>
    <sheet name="תקציב אגף תנוס 2023  פרקים" sheetId="342" state="hidden" r:id="rId45"/>
    <sheet name="תקציב אגף תנוק 2024 פרקים" sheetId="389" state="hidden" r:id="rId46"/>
    <sheet name="החברה לתירות 2024" sheetId="77" r:id="rId47"/>
    <sheet name="תקציב החברה לתירות 2024 " sheetId="355" r:id="rId48"/>
    <sheet name="תקציב החברה לתירות 2023 פרקים" sheetId="343" state="hidden" r:id="rId49"/>
    <sheet name="תקציב החברה לתירות 2024 פרקים" sheetId="390" state="hidden" r:id="rId50"/>
    <sheet name="אגף תקשוב ומע. מידע 2024" sheetId="78" r:id="rId51"/>
    <sheet name="תקציב אגף המיחשוב 2024 " sheetId="356" r:id="rId52"/>
    <sheet name="תקציב אגף המיחשוב 2023 פרקים" sheetId="347" state="hidden" r:id="rId53"/>
    <sheet name="תקציב אגף המיחשוב 2024 פרקים" sheetId="391" state="hidden" r:id="rId54"/>
    <sheet name="אגף נכסים וביטוח 2024" sheetId="158" r:id="rId55"/>
    <sheet name="תקציב אגף נכסים וביטוח 2024" sheetId="357" r:id="rId56"/>
    <sheet name="תקציב אגף נכסים וביטוח 2023 פרק" sheetId="345" state="hidden" r:id="rId57"/>
    <sheet name="תקציב אגף נכסים וביטוח 2024 פרק" sheetId="392" state="hidden" r:id="rId58"/>
    <sheet name="מינהל כללי 2024" sheetId="81" r:id="rId59"/>
    <sheet name="תקציב איכות הסביבה 2024  " sheetId="359" r:id="rId60"/>
    <sheet name="תקציב איכות הסביבה 2024 פרקים" sheetId="393" state="hidden" r:id="rId61"/>
    <sheet name="תקציב מינהל כללי 2024  " sheetId="358" r:id="rId62"/>
    <sheet name="תקציב מינהל כללי 2023 פרקים" sheetId="346" state="hidden" r:id="rId63"/>
    <sheet name="תקציב מינהל כללי 2023  תאור" sheetId="349" state="hidden" r:id="rId64"/>
    <sheet name="תקציב מינהל כללי 2024 פרקים" sheetId="394" state="hidden" r:id="rId65"/>
    <sheet name="תקציב 2023 - ביצוע" sheetId="63" r:id="rId66"/>
    <sheet name="ריכוז אגפים 2023" sheetId="370" r:id="rId67"/>
    <sheet name="תקציב הנדסה 2023 " sheetId="371" r:id="rId68"/>
    <sheet name="תקציב החברה לפיתוח 2023 " sheetId="372" r:id="rId69"/>
    <sheet name="תקציב מינהל תפעול 2023 " sheetId="373" r:id="rId70"/>
    <sheet name="תקציב מינהל חינוך 2023 " sheetId="374" r:id="rId71"/>
    <sheet name="תקציב אגף תנוס 2023 " sheetId="375" r:id="rId72"/>
    <sheet name="תקציב החברה לתירות 2023 " sheetId="376" r:id="rId73"/>
    <sheet name="תקציב אגף המיחשוב 2023 " sheetId="377" r:id="rId74"/>
    <sheet name="תקציב אגף נכסים וביטוח 2023" sheetId="378" r:id="rId75"/>
    <sheet name="תקציב מינהל כללי 2023 " sheetId="379" r:id="rId76"/>
    <sheet name="עדכוני תקציב 2023" sheetId="380" r:id="rId77"/>
    <sheet name="פרויקטים החב. לפיתוח " sheetId="176" r:id="rId78"/>
    <sheet name="סגירה בתקציב 2024 " sheetId="398" r:id="rId79"/>
  </sheets>
  <externalReferences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xlnm._FilterDatabase" localSheetId="68" hidden="1">'תקציב החברה לפיתוח 2023 '!$A$5:$AD$123</definedName>
    <definedName name="_xlnm._FilterDatabase" localSheetId="25" hidden="1">'תקציב החברה לפיתוח 2023  פרקים'!$A$4:$AD$128</definedName>
    <definedName name="_xlnm._FilterDatabase" localSheetId="24" hidden="1">'תקציב החברה לפיתוח 2023 תאור'!$A$4:$AD$122</definedName>
    <definedName name="_xlnm._FilterDatabase" localSheetId="23" hidden="1">'תקציב החברה לפיתוח 2024'!$A$4:$BG$4</definedName>
    <definedName name="_xlnm._FilterDatabase" localSheetId="27" hidden="1">'תקציב החברה לפיתוח 2024 פרקים'!$A$4:$BG$4</definedName>
    <definedName name="_xlnm._FilterDatabase" localSheetId="26" hidden="1">'תקציב החברה לפיתוח 2024 תאור'!$A$4:$BG$4</definedName>
    <definedName name="_xlnm._FilterDatabase" localSheetId="67" hidden="1">'תקציב הנדסה 2023 '!$A$5:$AG$66</definedName>
    <definedName name="_xlnm._FilterDatabase" localSheetId="18" hidden="1">'תקציב הנדסה 2024'!$A$4:$AM$53</definedName>
    <definedName name="_xlnm._FilterDatabase" localSheetId="20" hidden="1">'תקציב הנדסה 2024 פרקים'!$A$4:$AM$56</definedName>
    <definedName name="_xlnm._FilterDatabase" localSheetId="19" hidden="1">'תקציב הנדסה 2024 תאור'!$A$4:$AM$53</definedName>
    <definedName name="_xlnm._FilterDatabase" localSheetId="70" hidden="1">'תקציב מינהל חינוך 2023 '!$A$1:$BL$26</definedName>
    <definedName name="_xlnm._FilterDatabase" localSheetId="37" hidden="1">'תקציב מינהל חינוך 2023 פרקים'!$A$1:$AX$26</definedName>
    <definedName name="_xlnm._FilterDatabase" localSheetId="36" hidden="1">'תקציב מינהל חינוך 2024 '!$A$1:$BF$16</definedName>
    <definedName name="_xlnm._FilterDatabase" localSheetId="38" hidden="1">'תקציב מינהל חינוך 2024 פרקים'!$A$1:$BF$16</definedName>
    <definedName name="_xlnm._FilterDatabase" localSheetId="69" hidden="1">'תקציב מינהל תפעול 2023 '!$A$1:$AQ$113</definedName>
    <definedName name="_xlnm._FilterDatabase" localSheetId="32" hidden="1">'תקציב מינהל תפעול 2023 פרקים'!$A$1:$AI$126</definedName>
    <definedName name="_xlnm._FilterDatabase" localSheetId="31" hidden="1">'תקציב מינהל תפעול 2023 תאור'!$A$1:$AI$112</definedName>
    <definedName name="_xlnm._FilterDatabase" localSheetId="30" hidden="1">'תקציב מינהל תפעול 2024 '!$A$1:$AS$105</definedName>
    <definedName name="_xlnm._FilterDatabase" localSheetId="34" hidden="1">'תקציב מינהל תפעול 2024 פרקים'!$A$1:$AS$128</definedName>
    <definedName name="_xlnm._FilterDatabase" localSheetId="33" hidden="1">'תקציב מינהל תפעול 2024 תאור'!$A$1:$AS$105</definedName>
    <definedName name="_xlchart.v1.0" hidden="1">'תקציב 2024  אגפים '!$C$8:$C$17</definedName>
    <definedName name="_xlchart.v1.1" hidden="1">'תקציב 2024  אגפים '!$F$8:$F$17</definedName>
    <definedName name="_xlchart.v1.2" hidden="1">'תקציב 2024 פרקים'!$C$8:$C$21</definedName>
    <definedName name="_xlchart.v1.3" hidden="1">'תקציב 2024 פרקים'!$E$8:$E$21</definedName>
    <definedName name="_xlchart.v1.4" hidden="1">'תקציב 2024  מקורות '!$C$8:$C$13</definedName>
    <definedName name="_xlchart.v1.5" hidden="1">'תקציב 2024  מקורות '!$F$8:$F$13</definedName>
    <definedName name="_xlnm.Print_Area" localSheetId="78">'סגירה בתקציב 2024 '!$A$1:$K$32</definedName>
    <definedName name="_xlnm.Print_Area" localSheetId="76">'עדכוני תקציב 2023'!$C$1:$AU$139</definedName>
    <definedName name="_xlnm.Print_Area" localSheetId="14">'פרוט מקורות אחרים'!$A$1:$O$14</definedName>
    <definedName name="_xlnm.Print_Area" localSheetId="11">'ריכוז אגפים'!$A$1:$Y$17</definedName>
    <definedName name="_xlnm.Print_Area" localSheetId="66">'ריכוז אגפים 2023'!$A$1:$AR$16</definedName>
    <definedName name="_xlnm.Print_Area" localSheetId="13">'ריכוז פרקים'!$A$1:$Y$20</definedName>
    <definedName name="_xlnm.Print_Area" localSheetId="8">'תקציב 2024 קרנות הרשות'!$A$1:$H$24</definedName>
    <definedName name="_xlnm.Print_Area" localSheetId="73">'תקציב אגף המיחשוב 2023 '!$A$1:$AU$18</definedName>
    <definedName name="_xlnm.Print_Area" localSheetId="52">'תקציב אגף המיחשוב 2023 פרקים'!$A$1:$AC$21</definedName>
    <definedName name="_xlnm.Print_Area" localSheetId="51">'תקציב אגף המיחשוב 2024 '!$A$1:$AB$19</definedName>
    <definedName name="_xlnm.Print_Area" localSheetId="53">'תקציב אגף המיחשוב 2024 פרקים'!$A$1:$AC$29</definedName>
    <definedName name="_xlnm.Print_Area" localSheetId="74">'תקציב אגף נכסים וביטוח 2023'!$A$1:$AU$18</definedName>
    <definedName name="_xlnm.Print_Area" localSheetId="56">'תקציב אגף נכסים וביטוח 2023 פרק'!$A$1:$AC$17</definedName>
    <definedName name="_xlnm.Print_Area" localSheetId="55">'תקציב אגף נכסים וביטוח 2024'!$5:$20</definedName>
    <definedName name="_xlnm.Print_Area" localSheetId="57">'תקציב אגף נכסים וביטוח 2024 פרק'!$A$1:$AL$20</definedName>
    <definedName name="_xlnm.Print_Area" localSheetId="40">'תקציב אגף ספורט 2024'!$A$1:$AB$16</definedName>
    <definedName name="_xlnm.Print_Area" localSheetId="41">'תקציב אגף ספורט 2024פרקים'!$A$1:$AL$16</definedName>
    <definedName name="_xlnm.Print_Area" localSheetId="71">'תקציב אגף תנוס 2023 '!$A$1:$AU$16</definedName>
    <definedName name="_xlnm.Print_Area" localSheetId="44">'תקציב אגף תנוס 2023  פרקים'!$A$1:$AC$17</definedName>
    <definedName name="_xlnm.Print_Area" localSheetId="43">'תקציב אגף תנוק 2024 '!$A$1:$AB$8</definedName>
    <definedName name="_xlnm.Print_Area" localSheetId="45">'תקציב אגף תנוק 2024 פרקים'!$A$1:$AK$12</definedName>
    <definedName name="_xlnm.Print_Area" localSheetId="59">'תקציב איכות הסביבה 2024  '!$A$1:$AC$13</definedName>
    <definedName name="_xlnm.Print_Area" localSheetId="60">'תקציב איכות הסביבה 2024 פרקים'!$A$1:$AJ$20</definedName>
    <definedName name="_xlnm.Print_Area" localSheetId="68">'תקציב החברה לפיתוח 2023 '!$A$1:$AU$124</definedName>
    <definedName name="_xlnm.Print_Area" localSheetId="25">'תקציב החברה לפיתוח 2023  פרקים'!$A$1:$AC$129</definedName>
    <definedName name="_xlnm.Print_Area" localSheetId="24">'תקציב החברה לפיתוח 2023 תאור'!$A$1:$AB$123</definedName>
    <definedName name="_xlnm.Print_Area" localSheetId="23">'תקציב החברה לפיתוח 2024'!$A$1:$AA$133</definedName>
    <definedName name="_xlnm.Print_Area" localSheetId="27">'תקציב החברה לפיתוח 2024 פרקים'!$A$1:$AB$151</definedName>
    <definedName name="_xlnm.Print_Area" localSheetId="26">'תקציב החברה לפיתוח 2024 תאור'!$A$1:$AB$133</definedName>
    <definedName name="_xlnm.Print_Area" localSheetId="72">'תקציב החברה לתירות 2023 '!$A$1:$AU$8</definedName>
    <definedName name="_xlnm.Print_Area" localSheetId="48">'תקציב החברה לתירות 2023 פרקים'!$A$1:$AC$7</definedName>
    <definedName name="_xlnm.Print_Area" localSheetId="47">'תקציב החברה לתירות 2024 '!$A$1:$AB$15</definedName>
    <definedName name="_xlnm.Print_Area" localSheetId="49">'תקציב החברה לתירות 2024 פרקים'!$A$1:$AM$25</definedName>
    <definedName name="_xlnm.Print_Area" localSheetId="67">'תקציב הנדסה 2023 '!$A$1:$AU$74</definedName>
    <definedName name="_xlnm.Print_Area" localSheetId="18">'תקציב הנדסה 2024'!$A$1:$AB$65</definedName>
    <definedName name="_xlnm.Print_Area" localSheetId="20">'תקציב הנדסה 2024 פרקים'!$A$1:$AC$73</definedName>
    <definedName name="_xlnm.Print_Area" localSheetId="19">'תקציב הנדסה 2024 תאור'!$A$1:$AB$65</definedName>
    <definedName name="_xlnm.Print_Area" localSheetId="70">'תקציב מינהל חינוך 2023 '!$A$1:$AU$24</definedName>
    <definedName name="_xlnm.Print_Area" localSheetId="37">'תקציב מינהל חינוך 2023 פרקים'!$A$1:$AC$23</definedName>
    <definedName name="_xlnm.Print_Area" localSheetId="36">'תקציב מינהל חינוך 2024 '!$A$1:$AB$17</definedName>
    <definedName name="_xlnm.Print_Area" localSheetId="38">'תקציב מינהל חינוך 2024 פרקים'!$A$1:$AM$17</definedName>
    <definedName name="_xlnm.Print_Area" localSheetId="75">'תקציב מינהל כללי 2023 '!$A$1:$AU$31</definedName>
    <definedName name="_xlnm.Print_Area" localSheetId="63">'תקציב מינהל כללי 2023  תאור'!$A$1:$AB$30</definedName>
    <definedName name="_xlnm.Print_Area" localSheetId="62">'תקציב מינהל כללי 2023 פרקים'!$A$1:$AC$38</definedName>
    <definedName name="_xlnm.Print_Area" localSheetId="61">'תקציב מינהל כללי 2024  '!$A$1:$AB$16</definedName>
    <definedName name="_xlnm.Print_Area" localSheetId="64">'תקציב מינהל כללי 2024 פרקים'!$A$1:$AC$29</definedName>
    <definedName name="_xlnm.Print_Area" localSheetId="69">'תקציב מינהל תפעול 2023 '!$A$1:$AU$111</definedName>
    <definedName name="_xlnm.Print_Area" localSheetId="32">'תקציב מינהל תפעול 2023 פרקים'!$A$1:$AC$123</definedName>
    <definedName name="_xlnm.Print_Area" localSheetId="31">'תקציב מינהל תפעול 2023 תאור'!$A$1:$AB$110</definedName>
    <definedName name="_xlnm.Print_Area" localSheetId="30">'תקציב מינהל תפעול 2024 '!$A$1:$AB$115</definedName>
    <definedName name="_xlnm.Print_Area" localSheetId="34">'תקציב מינהל תפעול 2024 פרקים'!$A$1:$AC$141</definedName>
    <definedName name="_xlnm.Print_Area" localSheetId="33">'תקציב מינהל תפעול 2024 תאור'!$A$1:$AB$115</definedName>
    <definedName name="_xlnm.Print_Titles" localSheetId="78">'סגירה בתקציב 2024 '!$1:$3</definedName>
    <definedName name="_xlnm.Print_Titles" localSheetId="76">'עדכוני תקציב 2023'!$2:$5</definedName>
    <definedName name="_xlnm.Print_Titles" localSheetId="77">'פרויקטים החב. לפיתוח '!$2:$5</definedName>
    <definedName name="_xlnm.Print_Titles" localSheetId="11">'ריכוז אגפים'!$2:$5</definedName>
    <definedName name="_xlnm.Print_Titles" localSheetId="66">'ריכוז אגפים 2023'!$2:$5</definedName>
    <definedName name="_xlnm.Print_Titles" localSheetId="13">'ריכוז פרקים'!$2:$5</definedName>
    <definedName name="_xlnm.Print_Titles" localSheetId="73">'תקציב אגף המיחשוב 2023 '!$5:$5</definedName>
    <definedName name="_xlnm.Print_Titles" localSheetId="52">'תקציב אגף המיחשוב 2023 פרקים'!$4:$4</definedName>
    <definedName name="_xlnm.Print_Titles" localSheetId="51">'תקציב אגף המיחשוב 2024 '!$1:$4</definedName>
    <definedName name="_xlnm.Print_Titles" localSheetId="53">'תקציב אגף המיחשוב 2024 פרקים'!$4:$4</definedName>
    <definedName name="_xlnm.Print_Titles" localSheetId="74">'תקציב אגף נכסים וביטוח 2023'!$1:$5</definedName>
    <definedName name="_xlnm.Print_Titles" localSheetId="56">'תקציב אגף נכסים וביטוח 2023 פרק'!$1:$4</definedName>
    <definedName name="_xlnm.Print_Titles" localSheetId="55">'תקציב אגף נכסים וביטוח 2024'!$1:$4</definedName>
    <definedName name="_xlnm.Print_Titles" localSheetId="57">'תקציב אגף נכסים וביטוח 2024 פרק'!$1:$4</definedName>
    <definedName name="_xlnm.Print_Titles" localSheetId="40">'תקציב אגף ספורט 2024'!$1:$4</definedName>
    <definedName name="_xlnm.Print_Titles" localSheetId="41">'תקציב אגף ספורט 2024פרקים'!$1:$4</definedName>
    <definedName name="_xlnm.Print_Titles" localSheetId="71">'תקציב אגף תנוס 2023 '!$1:$5</definedName>
    <definedName name="_xlnm.Print_Titles" localSheetId="44">'תקציב אגף תנוס 2023  פרקים'!$1:$4</definedName>
    <definedName name="_xlnm.Print_Titles" localSheetId="43">'תקציב אגף תנוק 2024 '!$1:$4</definedName>
    <definedName name="_xlnm.Print_Titles" localSheetId="45">'תקציב אגף תנוק 2024 פרקים'!$1:$4</definedName>
    <definedName name="_xlnm.Print_Titles" localSheetId="59">'תקציב איכות הסביבה 2024  '!$1:$4</definedName>
    <definedName name="_xlnm.Print_Titles" localSheetId="60">'תקציב איכות הסביבה 2024 פרקים'!$1:$4</definedName>
    <definedName name="_xlnm.Print_Titles" localSheetId="68">'תקציב החברה לפיתוח 2023 '!$1:$5</definedName>
    <definedName name="_xlnm.Print_Titles" localSheetId="25">'תקציב החברה לפיתוח 2023  פרקים'!$1:$4</definedName>
    <definedName name="_xlnm.Print_Titles" localSheetId="24">'תקציב החברה לפיתוח 2023 תאור'!$1:$4</definedName>
    <definedName name="_xlnm.Print_Titles" localSheetId="23">'תקציב החברה לפיתוח 2024'!$1:$4</definedName>
    <definedName name="_xlnm.Print_Titles" localSheetId="27">'תקציב החברה לפיתוח 2024 פרקים'!$1:$4</definedName>
    <definedName name="_xlnm.Print_Titles" localSheetId="26">'תקציב החברה לפיתוח 2024 תאור'!$1:$4</definedName>
    <definedName name="_xlnm.Print_Titles" localSheetId="72">'תקציב החברה לתירות 2023 '!$1:$5</definedName>
    <definedName name="_xlnm.Print_Titles" localSheetId="48">'תקציב החברה לתירות 2023 פרקים'!$1:$4</definedName>
    <definedName name="_xlnm.Print_Titles" localSheetId="47">'תקציב החברה לתירות 2024 '!$1:$4</definedName>
    <definedName name="_xlnm.Print_Titles" localSheetId="49">'תקציב החברה לתירות 2024 פרקים'!$1:$4</definedName>
    <definedName name="_xlnm.Print_Titles" localSheetId="67">'תקציב הנדסה 2023 '!$1:$5</definedName>
    <definedName name="_xlnm.Print_Titles" localSheetId="18">'תקציב הנדסה 2024'!$1:$4</definedName>
    <definedName name="_xlnm.Print_Titles" localSheetId="20">'תקציב הנדסה 2024 פרקים'!$1:$4</definedName>
    <definedName name="_xlnm.Print_Titles" localSheetId="19">'תקציב הנדסה 2024 תאור'!$1:$4</definedName>
    <definedName name="_xlnm.Print_Titles" localSheetId="70">'תקציב מינהל חינוך 2023 '!$1:$5</definedName>
    <definedName name="_xlnm.Print_Titles" localSheetId="37">'תקציב מינהל חינוך 2023 פרקים'!$1:$4</definedName>
    <definedName name="_xlnm.Print_Titles" localSheetId="36">'תקציב מינהל חינוך 2024 '!$1:$4</definedName>
    <definedName name="_xlnm.Print_Titles" localSheetId="38">'תקציב מינהל חינוך 2024 פרקים'!$1:$4</definedName>
    <definedName name="_xlnm.Print_Titles" localSheetId="75">'תקציב מינהל כללי 2023 '!$1:$5</definedName>
    <definedName name="_xlnm.Print_Titles" localSheetId="63">'תקציב מינהל כללי 2023  תאור'!$1:$4</definedName>
    <definedName name="_xlnm.Print_Titles" localSheetId="62">'תקציב מינהל כללי 2023 פרקים'!$1:$4</definedName>
    <definedName name="_xlnm.Print_Titles" localSheetId="61">'תקציב מינהל כללי 2024  '!$1:$4</definedName>
    <definedName name="_xlnm.Print_Titles" localSheetId="64">'תקציב מינהל כללי 2024 פרקים'!$1:$4</definedName>
    <definedName name="_xlnm.Print_Titles" localSheetId="69">'תקציב מינהל תפעול 2023 '!$2:$5</definedName>
    <definedName name="_xlnm.Print_Titles" localSheetId="32">'תקציב מינהל תפעול 2023 פרקים'!$2:$4</definedName>
    <definedName name="_xlnm.Print_Titles" localSheetId="31">'תקציב מינהל תפעול 2023 תאור'!$2:$4</definedName>
    <definedName name="_xlnm.Print_Titles" localSheetId="30">'תקציב מינהל תפעול 2024 '!$2:$4</definedName>
    <definedName name="_xlnm.Print_Titles" localSheetId="34">'תקציב מינהל תפעול 2024 פרקים'!$2:$4</definedName>
    <definedName name="_xlnm.Print_Titles" localSheetId="33">'תקציב מינהל תפעול 2024 תאור'!$2:$4</definedName>
    <definedName name="Z_A9E2E6B4_8EA3_4931_885C_2FCCB5ED2D6B_.wvu.FilterData" localSheetId="68" hidden="1">'תקציב החברה לפיתוח 2023 '!$A$5:$AD$123</definedName>
    <definedName name="Z_A9E2E6B4_8EA3_4931_885C_2FCCB5ED2D6B_.wvu.FilterData" localSheetId="25" hidden="1">'תקציב החברה לפיתוח 2023  פרקים'!$A$4:$AD$128</definedName>
    <definedName name="Z_A9E2E6B4_8EA3_4931_885C_2FCCB5ED2D6B_.wvu.FilterData" localSheetId="24" hidden="1">'תקציב החברה לפיתוח 2023 תאור'!$A$4:$AD$122</definedName>
    <definedName name="Z_A9E2E6B4_8EA3_4931_885C_2FCCB5ED2D6B_.wvu.FilterData" localSheetId="23" hidden="1">'תקציב החברה לפיתוח 2024'!$A$4:$AJ$132</definedName>
    <definedName name="Z_A9E2E6B4_8EA3_4931_885C_2FCCB5ED2D6B_.wvu.FilterData" localSheetId="27" hidden="1">'תקציב החברה לפיתוח 2024 פרקים'!$A$4:$AJ$150</definedName>
    <definedName name="Z_A9E2E6B4_8EA3_4931_885C_2FCCB5ED2D6B_.wvu.FilterData" localSheetId="26" hidden="1">'תקציב החברה לפיתוח 2024 תאור'!$A$4:$AJ$132</definedName>
    <definedName name="Z_A9E2E6B4_8EA3_4931_885C_2FCCB5ED2D6B_.wvu.PrintTitles" localSheetId="68" hidden="1">'תקציב החברה לפיתוח 2023 '!$1:$5</definedName>
    <definedName name="Z_A9E2E6B4_8EA3_4931_885C_2FCCB5ED2D6B_.wvu.PrintTitles" localSheetId="25" hidden="1">'תקציב החברה לפיתוח 2023  פרקים'!$1:$4</definedName>
    <definedName name="Z_A9E2E6B4_8EA3_4931_885C_2FCCB5ED2D6B_.wvu.PrintTitles" localSheetId="24" hidden="1">'תקציב החברה לפיתוח 2023 תאור'!$1:$4</definedName>
    <definedName name="Z_A9E2E6B4_8EA3_4931_885C_2FCCB5ED2D6B_.wvu.PrintTitles" localSheetId="23" hidden="1">'תקציב החברה לפיתוח 2024'!$1:$4</definedName>
    <definedName name="Z_A9E2E6B4_8EA3_4931_885C_2FCCB5ED2D6B_.wvu.PrintTitles" localSheetId="27" hidden="1">'תקציב החברה לפיתוח 2024 פרקים'!$1:$4</definedName>
    <definedName name="Z_A9E2E6B4_8EA3_4931_885C_2FCCB5ED2D6B_.wvu.PrintTitles" localSheetId="26" hidden="1">'תקציב החברה לפיתוח 2024 תאור'!$1:$4</definedName>
  </definedNames>
  <calcPr calcId="162913"/>
</workbook>
</file>

<file path=xl/calcChain.xml><?xml version="1.0" encoding="utf-8"?>
<calcChain xmlns="http://schemas.openxmlformats.org/spreadsheetml/2006/main">
  <c r="C17" i="176" l="1"/>
  <c r="C48" i="176"/>
  <c r="C42" i="176"/>
  <c r="C54" i="176"/>
  <c r="C85" i="176"/>
  <c r="C126" i="176"/>
  <c r="C74" i="176"/>
  <c r="C14" i="176"/>
  <c r="C25" i="176"/>
  <c r="C114" i="176"/>
  <c r="C122" i="176"/>
  <c r="C119" i="176"/>
  <c r="C100" i="176"/>
  <c r="C108" i="176"/>
  <c r="C118" i="176"/>
  <c r="C47" i="176"/>
  <c r="C95" i="176"/>
  <c r="C129" i="176"/>
  <c r="C58" i="176"/>
  <c r="C12" i="176"/>
  <c r="C97" i="176"/>
  <c r="C63" i="176"/>
  <c r="C99" i="176"/>
  <c r="C90" i="176"/>
  <c r="C76" i="176"/>
  <c r="C51" i="176"/>
  <c r="C71" i="176"/>
  <c r="C102" i="176"/>
  <c r="C57" i="176"/>
  <c r="C68" i="176"/>
  <c r="C93" i="176"/>
  <c r="C39" i="176"/>
  <c r="C104" i="176"/>
  <c r="C43" i="176"/>
  <c r="C127" i="176"/>
  <c r="C22" i="176"/>
  <c r="C33" i="176"/>
  <c r="C72" i="176"/>
  <c r="C10" i="176"/>
  <c r="C130" i="176" s="1"/>
  <c r="C23" i="176"/>
  <c r="C109" i="176"/>
  <c r="C38" i="176"/>
  <c r="C24" i="176"/>
  <c r="C28" i="176"/>
  <c r="C35" i="176"/>
  <c r="C80" i="176"/>
  <c r="C82" i="176"/>
  <c r="C21" i="176"/>
  <c r="F24" i="398"/>
  <c r="H24" i="398" s="1"/>
  <c r="G31" i="398" l="1"/>
  <c r="E31" i="398"/>
  <c r="D31" i="398"/>
  <c r="A31" i="398"/>
  <c r="F30" i="398"/>
  <c r="F31" i="398" s="1"/>
  <c r="G28" i="398"/>
  <c r="G32" i="398" s="1"/>
  <c r="E28" i="398"/>
  <c r="E32" i="398" s="1"/>
  <c r="D28" i="398"/>
  <c r="D32" i="398" s="1"/>
  <c r="F26" i="398"/>
  <c r="F25" i="398"/>
  <c r="H25" i="398" s="1"/>
  <c r="F23" i="398"/>
  <c r="H23" i="398" s="1"/>
  <c r="F22" i="398"/>
  <c r="H22" i="398" s="1"/>
  <c r="F21" i="398"/>
  <c r="H21" i="398" s="1"/>
  <c r="F20" i="398"/>
  <c r="H20" i="398" s="1"/>
  <c r="F19" i="398"/>
  <c r="H19" i="398" s="1"/>
  <c r="F18" i="398"/>
  <c r="H18" i="398" s="1"/>
  <c r="F17" i="398"/>
  <c r="H17" i="398" s="1"/>
  <c r="F16" i="398"/>
  <c r="H16" i="398" s="1"/>
  <c r="F15" i="398"/>
  <c r="H15" i="398" s="1"/>
  <c r="F14" i="398"/>
  <c r="H14" i="398" s="1"/>
  <c r="F13" i="398"/>
  <c r="H13" i="398" s="1"/>
  <c r="F12" i="398"/>
  <c r="H12" i="398" s="1"/>
  <c r="F11" i="398"/>
  <c r="H11" i="398" s="1"/>
  <c r="H10" i="398"/>
  <c r="F10" i="398"/>
  <c r="F9" i="398"/>
  <c r="H9" i="398" s="1"/>
  <c r="F8" i="398"/>
  <c r="H8" i="398" s="1"/>
  <c r="F7" i="398"/>
  <c r="H7" i="398" s="1"/>
  <c r="F6" i="398"/>
  <c r="H6" i="398" s="1"/>
  <c r="A6" i="398"/>
  <c r="H5" i="398"/>
  <c r="F5" i="398"/>
  <c r="P118" i="396"/>
  <c r="AB115" i="397"/>
  <c r="Z115" i="397"/>
  <c r="X115" i="397"/>
  <c r="V115" i="397"/>
  <c r="R115" i="397"/>
  <c r="Q115" i="397"/>
  <c r="G115" i="397"/>
  <c r="S114" i="397"/>
  <c r="N114" i="397"/>
  <c r="K114" i="397"/>
  <c r="L114" i="397" s="1"/>
  <c r="P114" i="397" s="1"/>
  <c r="D114" i="397"/>
  <c r="S113" i="397"/>
  <c r="N113" i="397"/>
  <c r="K113" i="397"/>
  <c r="L113" i="397" s="1"/>
  <c r="P113" i="397" s="1"/>
  <c r="D113" i="397"/>
  <c r="F113" i="397" s="1"/>
  <c r="S112" i="397"/>
  <c r="N112" i="397"/>
  <c r="K112" i="397"/>
  <c r="L112" i="397" s="1"/>
  <c r="F112" i="397"/>
  <c r="D112" i="397"/>
  <c r="S111" i="397"/>
  <c r="L111" i="397"/>
  <c r="P111" i="397" s="1"/>
  <c r="M111" i="397" s="1"/>
  <c r="K111" i="397"/>
  <c r="F111" i="397"/>
  <c r="S110" i="397"/>
  <c r="L110" i="397"/>
  <c r="K110" i="397"/>
  <c r="F110" i="397"/>
  <c r="S109" i="397"/>
  <c r="P109" i="397"/>
  <c r="L109" i="397"/>
  <c r="K109" i="397"/>
  <c r="F109" i="397"/>
  <c r="S108" i="397"/>
  <c r="N108" i="397"/>
  <c r="K108" i="397"/>
  <c r="L108" i="397" s="1"/>
  <c r="F108" i="397"/>
  <c r="S107" i="397"/>
  <c r="N107" i="397"/>
  <c r="K107" i="397"/>
  <c r="L107" i="397" s="1"/>
  <c r="P107" i="397" s="1"/>
  <c r="M107" i="397" s="1"/>
  <c r="T107" i="397" s="1"/>
  <c r="F107" i="397"/>
  <c r="D107" i="397"/>
  <c r="S106" i="397"/>
  <c r="K106" i="397"/>
  <c r="L106" i="397" s="1"/>
  <c r="D106" i="397"/>
  <c r="F106" i="397" s="1"/>
  <c r="Y105" i="397"/>
  <c r="Y115" i="397" s="1"/>
  <c r="S105" i="397"/>
  <c r="N105" i="397"/>
  <c r="L105" i="397"/>
  <c r="P105" i="397" s="1"/>
  <c r="K105" i="397"/>
  <c r="E105" i="397"/>
  <c r="D105" i="397"/>
  <c r="S104" i="397"/>
  <c r="N104" i="397"/>
  <c r="L104" i="397"/>
  <c r="P104" i="397" s="1"/>
  <c r="M104" i="397" s="1"/>
  <c r="T104" i="397" s="1"/>
  <c r="K104" i="397"/>
  <c r="D104" i="397"/>
  <c r="S103" i="397"/>
  <c r="N103" i="397"/>
  <c r="K103" i="397"/>
  <c r="L103" i="397" s="1"/>
  <c r="J103" i="397"/>
  <c r="F103" i="397"/>
  <c r="S102" i="397"/>
  <c r="K102" i="397"/>
  <c r="L102" i="397" s="1"/>
  <c r="F102" i="397"/>
  <c r="S101" i="397"/>
  <c r="K101" i="397"/>
  <c r="L101" i="397" s="1"/>
  <c r="F101" i="397"/>
  <c r="S100" i="397"/>
  <c r="K100" i="397"/>
  <c r="L100" i="397" s="1"/>
  <c r="P100" i="397" s="1"/>
  <c r="F100" i="397"/>
  <c r="T99" i="397"/>
  <c r="U99" i="397" s="1"/>
  <c r="W99" i="397" s="1"/>
  <c r="S99" i="397"/>
  <c r="N99" i="397"/>
  <c r="K99" i="397"/>
  <c r="L99" i="397" s="1"/>
  <c r="P99" i="397" s="1"/>
  <c r="M99" i="397" s="1"/>
  <c r="F99" i="397"/>
  <c r="D99" i="397"/>
  <c r="S98" i="397"/>
  <c r="P98" i="397"/>
  <c r="M98" i="397" s="1"/>
  <c r="T98" i="397" s="1"/>
  <c r="O98" i="397"/>
  <c r="N98" i="397"/>
  <c r="K98" i="397"/>
  <c r="L98" i="397" s="1"/>
  <c r="F98" i="397"/>
  <c r="S97" i="397"/>
  <c r="K97" i="397"/>
  <c r="L97" i="397" s="1"/>
  <c r="F97" i="397"/>
  <c r="S96" i="397"/>
  <c r="K96" i="397"/>
  <c r="L96" i="397" s="1"/>
  <c r="P96" i="397" s="1"/>
  <c r="M96" i="397" s="1"/>
  <c r="O96" i="397" s="1"/>
  <c r="F96" i="397"/>
  <c r="S95" i="397"/>
  <c r="K95" i="397"/>
  <c r="L95" i="397" s="1"/>
  <c r="F95" i="397"/>
  <c r="S94" i="397"/>
  <c r="K94" i="397"/>
  <c r="L94" i="397" s="1"/>
  <c r="F94" i="397"/>
  <c r="S93" i="397"/>
  <c r="K93" i="397"/>
  <c r="L93" i="397" s="1"/>
  <c r="P93" i="397" s="1"/>
  <c r="D93" i="397"/>
  <c r="F93" i="397" s="1"/>
  <c r="S92" i="397"/>
  <c r="N92" i="397"/>
  <c r="K92" i="397"/>
  <c r="L92" i="397" s="1"/>
  <c r="P92" i="397" s="1"/>
  <c r="D92" i="397"/>
  <c r="F92" i="397" s="1"/>
  <c r="S91" i="397"/>
  <c r="K91" i="397"/>
  <c r="L91" i="397" s="1"/>
  <c r="P91" i="397" s="1"/>
  <c r="F91" i="397"/>
  <c r="S90" i="397"/>
  <c r="K90" i="397"/>
  <c r="L90" i="397" s="1"/>
  <c r="F90" i="397"/>
  <c r="S89" i="397"/>
  <c r="N89" i="397"/>
  <c r="J89" i="397"/>
  <c r="K89" i="397" s="1"/>
  <c r="L89" i="397" s="1"/>
  <c r="F89" i="397"/>
  <c r="D89" i="397"/>
  <c r="S88" i="397"/>
  <c r="N88" i="397"/>
  <c r="L88" i="397"/>
  <c r="K88" i="397"/>
  <c r="J88" i="397"/>
  <c r="D88" i="397"/>
  <c r="F88" i="397" s="1"/>
  <c r="S87" i="397"/>
  <c r="K87" i="397"/>
  <c r="L87" i="397" s="1"/>
  <c r="P87" i="397" s="1"/>
  <c r="D87" i="397"/>
  <c r="S86" i="397"/>
  <c r="K86" i="397"/>
  <c r="L86" i="397" s="1"/>
  <c r="P86" i="397" s="1"/>
  <c r="D86" i="397"/>
  <c r="F86" i="397" s="1"/>
  <c r="S85" i="397"/>
  <c r="N85" i="397"/>
  <c r="K85" i="397"/>
  <c r="L85" i="397" s="1"/>
  <c r="P85" i="397" s="1"/>
  <c r="D85" i="397"/>
  <c r="F85" i="397" s="1"/>
  <c r="S84" i="397"/>
  <c r="K84" i="397"/>
  <c r="L84" i="397" s="1"/>
  <c r="P84" i="397" s="1"/>
  <c r="F84" i="397"/>
  <c r="S83" i="397"/>
  <c r="K83" i="397"/>
  <c r="L83" i="397" s="1"/>
  <c r="P83" i="397" s="1"/>
  <c r="M83" i="397" s="1"/>
  <c r="D83" i="397"/>
  <c r="S82" i="397"/>
  <c r="K82" i="397"/>
  <c r="L82" i="397" s="1"/>
  <c r="P82" i="397" s="1"/>
  <c r="M82" i="397" s="1"/>
  <c r="F82" i="397"/>
  <c r="S81" i="397"/>
  <c r="K81" i="397"/>
  <c r="L81" i="397" s="1"/>
  <c r="P81" i="397" s="1"/>
  <c r="D81" i="397"/>
  <c r="AA80" i="397"/>
  <c r="S80" i="397"/>
  <c r="N80" i="397"/>
  <c r="K80" i="397"/>
  <c r="L80" i="397" s="1"/>
  <c r="P80" i="397" s="1"/>
  <c r="J80" i="397"/>
  <c r="E80" i="397"/>
  <c r="D80" i="397"/>
  <c r="F80" i="397" s="1"/>
  <c r="S79" i="397"/>
  <c r="N79" i="397"/>
  <c r="K79" i="397"/>
  <c r="L79" i="397" s="1"/>
  <c r="P79" i="397" s="1"/>
  <c r="M79" i="397" s="1"/>
  <c r="F79" i="397"/>
  <c r="D79" i="397"/>
  <c r="S78" i="397"/>
  <c r="K78" i="397"/>
  <c r="L78" i="397" s="1"/>
  <c r="P78" i="397" s="1"/>
  <c r="F78" i="397"/>
  <c r="S77" i="397"/>
  <c r="K77" i="397"/>
  <c r="L77" i="397" s="1"/>
  <c r="F77" i="397"/>
  <c r="S76" i="397"/>
  <c r="P76" i="397"/>
  <c r="N76" i="397"/>
  <c r="K76" i="397"/>
  <c r="L76" i="397" s="1"/>
  <c r="D76" i="397"/>
  <c r="F76" i="397" s="1"/>
  <c r="S75" i="397"/>
  <c r="N75" i="397"/>
  <c r="J75" i="397"/>
  <c r="K75" i="397" s="1"/>
  <c r="L75" i="397" s="1"/>
  <c r="P75" i="397" s="1"/>
  <c r="D75" i="397"/>
  <c r="F75" i="397" s="1"/>
  <c r="S74" i="397"/>
  <c r="N74" i="397"/>
  <c r="J74" i="397"/>
  <c r="K74" i="397" s="1"/>
  <c r="L74" i="397" s="1"/>
  <c r="P74" i="397" s="1"/>
  <c r="E74" i="397"/>
  <c r="D74" i="397"/>
  <c r="S73" i="397"/>
  <c r="K73" i="397"/>
  <c r="L73" i="397" s="1"/>
  <c r="P73" i="397" s="1"/>
  <c r="M73" i="397" s="1"/>
  <c r="F73" i="397"/>
  <c r="S72" i="397"/>
  <c r="N72" i="397"/>
  <c r="J72" i="397"/>
  <c r="K72" i="397" s="1"/>
  <c r="L72" i="397" s="1"/>
  <c r="F72" i="397"/>
  <c r="S71" i="397"/>
  <c r="N71" i="397"/>
  <c r="K71" i="397"/>
  <c r="L71" i="397" s="1"/>
  <c r="F71" i="397"/>
  <c r="S70" i="397"/>
  <c r="N70" i="397"/>
  <c r="K70" i="397"/>
  <c r="L70" i="397" s="1"/>
  <c r="P70" i="397" s="1"/>
  <c r="D70" i="397"/>
  <c r="F70" i="397" s="1"/>
  <c r="S69" i="397"/>
  <c r="N69" i="397"/>
  <c r="J69" i="397"/>
  <c r="K69" i="397" s="1"/>
  <c r="L69" i="397" s="1"/>
  <c r="F69" i="397"/>
  <c r="S68" i="397"/>
  <c r="L68" i="397"/>
  <c r="P68" i="397" s="1"/>
  <c r="K68" i="397"/>
  <c r="F68" i="397"/>
  <c r="S67" i="397"/>
  <c r="N67" i="397"/>
  <c r="K67" i="397"/>
  <c r="L67" i="397" s="1"/>
  <c r="P67" i="397" s="1"/>
  <c r="D67" i="397"/>
  <c r="F67" i="397" s="1"/>
  <c r="S66" i="397"/>
  <c r="K66" i="397"/>
  <c r="L66" i="397" s="1"/>
  <c r="P66" i="397" s="1"/>
  <c r="F66" i="397"/>
  <c r="S65" i="397"/>
  <c r="K65" i="397"/>
  <c r="L65" i="397" s="1"/>
  <c r="F65" i="397"/>
  <c r="S64" i="397"/>
  <c r="K64" i="397"/>
  <c r="L64" i="397" s="1"/>
  <c r="P64" i="397" s="1"/>
  <c r="M64" i="397" s="1"/>
  <c r="O64" i="397" s="1"/>
  <c r="F64" i="397"/>
  <c r="S63" i="397"/>
  <c r="K63" i="397"/>
  <c r="L63" i="397" s="1"/>
  <c r="F63" i="397"/>
  <c r="S62" i="397"/>
  <c r="N62" i="397"/>
  <c r="J62" i="397"/>
  <c r="K62" i="397" s="1"/>
  <c r="L62" i="397" s="1"/>
  <c r="I62" i="397"/>
  <c r="I115" i="397" s="1"/>
  <c r="F62" i="397"/>
  <c r="S61" i="397"/>
  <c r="K61" i="397"/>
  <c r="L61" i="397" s="1"/>
  <c r="P61" i="397" s="1"/>
  <c r="F61" i="397"/>
  <c r="S60" i="397"/>
  <c r="K60" i="397"/>
  <c r="L60" i="397" s="1"/>
  <c r="P60" i="397" s="1"/>
  <c r="D60" i="397"/>
  <c r="F60" i="397" s="1"/>
  <c r="S59" i="397"/>
  <c r="K59" i="397"/>
  <c r="L59" i="397" s="1"/>
  <c r="P59" i="397" s="1"/>
  <c r="D59" i="397"/>
  <c r="S58" i="397"/>
  <c r="N58" i="397"/>
  <c r="L58" i="397"/>
  <c r="P58" i="397" s="1"/>
  <c r="M58" i="397" s="1"/>
  <c r="K58" i="397"/>
  <c r="D58" i="397"/>
  <c r="F58" i="397" s="1"/>
  <c r="S57" i="397"/>
  <c r="L57" i="397"/>
  <c r="K57" i="397"/>
  <c r="F57" i="397"/>
  <c r="S56" i="397"/>
  <c r="P56" i="397"/>
  <c r="K56" i="397"/>
  <c r="L56" i="397" s="1"/>
  <c r="F56" i="397"/>
  <c r="S55" i="397"/>
  <c r="K55" i="397"/>
  <c r="L55" i="397" s="1"/>
  <c r="P55" i="397" s="1"/>
  <c r="F55" i="397"/>
  <c r="S54" i="397"/>
  <c r="N54" i="397"/>
  <c r="K54" i="397"/>
  <c r="L54" i="397" s="1"/>
  <c r="F54" i="397"/>
  <c r="S53" i="397"/>
  <c r="P53" i="397"/>
  <c r="N53" i="397"/>
  <c r="K53" i="397"/>
  <c r="L53" i="397" s="1"/>
  <c r="F53" i="397"/>
  <c r="D53" i="397"/>
  <c r="S52" i="397"/>
  <c r="K52" i="397"/>
  <c r="L52" i="397" s="1"/>
  <c r="P52" i="397" s="1"/>
  <c r="F52" i="397"/>
  <c r="S51" i="397"/>
  <c r="O51" i="397"/>
  <c r="K51" i="397"/>
  <c r="L51" i="397" s="1"/>
  <c r="P51" i="397" s="1"/>
  <c r="M51" i="397" s="1"/>
  <c r="F51" i="397"/>
  <c r="S50" i="397"/>
  <c r="L50" i="397"/>
  <c r="K50" i="397"/>
  <c r="F50" i="397"/>
  <c r="S49" i="397"/>
  <c r="N49" i="397"/>
  <c r="K49" i="397"/>
  <c r="L49" i="397" s="1"/>
  <c r="F49" i="397"/>
  <c r="S48" i="397"/>
  <c r="K48" i="397"/>
  <c r="L48" i="397" s="1"/>
  <c r="F48" i="397"/>
  <c r="S47" i="397"/>
  <c r="K47" i="397"/>
  <c r="L47" i="397" s="1"/>
  <c r="F47" i="397"/>
  <c r="S46" i="397"/>
  <c r="P46" i="397"/>
  <c r="M46" i="397" s="1"/>
  <c r="K46" i="397"/>
  <c r="L46" i="397" s="1"/>
  <c r="F46" i="397"/>
  <c r="S45" i="397"/>
  <c r="N45" i="397"/>
  <c r="K45" i="397"/>
  <c r="L45" i="397" s="1"/>
  <c r="F45" i="397"/>
  <c r="S44" i="397"/>
  <c r="L44" i="397"/>
  <c r="P44" i="397" s="1"/>
  <c r="K44" i="397"/>
  <c r="F44" i="397"/>
  <c r="S43" i="397"/>
  <c r="K43" i="397"/>
  <c r="L43" i="397" s="1"/>
  <c r="P43" i="397" s="1"/>
  <c r="F43" i="397"/>
  <c r="S42" i="397"/>
  <c r="K42" i="397"/>
  <c r="H42" i="397"/>
  <c r="H115" i="397" s="1"/>
  <c r="F42" i="397"/>
  <c r="S41" i="397"/>
  <c r="L41" i="397"/>
  <c r="P41" i="397" s="1"/>
  <c r="K41" i="397"/>
  <c r="D41" i="397"/>
  <c r="F41" i="397" s="1"/>
  <c r="S40" i="397"/>
  <c r="N40" i="397"/>
  <c r="K40" i="397"/>
  <c r="L40" i="397" s="1"/>
  <c r="P40" i="397" s="1"/>
  <c r="D40" i="397"/>
  <c r="F40" i="397" s="1"/>
  <c r="S39" i="397"/>
  <c r="K39" i="397"/>
  <c r="L39" i="397" s="1"/>
  <c r="F39" i="397"/>
  <c r="S38" i="397"/>
  <c r="K38" i="397"/>
  <c r="L38" i="397" s="1"/>
  <c r="F38" i="397"/>
  <c r="S37" i="397"/>
  <c r="N37" i="397"/>
  <c r="J37" i="397"/>
  <c r="K37" i="397" s="1"/>
  <c r="L37" i="397" s="1"/>
  <c r="P37" i="397" s="1"/>
  <c r="E37" i="397"/>
  <c r="D37" i="397"/>
  <c r="F37" i="397" s="1"/>
  <c r="S36" i="397"/>
  <c r="N36" i="397"/>
  <c r="K36" i="397"/>
  <c r="L36" i="397" s="1"/>
  <c r="F36" i="397"/>
  <c r="S35" i="397"/>
  <c r="N35" i="397"/>
  <c r="K35" i="397"/>
  <c r="L35" i="397" s="1"/>
  <c r="F35" i="397"/>
  <c r="S34" i="397"/>
  <c r="N34" i="397"/>
  <c r="K34" i="397"/>
  <c r="L34" i="397" s="1"/>
  <c r="D34" i="397"/>
  <c r="F34" i="397" s="1"/>
  <c r="S33" i="397"/>
  <c r="N33" i="397"/>
  <c r="K33" i="397"/>
  <c r="L33" i="397" s="1"/>
  <c r="F33" i="397"/>
  <c r="AA32" i="397"/>
  <c r="K32" i="397"/>
  <c r="L32" i="397" s="1"/>
  <c r="J32" i="397"/>
  <c r="D32" i="397"/>
  <c r="F32" i="397" s="1"/>
  <c r="S31" i="397"/>
  <c r="K31" i="397"/>
  <c r="L31" i="397" s="1"/>
  <c r="P31" i="397" s="1"/>
  <c r="D31" i="397"/>
  <c r="S30" i="397"/>
  <c r="N30" i="397"/>
  <c r="K30" i="397"/>
  <c r="L30" i="397" s="1"/>
  <c r="P30" i="397" s="1"/>
  <c r="D30" i="397"/>
  <c r="F30" i="397" s="1"/>
  <c r="S29" i="397"/>
  <c r="K29" i="397"/>
  <c r="L29" i="397" s="1"/>
  <c r="P29" i="397" s="1"/>
  <c r="F29" i="397"/>
  <c r="S28" i="397"/>
  <c r="L28" i="397"/>
  <c r="P28" i="397" s="1"/>
  <c r="M28" i="397" s="1"/>
  <c r="K28" i="397"/>
  <c r="D28" i="397"/>
  <c r="F28" i="397" s="1"/>
  <c r="S27" i="397"/>
  <c r="N27" i="397"/>
  <c r="J27" i="397"/>
  <c r="K27" i="397" s="1"/>
  <c r="L27" i="397" s="1"/>
  <c r="D27" i="397"/>
  <c r="F27" i="397" s="1"/>
  <c r="S26" i="397"/>
  <c r="N26" i="397"/>
  <c r="K26" i="397"/>
  <c r="L26" i="397" s="1"/>
  <c r="F26" i="397"/>
  <c r="S25" i="397"/>
  <c r="K25" i="397"/>
  <c r="L25" i="397" s="1"/>
  <c r="F25" i="397"/>
  <c r="S24" i="397"/>
  <c r="K24" i="397"/>
  <c r="L24" i="397" s="1"/>
  <c r="F24" i="397"/>
  <c r="S23" i="397"/>
  <c r="K23" i="397"/>
  <c r="L23" i="397" s="1"/>
  <c r="P23" i="397" s="1"/>
  <c r="D23" i="397"/>
  <c r="S22" i="397"/>
  <c r="L22" i="397"/>
  <c r="K22" i="397"/>
  <c r="F22" i="397"/>
  <c r="S21" i="397"/>
  <c r="K21" i="397"/>
  <c r="L21" i="397" s="1"/>
  <c r="P21" i="397" s="1"/>
  <c r="F21" i="397"/>
  <c r="D21" i="397"/>
  <c r="S20" i="397"/>
  <c r="N20" i="397"/>
  <c r="L20" i="397"/>
  <c r="P20" i="397" s="1"/>
  <c r="K20" i="397"/>
  <c r="F20" i="397"/>
  <c r="S19" i="397"/>
  <c r="N19" i="397"/>
  <c r="K19" i="397"/>
  <c r="L19" i="397" s="1"/>
  <c r="P19" i="397" s="1"/>
  <c r="D19" i="397"/>
  <c r="S18" i="397"/>
  <c r="N18" i="397"/>
  <c r="K18" i="397"/>
  <c r="L18" i="397" s="1"/>
  <c r="P18" i="397" s="1"/>
  <c r="D18" i="397"/>
  <c r="F18" i="397" s="1"/>
  <c r="S17" i="397"/>
  <c r="N17" i="397"/>
  <c r="J17" i="397"/>
  <c r="K17" i="397" s="1"/>
  <c r="L17" i="397" s="1"/>
  <c r="D17" i="397"/>
  <c r="F17" i="397" s="1"/>
  <c r="S16" i="397"/>
  <c r="N16" i="397"/>
  <c r="K16" i="397"/>
  <c r="L16" i="397" s="1"/>
  <c r="P16" i="397" s="1"/>
  <c r="D16" i="397"/>
  <c r="S15" i="397"/>
  <c r="N15" i="397"/>
  <c r="K15" i="397"/>
  <c r="L15" i="397" s="1"/>
  <c r="F15" i="397"/>
  <c r="S14" i="397"/>
  <c r="N14" i="397"/>
  <c r="J14" i="397"/>
  <c r="K14" i="397" s="1"/>
  <c r="L14" i="397" s="1"/>
  <c r="P14" i="397" s="1"/>
  <c r="D14" i="397"/>
  <c r="F14" i="397" s="1"/>
  <c r="S13" i="397"/>
  <c r="K13" i="397"/>
  <c r="L13" i="397" s="1"/>
  <c r="F13" i="397"/>
  <c r="S12" i="397"/>
  <c r="N12" i="397"/>
  <c r="J12" i="397"/>
  <c r="K12" i="397" s="1"/>
  <c r="L12" i="397" s="1"/>
  <c r="D12" i="397"/>
  <c r="F12" i="397" s="1"/>
  <c r="S11" i="397"/>
  <c r="N11" i="397"/>
  <c r="K11" i="397"/>
  <c r="L11" i="397" s="1"/>
  <c r="P11" i="397" s="1"/>
  <c r="E11" i="397"/>
  <c r="D11" i="397"/>
  <c r="S10" i="397"/>
  <c r="N10" i="397"/>
  <c r="J10" i="397"/>
  <c r="K10" i="397" s="1"/>
  <c r="L10" i="397" s="1"/>
  <c r="F10" i="397"/>
  <c r="D10" i="397"/>
  <c r="S9" i="397"/>
  <c r="N9" i="397"/>
  <c r="L9" i="397"/>
  <c r="P9" i="397" s="1"/>
  <c r="K9" i="397"/>
  <c r="D9" i="397"/>
  <c r="F9" i="397" s="1"/>
  <c r="S8" i="397"/>
  <c r="N8" i="397"/>
  <c r="J8" i="397"/>
  <c r="K8" i="397" s="1"/>
  <c r="L8" i="397" s="1"/>
  <c r="P8" i="397" s="1"/>
  <c r="D8" i="397"/>
  <c r="F8" i="397" s="1"/>
  <c r="S7" i="397"/>
  <c r="N7" i="397"/>
  <c r="K7" i="397"/>
  <c r="L7" i="397" s="1"/>
  <c r="D7" i="397"/>
  <c r="F7" i="397" s="1"/>
  <c r="S6" i="397"/>
  <c r="J6" i="397"/>
  <c r="K6" i="397" s="1"/>
  <c r="L6" i="397" s="1"/>
  <c r="D6" i="397"/>
  <c r="F6" i="397" s="1"/>
  <c r="A6" i="397"/>
  <c r="S5" i="397"/>
  <c r="N5" i="397"/>
  <c r="L5" i="397"/>
  <c r="K5" i="397"/>
  <c r="D5" i="397"/>
  <c r="AC133" i="396"/>
  <c r="AB132" i="396"/>
  <c r="Z132" i="396"/>
  <c r="Y132" i="396"/>
  <c r="X132" i="396"/>
  <c r="W132" i="396"/>
  <c r="R132" i="396"/>
  <c r="Q132" i="396"/>
  <c r="J132" i="396"/>
  <c r="I132" i="396"/>
  <c r="H132" i="396"/>
  <c r="E132" i="396"/>
  <c r="AA131" i="396"/>
  <c r="S131" i="396"/>
  <c r="N131" i="396"/>
  <c r="K131" i="396"/>
  <c r="L131" i="396" s="1"/>
  <c r="D131" i="396"/>
  <c r="F131" i="396" s="1"/>
  <c r="S130" i="396"/>
  <c r="K130" i="396"/>
  <c r="L130" i="396" s="1"/>
  <c r="F130" i="396"/>
  <c r="AA129" i="396"/>
  <c r="S129" i="396"/>
  <c r="K129" i="396"/>
  <c r="L129" i="396" s="1"/>
  <c r="P129" i="396" s="1"/>
  <c r="D129" i="396"/>
  <c r="F129" i="396" s="1"/>
  <c r="S128" i="396"/>
  <c r="N128" i="396"/>
  <c r="K128" i="396"/>
  <c r="L128" i="396" s="1"/>
  <c r="S127" i="396"/>
  <c r="L127" i="396"/>
  <c r="P127" i="396" s="1"/>
  <c r="M127" i="396" s="1"/>
  <c r="O127" i="396" s="1"/>
  <c r="K127" i="396"/>
  <c r="F127" i="396"/>
  <c r="AA126" i="396"/>
  <c r="S126" i="396"/>
  <c r="N126" i="396"/>
  <c r="K126" i="396"/>
  <c r="L126" i="396" s="1"/>
  <c r="G126" i="396"/>
  <c r="F126" i="396"/>
  <c r="S125" i="396"/>
  <c r="K125" i="396"/>
  <c r="L125" i="396" s="1"/>
  <c r="P125" i="396" s="1"/>
  <c r="D125" i="396"/>
  <c r="F125" i="396" s="1"/>
  <c r="AA124" i="396"/>
  <c r="AA132" i="396" s="1"/>
  <c r="S124" i="396"/>
  <c r="N124" i="396"/>
  <c r="K124" i="396"/>
  <c r="L124" i="396" s="1"/>
  <c r="F124" i="396"/>
  <c r="S123" i="396"/>
  <c r="K123" i="396"/>
  <c r="L123" i="396" s="1"/>
  <c r="P123" i="396" s="1"/>
  <c r="D123" i="396"/>
  <c r="S122" i="396"/>
  <c r="K122" i="396"/>
  <c r="L122" i="396" s="1"/>
  <c r="F122" i="396"/>
  <c r="S121" i="396"/>
  <c r="K121" i="396"/>
  <c r="L121" i="396" s="1"/>
  <c r="P121" i="396" s="1"/>
  <c r="F121" i="396"/>
  <c r="S120" i="396"/>
  <c r="N120" i="396"/>
  <c r="K120" i="396"/>
  <c r="F120" i="396"/>
  <c r="P119" i="396"/>
  <c r="AB117" i="396"/>
  <c r="Z117" i="396"/>
  <c r="Y117" i="396"/>
  <c r="Y133" i="396" s="1"/>
  <c r="X117" i="396"/>
  <c r="H117" i="396"/>
  <c r="AA116" i="396"/>
  <c r="N116" i="396"/>
  <c r="O116" i="396" s="1"/>
  <c r="F116" i="396"/>
  <c r="N115" i="396"/>
  <c r="U115" i="396" s="1"/>
  <c r="V115" i="396" s="1"/>
  <c r="F115" i="396"/>
  <c r="N114" i="396"/>
  <c r="U114" i="396" s="1"/>
  <c r="V114" i="396" s="1"/>
  <c r="D114" i="396"/>
  <c r="F114" i="396" s="1"/>
  <c r="N113" i="396"/>
  <c r="U113" i="396" s="1"/>
  <c r="V113" i="396" s="1"/>
  <c r="F113" i="396"/>
  <c r="S112" i="396"/>
  <c r="N112" i="396"/>
  <c r="K112" i="396"/>
  <c r="L112" i="396" s="1"/>
  <c r="F112" i="396"/>
  <c r="S111" i="396"/>
  <c r="K111" i="396"/>
  <c r="L111" i="396" s="1"/>
  <c r="F111" i="396"/>
  <c r="S110" i="396"/>
  <c r="N110" i="396"/>
  <c r="K110" i="396"/>
  <c r="L110" i="396" s="1"/>
  <c r="D110" i="396"/>
  <c r="F110" i="396" s="1"/>
  <c r="S109" i="396"/>
  <c r="K109" i="396"/>
  <c r="L109" i="396" s="1"/>
  <c r="F109" i="396"/>
  <c r="S108" i="396"/>
  <c r="N108" i="396"/>
  <c r="K108" i="396"/>
  <c r="L108" i="396" s="1"/>
  <c r="F108" i="396"/>
  <c r="S107" i="396"/>
  <c r="N107" i="396"/>
  <c r="K107" i="396"/>
  <c r="L107" i="396" s="1"/>
  <c r="P107" i="396" s="1"/>
  <c r="D107" i="396"/>
  <c r="F107" i="396" s="1"/>
  <c r="AA106" i="396"/>
  <c r="S106" i="396"/>
  <c r="N106" i="396"/>
  <c r="L106" i="396"/>
  <c r="P106" i="396" s="1"/>
  <c r="K106" i="396"/>
  <c r="D106" i="396"/>
  <c r="F106" i="396" s="1"/>
  <c r="S105" i="396"/>
  <c r="K105" i="396"/>
  <c r="L105" i="396" s="1"/>
  <c r="F105" i="396"/>
  <c r="S104" i="396"/>
  <c r="K104" i="396"/>
  <c r="L104" i="396" s="1"/>
  <c r="F104" i="396"/>
  <c r="R103" i="396"/>
  <c r="R117" i="396" s="1"/>
  <c r="R133" i="396" s="1"/>
  <c r="N103" i="396"/>
  <c r="K103" i="396"/>
  <c r="L103" i="396" s="1"/>
  <c r="G103" i="396"/>
  <c r="F103" i="396"/>
  <c r="D103" i="396"/>
  <c r="S102" i="396"/>
  <c r="N102" i="396"/>
  <c r="K102" i="396"/>
  <c r="L102" i="396" s="1"/>
  <c r="P102" i="396" s="1"/>
  <c r="F102" i="396"/>
  <c r="S101" i="396"/>
  <c r="N101" i="396"/>
  <c r="K101" i="396"/>
  <c r="L101" i="396" s="1"/>
  <c r="D101" i="396"/>
  <c r="F101" i="396" s="1"/>
  <c r="S100" i="396"/>
  <c r="P100" i="396"/>
  <c r="K100" i="396"/>
  <c r="L100" i="396" s="1"/>
  <c r="D100" i="396"/>
  <c r="S99" i="396"/>
  <c r="L99" i="396"/>
  <c r="K99" i="396"/>
  <c r="D99" i="396"/>
  <c r="F99" i="396" s="1"/>
  <c r="AA98" i="396"/>
  <c r="S98" i="396"/>
  <c r="N98" i="396"/>
  <c r="K98" i="396"/>
  <c r="L98" i="396" s="1"/>
  <c r="F98" i="396"/>
  <c r="S97" i="396"/>
  <c r="N97" i="396"/>
  <c r="K97" i="396"/>
  <c r="L97" i="396" s="1"/>
  <c r="P97" i="396" s="1"/>
  <c r="F97" i="396"/>
  <c r="Q96" i="396"/>
  <c r="S96" i="396" s="1"/>
  <c r="N96" i="396"/>
  <c r="K96" i="396"/>
  <c r="L96" i="396" s="1"/>
  <c r="G96" i="396"/>
  <c r="D96" i="396"/>
  <c r="F96" i="396" s="1"/>
  <c r="Q95" i="396"/>
  <c r="S95" i="396" s="1"/>
  <c r="K95" i="396"/>
  <c r="L95" i="396" s="1"/>
  <c r="G95" i="396"/>
  <c r="D95" i="396"/>
  <c r="S94" i="396"/>
  <c r="N94" i="396"/>
  <c r="K94" i="396"/>
  <c r="L94" i="396" s="1"/>
  <c r="P94" i="396" s="1"/>
  <c r="F94" i="396"/>
  <c r="S93" i="396"/>
  <c r="K93" i="396"/>
  <c r="L93" i="396" s="1"/>
  <c r="P93" i="396" s="1"/>
  <c r="D93" i="396"/>
  <c r="AA92" i="396"/>
  <c r="S92" i="396"/>
  <c r="N92" i="396"/>
  <c r="K92" i="396"/>
  <c r="L92" i="396" s="1"/>
  <c r="P92" i="396" s="1"/>
  <c r="D92" i="396"/>
  <c r="F92" i="396" s="1"/>
  <c r="S91" i="396"/>
  <c r="K91" i="396"/>
  <c r="L91" i="396" s="1"/>
  <c r="F91" i="396"/>
  <c r="S90" i="396"/>
  <c r="N90" i="396"/>
  <c r="K90" i="396"/>
  <c r="L90" i="396" s="1"/>
  <c r="G90" i="396"/>
  <c r="F90" i="396"/>
  <c r="S89" i="396"/>
  <c r="N89" i="396"/>
  <c r="K89" i="396"/>
  <c r="L89" i="396" s="1"/>
  <c r="F89" i="396"/>
  <c r="S88" i="396"/>
  <c r="N88" i="396"/>
  <c r="K88" i="396"/>
  <c r="L88" i="396" s="1"/>
  <c r="F88" i="396"/>
  <c r="S87" i="396"/>
  <c r="N87" i="396"/>
  <c r="L87" i="396"/>
  <c r="K87" i="396"/>
  <c r="F87" i="396"/>
  <c r="S86" i="396"/>
  <c r="N86" i="396"/>
  <c r="K86" i="396"/>
  <c r="L86" i="396" s="1"/>
  <c r="P86" i="396" s="1"/>
  <c r="D86" i="396"/>
  <c r="S85" i="396"/>
  <c r="L85" i="396"/>
  <c r="K85" i="396"/>
  <c r="F85" i="396"/>
  <c r="S84" i="396"/>
  <c r="N84" i="396"/>
  <c r="K84" i="396"/>
  <c r="L84" i="396" s="1"/>
  <c r="F84" i="396"/>
  <c r="S83" i="396"/>
  <c r="N83" i="396"/>
  <c r="K83" i="396"/>
  <c r="L83" i="396" s="1"/>
  <c r="D83" i="396"/>
  <c r="F83" i="396" s="1"/>
  <c r="S82" i="396"/>
  <c r="N82" i="396"/>
  <c r="K82" i="396"/>
  <c r="L82" i="396" s="1"/>
  <c r="F82" i="396"/>
  <c r="Q81" i="396"/>
  <c r="S81" i="396" s="1"/>
  <c r="N81" i="396"/>
  <c r="K81" i="396"/>
  <c r="L81" i="396" s="1"/>
  <c r="G81" i="396"/>
  <c r="D81" i="396"/>
  <c r="F81" i="396" s="1"/>
  <c r="S80" i="396"/>
  <c r="N80" i="396"/>
  <c r="K80" i="396"/>
  <c r="L80" i="396" s="1"/>
  <c r="F80" i="396"/>
  <c r="S79" i="396"/>
  <c r="N79" i="396"/>
  <c r="K79" i="396"/>
  <c r="L79" i="396" s="1"/>
  <c r="F79" i="396"/>
  <c r="S78" i="396"/>
  <c r="N78" i="396"/>
  <c r="K78" i="396"/>
  <c r="L78" i="396" s="1"/>
  <c r="G78" i="396"/>
  <c r="D78" i="396"/>
  <c r="F78" i="396" s="1"/>
  <c r="S77" i="396"/>
  <c r="K77" i="396"/>
  <c r="L77" i="396" s="1"/>
  <c r="F77" i="396"/>
  <c r="S76" i="396"/>
  <c r="N76" i="396"/>
  <c r="K76" i="396"/>
  <c r="L76" i="396" s="1"/>
  <c r="P76" i="396" s="1"/>
  <c r="M76" i="396" s="1"/>
  <c r="O76" i="396" s="1"/>
  <c r="F76" i="396"/>
  <c r="Q75" i="396"/>
  <c r="S75" i="396" s="1"/>
  <c r="K75" i="396"/>
  <c r="L75" i="396" s="1"/>
  <c r="F75" i="396"/>
  <c r="S74" i="396"/>
  <c r="N74" i="396"/>
  <c r="K74" i="396"/>
  <c r="L74" i="396" s="1"/>
  <c r="P74" i="396" s="1"/>
  <c r="F74" i="396"/>
  <c r="S73" i="396"/>
  <c r="N73" i="396"/>
  <c r="K73" i="396"/>
  <c r="L73" i="396" s="1"/>
  <c r="F73" i="396"/>
  <c r="S72" i="396"/>
  <c r="K72" i="396"/>
  <c r="L72" i="396" s="1"/>
  <c r="F72" i="396"/>
  <c r="Q71" i="396"/>
  <c r="S71" i="396" s="1"/>
  <c r="N71" i="396"/>
  <c r="K71" i="396"/>
  <c r="L71" i="396" s="1"/>
  <c r="F71" i="396"/>
  <c r="S70" i="396"/>
  <c r="N70" i="396"/>
  <c r="K70" i="396"/>
  <c r="L70" i="396" s="1"/>
  <c r="F70" i="396"/>
  <c r="S69" i="396"/>
  <c r="N69" i="396"/>
  <c r="K69" i="396"/>
  <c r="L69" i="396" s="1"/>
  <c r="P69" i="396" s="1"/>
  <c r="D69" i="396"/>
  <c r="Q68" i="396"/>
  <c r="S68" i="396" s="1"/>
  <c r="N68" i="396"/>
  <c r="K68" i="396"/>
  <c r="L68" i="396" s="1"/>
  <c r="G68" i="396"/>
  <c r="F68" i="396"/>
  <c r="S67" i="396"/>
  <c r="N67" i="396"/>
  <c r="K67" i="396"/>
  <c r="L67" i="396" s="1"/>
  <c r="F67" i="396"/>
  <c r="S66" i="396"/>
  <c r="N66" i="396"/>
  <c r="L66" i="396"/>
  <c r="P66" i="396" s="1"/>
  <c r="M66" i="396" s="1"/>
  <c r="T66" i="396" s="1"/>
  <c r="K66" i="396"/>
  <c r="F66" i="396"/>
  <c r="S65" i="396"/>
  <c r="N65" i="396"/>
  <c r="K65" i="396"/>
  <c r="L65" i="396" s="1"/>
  <c r="P65" i="396" s="1"/>
  <c r="D65" i="396"/>
  <c r="F65" i="396" s="1"/>
  <c r="S64" i="396"/>
  <c r="N64" i="396"/>
  <c r="K64" i="396"/>
  <c r="L64" i="396" s="1"/>
  <c r="P64" i="396" s="1"/>
  <c r="F64" i="396"/>
  <c r="S63" i="396"/>
  <c r="N63" i="396"/>
  <c r="K63" i="396"/>
  <c r="L63" i="396" s="1"/>
  <c r="F63" i="396"/>
  <c r="S62" i="396"/>
  <c r="N62" i="396"/>
  <c r="K62" i="396"/>
  <c r="L62" i="396" s="1"/>
  <c r="P62" i="396" s="1"/>
  <c r="D62" i="396"/>
  <c r="S61" i="396"/>
  <c r="K61" i="396"/>
  <c r="L61" i="396" s="1"/>
  <c r="P61" i="396" s="1"/>
  <c r="M61" i="396" s="1"/>
  <c r="O61" i="396" s="1"/>
  <c r="F61" i="396"/>
  <c r="S60" i="396"/>
  <c r="N60" i="396"/>
  <c r="M60" i="396"/>
  <c r="K60" i="396"/>
  <c r="L60" i="396" s="1"/>
  <c r="P60" i="396" s="1"/>
  <c r="F60" i="396"/>
  <c r="S59" i="396"/>
  <c r="K59" i="396"/>
  <c r="L59" i="396" s="1"/>
  <c r="F59" i="396"/>
  <c r="S58" i="396"/>
  <c r="K58" i="396"/>
  <c r="L58" i="396" s="1"/>
  <c r="F58" i="396"/>
  <c r="S57" i="396"/>
  <c r="K57" i="396"/>
  <c r="L57" i="396" s="1"/>
  <c r="P57" i="396" s="1"/>
  <c r="F57" i="396"/>
  <c r="S56" i="396"/>
  <c r="N56" i="396"/>
  <c r="K56" i="396"/>
  <c r="L56" i="396" s="1"/>
  <c r="P56" i="396" s="1"/>
  <c r="M56" i="396" s="1"/>
  <c r="D56" i="396"/>
  <c r="F56" i="396" s="1"/>
  <c r="S55" i="396"/>
  <c r="N55" i="396"/>
  <c r="K55" i="396"/>
  <c r="L55" i="396" s="1"/>
  <c r="P55" i="396" s="1"/>
  <c r="F55" i="396"/>
  <c r="S54" i="396"/>
  <c r="K54" i="396"/>
  <c r="L54" i="396" s="1"/>
  <c r="P54" i="396" s="1"/>
  <c r="F54" i="396"/>
  <c r="S53" i="396"/>
  <c r="K53" i="396"/>
  <c r="L53" i="396" s="1"/>
  <c r="P53" i="396" s="1"/>
  <c r="M53" i="396" s="1"/>
  <c r="D53" i="396"/>
  <c r="F53" i="396" s="1"/>
  <c r="S52" i="396"/>
  <c r="N52" i="396"/>
  <c r="K52" i="396"/>
  <c r="L52" i="396" s="1"/>
  <c r="F52" i="396"/>
  <c r="S51" i="396"/>
  <c r="K51" i="396"/>
  <c r="L51" i="396" s="1"/>
  <c r="P51" i="396" s="1"/>
  <c r="F51" i="396"/>
  <c r="W50" i="396"/>
  <c r="Q50" i="396"/>
  <c r="S50" i="396" s="1"/>
  <c r="N50" i="396"/>
  <c r="K50" i="396"/>
  <c r="L50" i="396" s="1"/>
  <c r="G50" i="396"/>
  <c r="F50" i="396"/>
  <c r="Q49" i="396"/>
  <c r="S49" i="396" s="1"/>
  <c r="N49" i="396"/>
  <c r="K49" i="396"/>
  <c r="L49" i="396" s="1"/>
  <c r="G49" i="396"/>
  <c r="D49" i="396"/>
  <c r="F49" i="396" s="1"/>
  <c r="AA48" i="396"/>
  <c r="Q48" i="396"/>
  <c r="S48" i="396" s="1"/>
  <c r="N48" i="396"/>
  <c r="K48" i="396"/>
  <c r="L48" i="396" s="1"/>
  <c r="G48" i="396"/>
  <c r="F48" i="396"/>
  <c r="S47" i="396"/>
  <c r="N47" i="396"/>
  <c r="K47" i="396"/>
  <c r="L47" i="396" s="1"/>
  <c r="F47" i="396"/>
  <c r="S46" i="396"/>
  <c r="N46" i="396"/>
  <c r="K46" i="396"/>
  <c r="L46" i="396" s="1"/>
  <c r="F46" i="396"/>
  <c r="S45" i="396"/>
  <c r="N45" i="396"/>
  <c r="K45" i="396"/>
  <c r="L45" i="396" s="1"/>
  <c r="P45" i="396" s="1"/>
  <c r="D45" i="396"/>
  <c r="F45" i="396" s="1"/>
  <c r="S44" i="396"/>
  <c r="K44" i="396"/>
  <c r="L44" i="396" s="1"/>
  <c r="P44" i="396" s="1"/>
  <c r="D44" i="396"/>
  <c r="F44" i="396" s="1"/>
  <c r="AA43" i="396"/>
  <c r="S43" i="396"/>
  <c r="N43" i="396"/>
  <c r="K43" i="396"/>
  <c r="L43" i="396" s="1"/>
  <c r="P43" i="396" s="1"/>
  <c r="F43" i="396"/>
  <c r="D43" i="396"/>
  <c r="S42" i="396"/>
  <c r="K42" i="396"/>
  <c r="L42" i="396" s="1"/>
  <c r="P42" i="396" s="1"/>
  <c r="F42" i="396"/>
  <c r="S41" i="396"/>
  <c r="K41" i="396"/>
  <c r="L41" i="396" s="1"/>
  <c r="P41" i="396" s="1"/>
  <c r="D41" i="396"/>
  <c r="F41" i="396" s="1"/>
  <c r="S40" i="396"/>
  <c r="N40" i="396"/>
  <c r="K40" i="396"/>
  <c r="L40" i="396" s="1"/>
  <c r="P40" i="396" s="1"/>
  <c r="M40" i="396" s="1"/>
  <c r="D40" i="396"/>
  <c r="F40" i="396" s="1"/>
  <c r="AA39" i="396"/>
  <c r="Q39" i="396"/>
  <c r="S39" i="396" s="1"/>
  <c r="N39" i="396"/>
  <c r="L39" i="396"/>
  <c r="P39" i="396" s="1"/>
  <c r="K39" i="396"/>
  <c r="G39" i="396"/>
  <c r="D39" i="396"/>
  <c r="Q38" i="396"/>
  <c r="S38" i="396" s="1"/>
  <c r="N38" i="396"/>
  <c r="K38" i="396"/>
  <c r="L38" i="396" s="1"/>
  <c r="G38" i="396"/>
  <c r="F38" i="396"/>
  <c r="Q37" i="396"/>
  <c r="S37" i="396" s="1"/>
  <c r="N37" i="396"/>
  <c r="K37" i="396"/>
  <c r="L37" i="396" s="1"/>
  <c r="G37" i="396"/>
  <c r="F37" i="396"/>
  <c r="S36" i="396"/>
  <c r="N36" i="396"/>
  <c r="K36" i="396"/>
  <c r="L36" i="396" s="1"/>
  <c r="F36" i="396"/>
  <c r="S35" i="396"/>
  <c r="N35" i="396"/>
  <c r="K35" i="396"/>
  <c r="L35" i="396" s="1"/>
  <c r="F35" i="396"/>
  <c r="S34" i="396"/>
  <c r="K34" i="396"/>
  <c r="L34" i="396" s="1"/>
  <c r="P34" i="396" s="1"/>
  <c r="M34" i="396" s="1"/>
  <c r="T34" i="396" s="1"/>
  <c r="U34" i="396" s="1"/>
  <c r="V34" i="396" s="1"/>
  <c r="D34" i="396"/>
  <c r="S33" i="396"/>
  <c r="N33" i="396"/>
  <c r="K33" i="396"/>
  <c r="L33" i="396" s="1"/>
  <c r="F33" i="396"/>
  <c r="D33" i="396"/>
  <c r="S32" i="396"/>
  <c r="K32" i="396"/>
  <c r="L32" i="396" s="1"/>
  <c r="P32" i="396" s="1"/>
  <c r="F32" i="396"/>
  <c r="D32" i="396"/>
  <c r="AA31" i="396"/>
  <c r="Q31" i="396"/>
  <c r="S31" i="396" s="1"/>
  <c r="N31" i="396"/>
  <c r="K31" i="396"/>
  <c r="L31" i="396" s="1"/>
  <c r="G31" i="396"/>
  <c r="D31" i="396"/>
  <c r="F31" i="396" s="1"/>
  <c r="Q30" i="396"/>
  <c r="S30" i="396" s="1"/>
  <c r="N30" i="396"/>
  <c r="K30" i="396"/>
  <c r="L30" i="396" s="1"/>
  <c r="G30" i="396"/>
  <c r="D30" i="396"/>
  <c r="F30" i="396" s="1"/>
  <c r="S29" i="396"/>
  <c r="N29" i="396"/>
  <c r="K29" i="396"/>
  <c r="L29" i="396" s="1"/>
  <c r="P29" i="396" s="1"/>
  <c r="M29" i="396" s="1"/>
  <c r="D29" i="396"/>
  <c r="F29" i="396" s="1"/>
  <c r="S28" i="396"/>
  <c r="N28" i="396"/>
  <c r="K28" i="396"/>
  <c r="L28" i="396" s="1"/>
  <c r="P28" i="396" s="1"/>
  <c r="D28" i="396"/>
  <c r="F28" i="396" s="1"/>
  <c r="AA27" i="396"/>
  <c r="S27" i="396"/>
  <c r="N27" i="396"/>
  <c r="K27" i="396"/>
  <c r="L27" i="396" s="1"/>
  <c r="P27" i="396" s="1"/>
  <c r="F27" i="396"/>
  <c r="S26" i="396"/>
  <c r="N26" i="396"/>
  <c r="K26" i="396"/>
  <c r="L26" i="396" s="1"/>
  <c r="G26" i="396"/>
  <c r="E26" i="396"/>
  <c r="D26" i="396"/>
  <c r="F26" i="396" s="1"/>
  <c r="S25" i="396"/>
  <c r="K25" i="396"/>
  <c r="L25" i="396" s="1"/>
  <c r="F25" i="396"/>
  <c r="S24" i="396"/>
  <c r="K24" i="396"/>
  <c r="L24" i="396" s="1"/>
  <c r="F24" i="396"/>
  <c r="S23" i="396"/>
  <c r="K23" i="396"/>
  <c r="L23" i="396" s="1"/>
  <c r="G23" i="396"/>
  <c r="E23" i="396"/>
  <c r="D23" i="396"/>
  <c r="S22" i="396"/>
  <c r="J22" i="396"/>
  <c r="K22" i="396" s="1"/>
  <c r="L22" i="396" s="1"/>
  <c r="P22" i="396" s="1"/>
  <c r="M22" i="396" s="1"/>
  <c r="F22" i="396"/>
  <c r="S21" i="396"/>
  <c r="N21" i="396"/>
  <c r="I21" i="396"/>
  <c r="F21" i="396"/>
  <c r="S20" i="396"/>
  <c r="N20" i="396"/>
  <c r="K20" i="396"/>
  <c r="L20" i="396" s="1"/>
  <c r="P20" i="396" s="1"/>
  <c r="D20" i="396"/>
  <c r="S19" i="396"/>
  <c r="J19" i="396"/>
  <c r="K19" i="396" s="1"/>
  <c r="L19" i="396" s="1"/>
  <c r="D19" i="396"/>
  <c r="F19" i="396" s="1"/>
  <c r="S18" i="396"/>
  <c r="N18" i="396"/>
  <c r="K18" i="396"/>
  <c r="L18" i="396" s="1"/>
  <c r="F18" i="396"/>
  <c r="S17" i="396"/>
  <c r="N17" i="396"/>
  <c r="J17" i="396"/>
  <c r="K17" i="396" s="1"/>
  <c r="L17" i="396" s="1"/>
  <c r="F17" i="396"/>
  <c r="S16" i="396"/>
  <c r="N16" i="396"/>
  <c r="J16" i="396"/>
  <c r="K16" i="396" s="1"/>
  <c r="L16" i="396" s="1"/>
  <c r="P16" i="396" s="1"/>
  <c r="D16" i="396"/>
  <c r="F16" i="396" s="1"/>
  <c r="S15" i="396"/>
  <c r="N15" i="396"/>
  <c r="J15" i="396"/>
  <c r="K15" i="396" s="1"/>
  <c r="L15" i="396" s="1"/>
  <c r="D15" i="396"/>
  <c r="F15" i="396" s="1"/>
  <c r="S14" i="396"/>
  <c r="J14" i="396"/>
  <c r="K14" i="396" s="1"/>
  <c r="L14" i="396" s="1"/>
  <c r="F14" i="396"/>
  <c r="S13" i="396"/>
  <c r="N13" i="396"/>
  <c r="K13" i="396"/>
  <c r="L13" i="396" s="1"/>
  <c r="F13" i="396"/>
  <c r="S12" i="396"/>
  <c r="K12" i="396"/>
  <c r="L12" i="396" s="1"/>
  <c r="J12" i="396"/>
  <c r="F12" i="396"/>
  <c r="Q11" i="396"/>
  <c r="S11" i="396" s="1"/>
  <c r="N11" i="396"/>
  <c r="J11" i="396"/>
  <c r="K11" i="396" s="1"/>
  <c r="L11" i="396" s="1"/>
  <c r="D11" i="396"/>
  <c r="F11" i="396" s="1"/>
  <c r="Q10" i="396"/>
  <c r="N10" i="396"/>
  <c r="J10" i="396"/>
  <c r="K10" i="396" s="1"/>
  <c r="L10" i="396" s="1"/>
  <c r="P10" i="396" s="1"/>
  <c r="F10" i="396"/>
  <c r="S9" i="396"/>
  <c r="K9" i="396"/>
  <c r="L9" i="396" s="1"/>
  <c r="P9" i="396" s="1"/>
  <c r="F9" i="396"/>
  <c r="S8" i="396"/>
  <c r="N8" i="396"/>
  <c r="J8" i="396"/>
  <c r="K8" i="396" s="1"/>
  <c r="L8" i="396" s="1"/>
  <c r="P8" i="396" s="1"/>
  <c r="D8" i="396"/>
  <c r="F8" i="396" s="1"/>
  <c r="AA7" i="396"/>
  <c r="S7" i="396"/>
  <c r="N7" i="396"/>
  <c r="J7" i="396"/>
  <c r="K7" i="396" s="1"/>
  <c r="L7" i="396" s="1"/>
  <c r="D7" i="396"/>
  <c r="S6" i="396"/>
  <c r="J6" i="396"/>
  <c r="F6" i="396"/>
  <c r="A6" i="396"/>
  <c r="A7" i="396" s="1"/>
  <c r="A8" i="396" s="1"/>
  <c r="A9" i="396" s="1"/>
  <c r="A10" i="396" s="1"/>
  <c r="A11" i="396" s="1"/>
  <c r="A12" i="396" s="1"/>
  <c r="A13" i="396" s="1"/>
  <c r="A14" i="396" s="1"/>
  <c r="A15" i="396" s="1"/>
  <c r="A16" i="396" s="1"/>
  <c r="A17" i="396" s="1"/>
  <c r="A18" i="396" s="1"/>
  <c r="A19" i="396" s="1"/>
  <c r="A20" i="396" s="1"/>
  <c r="A21" i="396" s="1"/>
  <c r="A22" i="396" s="1"/>
  <c r="A23" i="396" s="1"/>
  <c r="A24" i="396" s="1"/>
  <c r="A25" i="396" s="1"/>
  <c r="A26" i="396" s="1"/>
  <c r="A27" i="396" s="1"/>
  <c r="A28" i="396" s="1"/>
  <c r="A29" i="396" s="1"/>
  <c r="A30" i="396" s="1"/>
  <c r="A31" i="396" s="1"/>
  <c r="A32" i="396" s="1"/>
  <c r="A33" i="396" s="1"/>
  <c r="A34" i="396" s="1"/>
  <c r="A35" i="396" s="1"/>
  <c r="A36" i="396" s="1"/>
  <c r="A37" i="396" s="1"/>
  <c r="A38" i="396" s="1"/>
  <c r="A39" i="396" s="1"/>
  <c r="A40" i="396" s="1"/>
  <c r="A41" i="396" s="1"/>
  <c r="A42" i="396" s="1"/>
  <c r="A43" i="396" s="1"/>
  <c r="A44" i="396" s="1"/>
  <c r="A45" i="396" s="1"/>
  <c r="A46" i="396" s="1"/>
  <c r="A47" i="396" s="1"/>
  <c r="A48" i="396" s="1"/>
  <c r="A49" i="396" s="1"/>
  <c r="A50" i="396" s="1"/>
  <c r="A51" i="396" s="1"/>
  <c r="A52" i="396" s="1"/>
  <c r="A53" i="396" s="1"/>
  <c r="A54" i="396" s="1"/>
  <c r="A55" i="396" s="1"/>
  <c r="A56" i="396" s="1"/>
  <c r="A57" i="396" s="1"/>
  <c r="A58" i="396" s="1"/>
  <c r="A59" i="396" s="1"/>
  <c r="A60" i="396" s="1"/>
  <c r="A61" i="396" s="1"/>
  <c r="A62" i="396" s="1"/>
  <c r="A63" i="396" s="1"/>
  <c r="A64" i="396" s="1"/>
  <c r="A65" i="396" s="1"/>
  <c r="A66" i="396" s="1"/>
  <c r="A67" i="396" s="1"/>
  <c r="A68" i="396" s="1"/>
  <c r="A69" i="396" s="1"/>
  <c r="A70" i="396" s="1"/>
  <c r="A71" i="396" s="1"/>
  <c r="A72" i="396" s="1"/>
  <c r="A73" i="396" s="1"/>
  <c r="A74" i="396" s="1"/>
  <c r="A75" i="396" s="1"/>
  <c r="A76" i="396" s="1"/>
  <c r="A77" i="396" s="1"/>
  <c r="A78" i="396" s="1"/>
  <c r="A79" i="396" s="1"/>
  <c r="A80" i="396" s="1"/>
  <c r="A81" i="396" s="1"/>
  <c r="A82" i="396" s="1"/>
  <c r="A83" i="396" s="1"/>
  <c r="A84" i="396" s="1"/>
  <c r="A85" i="396" s="1"/>
  <c r="A86" i="396" s="1"/>
  <c r="A87" i="396" s="1"/>
  <c r="A88" i="396" s="1"/>
  <c r="A89" i="396" s="1"/>
  <c r="A90" i="396" s="1"/>
  <c r="A91" i="396" s="1"/>
  <c r="A92" i="396" s="1"/>
  <c r="A93" i="396" s="1"/>
  <c r="A94" i="396" s="1"/>
  <c r="A95" i="396" s="1"/>
  <c r="A96" i="396" s="1"/>
  <c r="A97" i="396" s="1"/>
  <c r="A98" i="396" s="1"/>
  <c r="A99" i="396" s="1"/>
  <c r="A100" i="396" s="1"/>
  <c r="A101" i="396" s="1"/>
  <c r="A102" i="396" s="1"/>
  <c r="A103" i="396" s="1"/>
  <c r="A104" i="396" s="1"/>
  <c r="A105" i="396" s="1"/>
  <c r="A106" i="396" s="1"/>
  <c r="A107" i="396" s="1"/>
  <c r="A108" i="396" s="1"/>
  <c r="A109" i="396" s="1"/>
  <c r="A110" i="396" s="1"/>
  <c r="A111" i="396" s="1"/>
  <c r="A112" i="396" s="1"/>
  <c r="A113" i="396" s="1"/>
  <c r="A114" i="396" s="1"/>
  <c r="A115" i="396" s="1"/>
  <c r="A116" i="396" s="1"/>
  <c r="S5" i="396"/>
  <c r="N5" i="396"/>
  <c r="K5" i="396"/>
  <c r="L5" i="396" s="1"/>
  <c r="F5" i="396"/>
  <c r="X2" i="396"/>
  <c r="AA65" i="395"/>
  <c r="Z65" i="395"/>
  <c r="Y65" i="395"/>
  <c r="X65" i="395"/>
  <c r="W65" i="395"/>
  <c r="R65" i="395"/>
  <c r="Q65" i="395"/>
  <c r="H65" i="395"/>
  <c r="E65" i="395"/>
  <c r="S64" i="395"/>
  <c r="N64" i="395"/>
  <c r="K64" i="395"/>
  <c r="L64" i="395" s="1"/>
  <c r="P64" i="395" s="1"/>
  <c r="F64" i="395"/>
  <c r="D64" i="395"/>
  <c r="S63" i="395"/>
  <c r="P63" i="395"/>
  <c r="M63" i="395" s="1"/>
  <c r="N63" i="395"/>
  <c r="K63" i="395"/>
  <c r="L63" i="395" s="1"/>
  <c r="D63" i="395"/>
  <c r="F63" i="395" s="1"/>
  <c r="S62" i="395"/>
  <c r="N62" i="395"/>
  <c r="K62" i="395"/>
  <c r="L62" i="395" s="1"/>
  <c r="P62" i="395" s="1"/>
  <c r="D62" i="395"/>
  <c r="F62" i="395" s="1"/>
  <c r="S61" i="395"/>
  <c r="N61" i="395"/>
  <c r="K61" i="395"/>
  <c r="L61" i="395" s="1"/>
  <c r="P61" i="395" s="1"/>
  <c r="F61" i="395"/>
  <c r="D61" i="395"/>
  <c r="S60" i="395"/>
  <c r="K60" i="395"/>
  <c r="L60" i="395" s="1"/>
  <c r="P60" i="395" s="1"/>
  <c r="F60" i="395"/>
  <c r="S59" i="395"/>
  <c r="N59" i="395"/>
  <c r="L59" i="395"/>
  <c r="P59" i="395" s="1"/>
  <c r="K59" i="395"/>
  <c r="D59" i="395"/>
  <c r="F59" i="395" s="1"/>
  <c r="S58" i="395"/>
  <c r="N58" i="395"/>
  <c r="K58" i="395"/>
  <c r="L58" i="395" s="1"/>
  <c r="P58" i="395" s="1"/>
  <c r="F58" i="395"/>
  <c r="S57" i="395"/>
  <c r="N57" i="395"/>
  <c r="K57" i="395"/>
  <c r="L57" i="395" s="1"/>
  <c r="F57" i="395"/>
  <c r="S56" i="395"/>
  <c r="K56" i="395"/>
  <c r="L56" i="395" s="1"/>
  <c r="P56" i="395" s="1"/>
  <c r="F56" i="395"/>
  <c r="S55" i="395"/>
  <c r="N55" i="395"/>
  <c r="K55" i="395"/>
  <c r="L55" i="395" s="1"/>
  <c r="F55" i="395"/>
  <c r="S54" i="395"/>
  <c r="N54" i="395"/>
  <c r="L54" i="395"/>
  <c r="P54" i="395" s="1"/>
  <c r="K54" i="395"/>
  <c r="F54" i="395"/>
  <c r="S53" i="395"/>
  <c r="N53" i="395"/>
  <c r="K53" i="395"/>
  <c r="L53" i="395" s="1"/>
  <c r="F53" i="395"/>
  <c r="S52" i="395"/>
  <c r="K52" i="395"/>
  <c r="L52" i="395" s="1"/>
  <c r="P52" i="395" s="1"/>
  <c r="F52" i="395"/>
  <c r="S51" i="395"/>
  <c r="K51" i="395"/>
  <c r="L51" i="395" s="1"/>
  <c r="P51" i="395" s="1"/>
  <c r="M51" i="395" s="1"/>
  <c r="O51" i="395" s="1"/>
  <c r="F51" i="395"/>
  <c r="S50" i="395"/>
  <c r="K50" i="395"/>
  <c r="L50" i="395" s="1"/>
  <c r="F50" i="395"/>
  <c r="S49" i="395"/>
  <c r="N49" i="395"/>
  <c r="K49" i="395"/>
  <c r="L49" i="395" s="1"/>
  <c r="J49" i="395"/>
  <c r="G49" i="395"/>
  <c r="F49" i="395"/>
  <c r="S48" i="395"/>
  <c r="N48" i="395"/>
  <c r="K48" i="395"/>
  <c r="L48" i="395" s="1"/>
  <c r="P48" i="395" s="1"/>
  <c r="F48" i="395"/>
  <c r="S47" i="395"/>
  <c r="N47" i="395"/>
  <c r="K47" i="395"/>
  <c r="L47" i="395" s="1"/>
  <c r="F47" i="395"/>
  <c r="S46" i="395"/>
  <c r="N46" i="395"/>
  <c r="K46" i="395"/>
  <c r="L46" i="395" s="1"/>
  <c r="P46" i="395" s="1"/>
  <c r="F46" i="395"/>
  <c r="S45" i="395"/>
  <c r="N45" i="395"/>
  <c r="K45" i="395"/>
  <c r="L45" i="395" s="1"/>
  <c r="F45" i="395"/>
  <c r="S44" i="395"/>
  <c r="N44" i="395"/>
  <c r="L44" i="395"/>
  <c r="P44" i="395" s="1"/>
  <c r="K44" i="395"/>
  <c r="F44" i="395"/>
  <c r="S43" i="395"/>
  <c r="N43" i="395"/>
  <c r="K43" i="395"/>
  <c r="L43" i="395" s="1"/>
  <c r="F43" i="395"/>
  <c r="S42" i="395"/>
  <c r="L42" i="395"/>
  <c r="P42" i="395" s="1"/>
  <c r="K42" i="395"/>
  <c r="D42" i="395"/>
  <c r="F42" i="395" s="1"/>
  <c r="S41" i="395"/>
  <c r="K41" i="395"/>
  <c r="L41" i="395" s="1"/>
  <c r="P41" i="395" s="1"/>
  <c r="M41" i="395" s="1"/>
  <c r="O41" i="395" s="1"/>
  <c r="F41" i="395"/>
  <c r="S40" i="395"/>
  <c r="K40" i="395"/>
  <c r="L40" i="395" s="1"/>
  <c r="P40" i="395" s="1"/>
  <c r="D40" i="395"/>
  <c r="F40" i="395" s="1"/>
  <c r="S39" i="395"/>
  <c r="N39" i="395"/>
  <c r="L39" i="395"/>
  <c r="P39" i="395" s="1"/>
  <c r="M39" i="395" s="1"/>
  <c r="K39" i="395"/>
  <c r="F39" i="395"/>
  <c r="S38" i="395"/>
  <c r="N38" i="395"/>
  <c r="K38" i="395"/>
  <c r="L38" i="395" s="1"/>
  <c r="P38" i="395" s="1"/>
  <c r="F38" i="395"/>
  <c r="S37" i="395"/>
  <c r="K37" i="395"/>
  <c r="L37" i="395" s="1"/>
  <c r="P37" i="395" s="1"/>
  <c r="M37" i="395" s="1"/>
  <c r="T37" i="395" s="1"/>
  <c r="U37" i="395" s="1"/>
  <c r="V37" i="395" s="1"/>
  <c r="D37" i="395"/>
  <c r="F37" i="395" s="1"/>
  <c r="S36" i="395"/>
  <c r="N36" i="395"/>
  <c r="K36" i="395"/>
  <c r="L36" i="395" s="1"/>
  <c r="P36" i="395" s="1"/>
  <c r="F36" i="395"/>
  <c r="S35" i="395"/>
  <c r="L35" i="395"/>
  <c r="P35" i="395" s="1"/>
  <c r="M35" i="395" s="1"/>
  <c r="K35" i="395"/>
  <c r="F35" i="395"/>
  <c r="S34" i="395"/>
  <c r="N34" i="395"/>
  <c r="K34" i="395"/>
  <c r="L34" i="395" s="1"/>
  <c r="F34" i="395"/>
  <c r="S33" i="395"/>
  <c r="N33" i="395"/>
  <c r="I33" i="395"/>
  <c r="K33" i="395" s="1"/>
  <c r="L33" i="395" s="1"/>
  <c r="P33" i="395" s="1"/>
  <c r="F33" i="395"/>
  <c r="D33" i="395"/>
  <c r="S32" i="395"/>
  <c r="L32" i="395"/>
  <c r="P32" i="395" s="1"/>
  <c r="K32" i="395"/>
  <c r="F32" i="395"/>
  <c r="S31" i="395"/>
  <c r="P31" i="395"/>
  <c r="M31" i="395" s="1"/>
  <c r="N31" i="395"/>
  <c r="K31" i="395"/>
  <c r="L31" i="395" s="1"/>
  <c r="F31" i="395"/>
  <c r="S30" i="395"/>
  <c r="N30" i="395"/>
  <c r="K30" i="395"/>
  <c r="L30" i="395" s="1"/>
  <c r="P30" i="395" s="1"/>
  <c r="F30" i="395"/>
  <c r="S29" i="395"/>
  <c r="N29" i="395"/>
  <c r="I29" i="395"/>
  <c r="K29" i="395" s="1"/>
  <c r="L29" i="395" s="1"/>
  <c r="P29" i="395" s="1"/>
  <c r="D29" i="395"/>
  <c r="F29" i="395" s="1"/>
  <c r="S28" i="395"/>
  <c r="N28" i="395"/>
  <c r="L28" i="395"/>
  <c r="P28" i="395" s="1"/>
  <c r="K28" i="395"/>
  <c r="F28" i="395"/>
  <c r="S27" i="395"/>
  <c r="K27" i="395"/>
  <c r="L27" i="395" s="1"/>
  <c r="F27" i="395"/>
  <c r="S26" i="395"/>
  <c r="N26" i="395"/>
  <c r="I26" i="395"/>
  <c r="K26" i="395" s="1"/>
  <c r="L26" i="395" s="1"/>
  <c r="P26" i="395" s="1"/>
  <c r="F26" i="395"/>
  <c r="S25" i="395"/>
  <c r="K25" i="395"/>
  <c r="L25" i="395" s="1"/>
  <c r="F25" i="395"/>
  <c r="S24" i="395"/>
  <c r="N24" i="395"/>
  <c r="K24" i="395"/>
  <c r="L24" i="395" s="1"/>
  <c r="P24" i="395" s="1"/>
  <c r="F24" i="395"/>
  <c r="S23" i="395"/>
  <c r="N23" i="395"/>
  <c r="K23" i="395"/>
  <c r="L23" i="395" s="1"/>
  <c r="F23" i="395"/>
  <c r="S22" i="395"/>
  <c r="N22" i="395"/>
  <c r="K22" i="395"/>
  <c r="L22" i="395" s="1"/>
  <c r="P22" i="395" s="1"/>
  <c r="F22" i="395"/>
  <c r="S21" i="395"/>
  <c r="N21" i="395"/>
  <c r="K21" i="395"/>
  <c r="L21" i="395" s="1"/>
  <c r="F21" i="395"/>
  <c r="S20" i="395"/>
  <c r="N20" i="395"/>
  <c r="K20" i="395"/>
  <c r="L20" i="395" s="1"/>
  <c r="P20" i="395" s="1"/>
  <c r="F20" i="395"/>
  <c r="S19" i="395"/>
  <c r="N19" i="395"/>
  <c r="K19" i="395"/>
  <c r="L19" i="395" s="1"/>
  <c r="J19" i="395"/>
  <c r="F19" i="395"/>
  <c r="S18" i="395"/>
  <c r="P18" i="395"/>
  <c r="N18" i="395"/>
  <c r="K18" i="395"/>
  <c r="L18" i="395" s="1"/>
  <c r="F18" i="395"/>
  <c r="S17" i="395"/>
  <c r="N17" i="395"/>
  <c r="J17" i="395"/>
  <c r="K17" i="395" s="1"/>
  <c r="L17" i="395" s="1"/>
  <c r="P17" i="395" s="1"/>
  <c r="D17" i="395"/>
  <c r="F17" i="395" s="1"/>
  <c r="S16" i="395"/>
  <c r="K16" i="395"/>
  <c r="L16" i="395" s="1"/>
  <c r="F16" i="395"/>
  <c r="S15" i="395"/>
  <c r="N15" i="395"/>
  <c r="K15" i="395"/>
  <c r="L15" i="395" s="1"/>
  <c r="P15" i="395" s="1"/>
  <c r="M15" i="395" s="1"/>
  <c r="F15" i="395"/>
  <c r="D15" i="395"/>
  <c r="S14" i="395"/>
  <c r="N14" i="395"/>
  <c r="J14" i="395"/>
  <c r="K14" i="395" s="1"/>
  <c r="L14" i="395" s="1"/>
  <c r="P14" i="395" s="1"/>
  <c r="D14" i="395"/>
  <c r="F14" i="395" s="1"/>
  <c r="S13" i="395"/>
  <c r="P13" i="395"/>
  <c r="N13" i="395"/>
  <c r="J13" i="395"/>
  <c r="K13" i="395" s="1"/>
  <c r="L13" i="395" s="1"/>
  <c r="D13" i="395"/>
  <c r="S12" i="395"/>
  <c r="K12" i="395"/>
  <c r="L12" i="395" s="1"/>
  <c r="F12" i="395"/>
  <c r="S11" i="395"/>
  <c r="L11" i="395"/>
  <c r="P11" i="395" s="1"/>
  <c r="K11" i="395"/>
  <c r="F11" i="395"/>
  <c r="S10" i="395"/>
  <c r="K10" i="395"/>
  <c r="L10" i="395" s="1"/>
  <c r="F10" i="395"/>
  <c r="S9" i="395"/>
  <c r="N9" i="395"/>
  <c r="J9" i="395"/>
  <c r="K9" i="395" s="1"/>
  <c r="L9" i="395" s="1"/>
  <c r="P9" i="395" s="1"/>
  <c r="F9" i="395"/>
  <c r="S8" i="395"/>
  <c r="N8" i="395"/>
  <c r="J8" i="395"/>
  <c r="K8" i="395" s="1"/>
  <c r="L8" i="395" s="1"/>
  <c r="P8" i="395" s="1"/>
  <c r="D8" i="395"/>
  <c r="F8" i="395" s="1"/>
  <c r="S7" i="395"/>
  <c r="N7" i="395"/>
  <c r="J7" i="395"/>
  <c r="F7" i="395"/>
  <c r="S6" i="395"/>
  <c r="N6" i="395"/>
  <c r="L6" i="395"/>
  <c r="P6" i="395" s="1"/>
  <c r="K6" i="395"/>
  <c r="D6" i="395"/>
  <c r="F6" i="395" s="1"/>
  <c r="A6" i="395"/>
  <c r="A7" i="395" s="1"/>
  <c r="A8" i="395" s="1"/>
  <c r="A9" i="395" s="1"/>
  <c r="A10" i="395" s="1"/>
  <c r="A11" i="395" s="1"/>
  <c r="A12" i="395" s="1"/>
  <c r="A13" i="395" s="1"/>
  <c r="A14" i="395" s="1"/>
  <c r="A15" i="395" s="1"/>
  <c r="A16" i="395" s="1"/>
  <c r="A17" i="395" s="1"/>
  <c r="A18" i="395" s="1"/>
  <c r="A19" i="395" s="1"/>
  <c r="A20" i="395" s="1"/>
  <c r="A21" i="395" s="1"/>
  <c r="A22" i="395" s="1"/>
  <c r="A23" i="395" s="1"/>
  <c r="A24" i="395" s="1"/>
  <c r="A25" i="395" s="1"/>
  <c r="A26" i="395" s="1"/>
  <c r="A27" i="395" s="1"/>
  <c r="A28" i="395" s="1"/>
  <c r="A29" i="395" s="1"/>
  <c r="A30" i="395" s="1"/>
  <c r="A31" i="395" s="1"/>
  <c r="A32" i="395" s="1"/>
  <c r="A33" i="395" s="1"/>
  <c r="A34" i="395" s="1"/>
  <c r="A35" i="395" s="1"/>
  <c r="A36" i="395" s="1"/>
  <c r="A37" i="395" s="1"/>
  <c r="A38" i="395" s="1"/>
  <c r="A39" i="395" s="1"/>
  <c r="A40" i="395" s="1"/>
  <c r="A41" i="395" s="1"/>
  <c r="A42" i="395" s="1"/>
  <c r="A43" i="395" s="1"/>
  <c r="A44" i="395" s="1"/>
  <c r="A45" i="395" s="1"/>
  <c r="A46" i="395" s="1"/>
  <c r="A47" i="395" s="1"/>
  <c r="A48" i="395" s="1"/>
  <c r="A49" i="395" s="1"/>
  <c r="A50" i="395" s="1"/>
  <c r="A51" i="395" s="1"/>
  <c r="A52" i="395" s="1"/>
  <c r="A53" i="395" s="1"/>
  <c r="A54" i="395" s="1"/>
  <c r="A55" i="395" s="1"/>
  <c r="A56" i="395" s="1"/>
  <c r="A57" i="395" s="1"/>
  <c r="A58" i="395" s="1"/>
  <c r="A59" i="395" s="1"/>
  <c r="A60" i="395" s="1"/>
  <c r="A61" i="395" s="1"/>
  <c r="A62" i="395" s="1"/>
  <c r="A63" i="395" s="1"/>
  <c r="A64" i="395" s="1"/>
  <c r="S5" i="395"/>
  <c r="K5" i="395"/>
  <c r="F5" i="395"/>
  <c r="X19" i="97"/>
  <c r="Y19" i="97"/>
  <c r="V19" i="97"/>
  <c r="W19" i="97"/>
  <c r="C19" i="97"/>
  <c r="E138" i="385"/>
  <c r="G138" i="385"/>
  <c r="H138" i="385"/>
  <c r="I138" i="385"/>
  <c r="J138" i="385"/>
  <c r="N138" i="385"/>
  <c r="Q138" i="385"/>
  <c r="R138" i="385"/>
  <c r="W138" i="385"/>
  <c r="X138" i="385"/>
  <c r="Y138" i="385"/>
  <c r="Z138" i="385"/>
  <c r="AA138" i="385"/>
  <c r="D138" i="385"/>
  <c r="E135" i="385"/>
  <c r="C13" i="97" s="1"/>
  <c r="H135" i="385"/>
  <c r="F13" i="97" s="1"/>
  <c r="I135" i="385"/>
  <c r="G13" i="97" s="1"/>
  <c r="J135" i="385"/>
  <c r="R135" i="385"/>
  <c r="X135" i="385"/>
  <c r="V13" i="97" s="1"/>
  <c r="Y135" i="385"/>
  <c r="W13" i="97" s="1"/>
  <c r="Z135" i="385"/>
  <c r="X13" i="97" s="1"/>
  <c r="D135" i="385"/>
  <c r="B13" i="97" s="1"/>
  <c r="E25" i="394"/>
  <c r="E26" i="394" s="1"/>
  <c r="G25" i="394"/>
  <c r="E19" i="97" s="1"/>
  <c r="H25" i="394"/>
  <c r="F19" i="97" s="1"/>
  <c r="I25" i="394"/>
  <c r="G19" i="97" s="1"/>
  <c r="J25" i="394"/>
  <c r="H19" i="97" s="1"/>
  <c r="N25" i="394"/>
  <c r="L19" i="97" s="1"/>
  <c r="Q25" i="394"/>
  <c r="O19" i="97" s="1"/>
  <c r="R25" i="394"/>
  <c r="P19" i="97" s="1"/>
  <c r="W25" i="394"/>
  <c r="U19" i="97" s="1"/>
  <c r="E21" i="394"/>
  <c r="G21" i="394"/>
  <c r="H21" i="394"/>
  <c r="I21" i="394"/>
  <c r="J21" i="394"/>
  <c r="N21" i="394"/>
  <c r="Q21" i="394"/>
  <c r="R21" i="394"/>
  <c r="R26" i="394" s="1"/>
  <c r="R29" i="394" s="1"/>
  <c r="W21" i="394"/>
  <c r="D21" i="394"/>
  <c r="E18" i="394"/>
  <c r="F18" i="394"/>
  <c r="G18" i="394"/>
  <c r="H18" i="394"/>
  <c r="I18" i="394"/>
  <c r="J18" i="394"/>
  <c r="N18" i="394"/>
  <c r="R18" i="394"/>
  <c r="W18" i="394"/>
  <c r="E14" i="394"/>
  <c r="F14" i="394"/>
  <c r="G14" i="394"/>
  <c r="H14" i="394"/>
  <c r="I14" i="394"/>
  <c r="N14" i="394"/>
  <c r="Q14" i="394"/>
  <c r="R14" i="394"/>
  <c r="E7" i="394"/>
  <c r="G7" i="394"/>
  <c r="H7" i="394"/>
  <c r="I7" i="394"/>
  <c r="J7" i="394"/>
  <c r="N7" i="394"/>
  <c r="Q7" i="394"/>
  <c r="R7" i="394"/>
  <c r="W7" i="394"/>
  <c r="AB26" i="394"/>
  <c r="AA26" i="394"/>
  <c r="Z26" i="394"/>
  <c r="Y26" i="394"/>
  <c r="X26" i="394"/>
  <c r="S24" i="394"/>
  <c r="K24" i="394"/>
  <c r="L24" i="394" s="1"/>
  <c r="P24" i="394" s="1"/>
  <c r="D24" i="394"/>
  <c r="D25" i="394" s="1"/>
  <c r="S13" i="394"/>
  <c r="N13" i="394"/>
  <c r="K13" i="394"/>
  <c r="L13" i="394" s="1"/>
  <c r="F13" i="394"/>
  <c r="W12" i="394"/>
  <c r="W14" i="394" s="1"/>
  <c r="S12" i="394"/>
  <c r="K12" i="394"/>
  <c r="L12" i="394" s="1"/>
  <c r="F12" i="394"/>
  <c r="S11" i="394"/>
  <c r="K11" i="394"/>
  <c r="L11" i="394" s="1"/>
  <c r="D11" i="394"/>
  <c r="F11" i="394" s="1"/>
  <c r="S23" i="394"/>
  <c r="S25" i="394" s="1"/>
  <c r="K23" i="394"/>
  <c r="F23" i="394"/>
  <c r="S6" i="394"/>
  <c r="S7" i="394" s="1"/>
  <c r="K6" i="394"/>
  <c r="D6" i="394"/>
  <c r="F6" i="394" s="1"/>
  <c r="F7" i="394" s="1"/>
  <c r="Q17" i="394"/>
  <c r="K17" i="394"/>
  <c r="L17" i="394" s="1"/>
  <c r="P17" i="394" s="1"/>
  <c r="D17" i="394"/>
  <c r="F17" i="394" s="1"/>
  <c r="S16" i="394"/>
  <c r="K16" i="394"/>
  <c r="D16" i="394"/>
  <c r="F16" i="394" s="1"/>
  <c r="S10" i="394"/>
  <c r="N10" i="394"/>
  <c r="J10" i="394"/>
  <c r="K10" i="394" s="1"/>
  <c r="L10" i="394" s="1"/>
  <c r="P10" i="394" s="1"/>
  <c r="D10" i="394"/>
  <c r="F10" i="394" s="1"/>
  <c r="S9" i="394"/>
  <c r="N9" i="394"/>
  <c r="J9" i="394"/>
  <c r="J14" i="394" s="1"/>
  <c r="D9" i="394"/>
  <c r="F9" i="394" s="1"/>
  <c r="S20" i="394"/>
  <c r="S21" i="394" s="1"/>
  <c r="K20" i="394"/>
  <c r="L20" i="394" s="1"/>
  <c r="L21" i="394" s="1"/>
  <c r="F20" i="394"/>
  <c r="F21" i="394" s="1"/>
  <c r="E19" i="393"/>
  <c r="G19" i="393"/>
  <c r="G20" i="393" s="1"/>
  <c r="H19" i="393"/>
  <c r="H20" i="393" s="1"/>
  <c r="I19" i="393"/>
  <c r="J19" i="393"/>
  <c r="Q19" i="393"/>
  <c r="R19" i="393"/>
  <c r="W19" i="393"/>
  <c r="X19" i="393"/>
  <c r="X20" i="393" s="1"/>
  <c r="Y19" i="393"/>
  <c r="Z19" i="393"/>
  <c r="Z20" i="393" s="1"/>
  <c r="AA19" i="393"/>
  <c r="AA20" i="393" s="1"/>
  <c r="AA29" i="394" s="1"/>
  <c r="J20" i="393"/>
  <c r="R20" i="393"/>
  <c r="W20" i="393"/>
  <c r="D19" i="393"/>
  <c r="D20" i="393" s="1"/>
  <c r="E12" i="393"/>
  <c r="G12" i="393"/>
  <c r="H12" i="393"/>
  <c r="I12" i="393"/>
  <c r="J12" i="393"/>
  <c r="L12" i="393"/>
  <c r="Q12" i="393"/>
  <c r="R12" i="393"/>
  <c r="W12" i="393"/>
  <c r="X12" i="393"/>
  <c r="Y12" i="393"/>
  <c r="Z12" i="393"/>
  <c r="AA12" i="393"/>
  <c r="D12" i="393"/>
  <c r="E9" i="393"/>
  <c r="G9" i="393"/>
  <c r="H9" i="393"/>
  <c r="I9" i="393"/>
  <c r="J9" i="393"/>
  <c r="Q9" i="393"/>
  <c r="R9" i="393"/>
  <c r="W9" i="393"/>
  <c r="X9" i="393"/>
  <c r="Y9" i="393"/>
  <c r="Z9" i="393"/>
  <c r="AA9" i="393"/>
  <c r="D9" i="393"/>
  <c r="S18" i="393"/>
  <c r="K18" i="393"/>
  <c r="L18" i="393" s="1"/>
  <c r="F18" i="393"/>
  <c r="S17" i="393"/>
  <c r="N17" i="393"/>
  <c r="K17" i="393"/>
  <c r="L17" i="393" s="1"/>
  <c r="F17" i="393"/>
  <c r="S16" i="393"/>
  <c r="N16" i="393"/>
  <c r="N19" i="393" s="1"/>
  <c r="K16" i="393"/>
  <c r="L16" i="393" s="1"/>
  <c r="D16" i="393"/>
  <c r="F16" i="393" s="1"/>
  <c r="S8" i="393"/>
  <c r="N8" i="393"/>
  <c r="K8" i="393"/>
  <c r="L8" i="393" s="1"/>
  <c r="P8" i="393" s="1"/>
  <c r="D8" i="393"/>
  <c r="S15" i="393"/>
  <c r="L15" i="393"/>
  <c r="P15" i="393" s="1"/>
  <c r="K15" i="393"/>
  <c r="F15" i="393"/>
  <c r="S11" i="393"/>
  <c r="S12" i="393" s="1"/>
  <c r="N11" i="393"/>
  <c r="N12" i="393" s="1"/>
  <c r="K11" i="393"/>
  <c r="L11" i="393" s="1"/>
  <c r="F11" i="393"/>
  <c r="F12" i="393" s="1"/>
  <c r="S14" i="393"/>
  <c r="K14" i="393"/>
  <c r="K19" i="393" s="1"/>
  <c r="D14" i="393"/>
  <c r="F14" i="393" s="1"/>
  <c r="F19" i="393" s="1"/>
  <c r="S7" i="393"/>
  <c r="S9" i="393" s="1"/>
  <c r="N7" i="393"/>
  <c r="L7" i="393"/>
  <c r="K7" i="393"/>
  <c r="K9" i="393" s="1"/>
  <c r="D7" i="393"/>
  <c r="L16" i="394" l="1"/>
  <c r="L18" i="394" s="1"/>
  <c r="K18" i="394"/>
  <c r="S17" i="394"/>
  <c r="Q18" i="394"/>
  <c r="W16" i="97"/>
  <c r="M78" i="397"/>
  <c r="T78" i="397"/>
  <c r="U78" i="397" s="1"/>
  <c r="W78" i="397" s="1"/>
  <c r="L23" i="394"/>
  <c r="L25" i="394" s="1"/>
  <c r="K25" i="394"/>
  <c r="X29" i="394"/>
  <c r="G16" i="97"/>
  <c r="P7" i="393"/>
  <c r="L9" i="393"/>
  <c r="K20" i="393"/>
  <c r="N20" i="393"/>
  <c r="S14" i="394"/>
  <c r="K7" i="394"/>
  <c r="L6" i="394"/>
  <c r="Q19" i="97"/>
  <c r="B19" i="97"/>
  <c r="N26" i="394"/>
  <c r="N9" i="393"/>
  <c r="S19" i="393"/>
  <c r="S20" i="393" s="1"/>
  <c r="Z29" i="394"/>
  <c r="E29" i="394"/>
  <c r="J26" i="394"/>
  <c r="J29" i="394" s="1"/>
  <c r="S65" i="395"/>
  <c r="P22" i="397"/>
  <c r="O104" i="397"/>
  <c r="F104" i="397"/>
  <c r="Q26" i="394"/>
  <c r="I26" i="394"/>
  <c r="I29" i="394" s="1"/>
  <c r="K12" i="393"/>
  <c r="D7" i="394"/>
  <c r="D14" i="394"/>
  <c r="D26" i="394" s="1"/>
  <c r="D29" i="394" s="1"/>
  <c r="D18" i="394"/>
  <c r="H26" i="394"/>
  <c r="H29" i="394" s="1"/>
  <c r="Y16" i="97"/>
  <c r="E16" i="97"/>
  <c r="M53" i="397"/>
  <c r="O53" i="397" s="1"/>
  <c r="T53" i="397"/>
  <c r="U53" i="397" s="1"/>
  <c r="W53" i="397" s="1"/>
  <c r="F105" i="397"/>
  <c r="M8" i="393"/>
  <c r="Y20" i="393"/>
  <c r="Y29" i="394" s="1"/>
  <c r="Q20" i="393"/>
  <c r="I20" i="393"/>
  <c r="L21" i="393" s="1"/>
  <c r="P21" i="393" s="1"/>
  <c r="E20" i="393"/>
  <c r="K21" i="394"/>
  <c r="W26" i="394"/>
  <c r="W29" i="394" s="1"/>
  <c r="G26" i="394"/>
  <c r="G29" i="394" s="1"/>
  <c r="P13" i="97"/>
  <c r="H13" i="97"/>
  <c r="X16" i="97"/>
  <c r="P49" i="397"/>
  <c r="M49" i="397" s="1"/>
  <c r="O49" i="397" s="1"/>
  <c r="U104" i="397"/>
  <c r="W104" i="397" s="1"/>
  <c r="N65" i="395"/>
  <c r="P50" i="396"/>
  <c r="P90" i="396"/>
  <c r="E115" i="397"/>
  <c r="F74" i="397"/>
  <c r="O107" i="397"/>
  <c r="M61" i="397"/>
  <c r="O79" i="397"/>
  <c r="M85" i="397"/>
  <c r="M87" i="397"/>
  <c r="P49" i="395"/>
  <c r="M49" i="395" s="1"/>
  <c r="O49" i="395" s="1"/>
  <c r="M14" i="395"/>
  <c r="T14" i="395" s="1"/>
  <c r="U14" i="395" s="1"/>
  <c r="V14" i="395" s="1"/>
  <c r="M27" i="396"/>
  <c r="M64" i="396"/>
  <c r="T64" i="396" s="1"/>
  <c r="U64" i="396" s="1"/>
  <c r="V64" i="396" s="1"/>
  <c r="X133" i="396"/>
  <c r="Z133" i="396"/>
  <c r="U98" i="397"/>
  <c r="W98" i="397" s="1"/>
  <c r="O99" i="397"/>
  <c r="F28" i="398"/>
  <c r="F32" i="398" s="1"/>
  <c r="H28" i="398"/>
  <c r="H30" i="398"/>
  <c r="H31" i="398" s="1"/>
  <c r="A7" i="398"/>
  <c r="A8" i="398" s="1"/>
  <c r="A9" i="398" s="1"/>
  <c r="A10" i="398" s="1"/>
  <c r="A11" i="398" s="1"/>
  <c r="A12" i="398" s="1"/>
  <c r="A13" i="398" s="1"/>
  <c r="A14" i="398" s="1"/>
  <c r="A15" i="398" s="1"/>
  <c r="A16" i="398" s="1"/>
  <c r="A17" i="398" s="1"/>
  <c r="A18" i="398" s="1"/>
  <c r="A19" i="398" s="1"/>
  <c r="A20" i="398" s="1"/>
  <c r="A21" i="398" s="1"/>
  <c r="A22" i="398" s="1"/>
  <c r="A23" i="398" s="1"/>
  <c r="A24" i="398" s="1"/>
  <c r="A25" i="398" s="1"/>
  <c r="P30" i="396"/>
  <c r="M30" i="396" s="1"/>
  <c r="O30" i="396" s="1"/>
  <c r="H133" i="396"/>
  <c r="S132" i="396"/>
  <c r="P96" i="396"/>
  <c r="M96" i="396" s="1"/>
  <c r="O96" i="396" s="1"/>
  <c r="P81" i="396"/>
  <c r="P68" i="396"/>
  <c r="M68" i="396" s="1"/>
  <c r="O68" i="396" s="1"/>
  <c r="D132" i="396"/>
  <c r="N117" i="396"/>
  <c r="P36" i="396"/>
  <c r="T40" i="396"/>
  <c r="U40" i="396" s="1"/>
  <c r="V40" i="396" s="1"/>
  <c r="T61" i="396"/>
  <c r="U61" i="396" s="1"/>
  <c r="V61" i="396" s="1"/>
  <c r="O114" i="396"/>
  <c r="U116" i="396"/>
  <c r="V116" i="396" s="1"/>
  <c r="Q117" i="396"/>
  <c r="Q133" i="396" s="1"/>
  <c r="E117" i="396"/>
  <c r="E133" i="396" s="1"/>
  <c r="AB133" i="396"/>
  <c r="F23" i="396"/>
  <c r="N132" i="396"/>
  <c r="N133" i="396" s="1"/>
  <c r="M20" i="396"/>
  <c r="T20" i="396" s="1"/>
  <c r="P38" i="396"/>
  <c r="T60" i="396"/>
  <c r="U60" i="396" s="1"/>
  <c r="V60" i="396" s="1"/>
  <c r="O34" i="396"/>
  <c r="M93" i="396"/>
  <c r="O93" i="396" s="1"/>
  <c r="P95" i="396"/>
  <c r="M95" i="396" s="1"/>
  <c r="O95" i="396" s="1"/>
  <c r="P103" i="396"/>
  <c r="O64" i="396"/>
  <c r="P26" i="396"/>
  <c r="M26" i="396" s="1"/>
  <c r="T26" i="396" s="1"/>
  <c r="U26" i="396" s="1"/>
  <c r="V26" i="396" s="1"/>
  <c r="P7" i="397"/>
  <c r="P26" i="397"/>
  <c r="T40" i="397"/>
  <c r="U40" i="397" s="1"/>
  <c r="W40" i="397" s="1"/>
  <c r="M40" i="397"/>
  <c r="P34" i="397"/>
  <c r="M9" i="397"/>
  <c r="O9" i="397" s="1"/>
  <c r="T9" i="397"/>
  <c r="U9" i="397" s="1"/>
  <c r="W9" i="397" s="1"/>
  <c r="M20" i="397"/>
  <c r="P24" i="397"/>
  <c r="M30" i="397"/>
  <c r="T30" i="397"/>
  <c r="U30" i="397" s="1"/>
  <c r="W30" i="397" s="1"/>
  <c r="P32" i="397"/>
  <c r="P38" i="397"/>
  <c r="O46" i="397"/>
  <c r="T46" i="397"/>
  <c r="U46" i="397" s="1"/>
  <c r="W46" i="397" s="1"/>
  <c r="M16" i="397"/>
  <c r="O16" i="397" s="1"/>
  <c r="P12" i="397"/>
  <c r="P36" i="397"/>
  <c r="P6" i="397"/>
  <c r="M11" i="397"/>
  <c r="M8" i="397"/>
  <c r="O8" i="397" s="1"/>
  <c r="P13" i="397"/>
  <c r="P15" i="397"/>
  <c r="P17" i="397"/>
  <c r="M19" i="397"/>
  <c r="O19" i="397" s="1"/>
  <c r="T19" i="397"/>
  <c r="U19" i="397" s="1"/>
  <c r="W19" i="397" s="1"/>
  <c r="P25" i="397"/>
  <c r="P27" i="397"/>
  <c r="P33" i="397"/>
  <c r="P35" i="397"/>
  <c r="P39" i="397"/>
  <c r="P47" i="397"/>
  <c r="M18" i="397"/>
  <c r="M31" i="397"/>
  <c r="O31" i="397" s="1"/>
  <c r="M37" i="397"/>
  <c r="O37" i="397" s="1"/>
  <c r="M43" i="397"/>
  <c r="M14" i="397"/>
  <c r="T14" i="397" s="1"/>
  <c r="U14" i="397" s="1"/>
  <c r="W14" i="397" s="1"/>
  <c r="P10" i="397"/>
  <c r="O14" i="397"/>
  <c r="M21" i="397"/>
  <c r="T21" i="397" s="1"/>
  <c r="U21" i="397" s="1"/>
  <c r="W21" i="397" s="1"/>
  <c r="M23" i="397"/>
  <c r="O23" i="397" s="1"/>
  <c r="M29" i="397"/>
  <c r="T29" i="397" s="1"/>
  <c r="U29" i="397" s="1"/>
  <c r="W29" i="397" s="1"/>
  <c r="K115" i="397"/>
  <c r="L116" i="397" s="1"/>
  <c r="P116" i="397" s="1"/>
  <c r="F11" i="397"/>
  <c r="F16" i="397"/>
  <c r="F19" i="397"/>
  <c r="F23" i="397"/>
  <c r="O28" i="397"/>
  <c r="O30" i="397"/>
  <c r="F31" i="397"/>
  <c r="O40" i="397"/>
  <c r="L42" i="397"/>
  <c r="P42" i="397" s="1"/>
  <c r="T58" i="397"/>
  <c r="M60" i="397"/>
  <c r="T79" i="397"/>
  <c r="T83" i="397"/>
  <c r="U83" i="397" s="1"/>
  <c r="W83" i="397" s="1"/>
  <c r="P94" i="397"/>
  <c r="T96" i="397"/>
  <c r="U96" i="397" s="1"/>
  <c r="W96" i="397" s="1"/>
  <c r="L115" i="397"/>
  <c r="P63" i="397"/>
  <c r="P101" i="397"/>
  <c r="M41" i="397"/>
  <c r="O41" i="397" s="1"/>
  <c r="P50" i="397"/>
  <c r="O58" i="397"/>
  <c r="M68" i="397"/>
  <c r="O68" i="397" s="1"/>
  <c r="P77" i="397"/>
  <c r="M84" i="397"/>
  <c r="T84" i="397" s="1"/>
  <c r="U84" i="397" s="1"/>
  <c r="W84" i="397" s="1"/>
  <c r="P88" i="397"/>
  <c r="P103" i="397"/>
  <c r="P108" i="397"/>
  <c r="M114" i="397"/>
  <c r="N115" i="397"/>
  <c r="T28" i="397"/>
  <c r="U28" i="397" s="1"/>
  <c r="W28" i="397" s="1"/>
  <c r="O29" i="397"/>
  <c r="M55" i="397"/>
  <c r="M67" i="397"/>
  <c r="T67" i="397" s="1"/>
  <c r="U67" i="397" s="1"/>
  <c r="W67" i="397" s="1"/>
  <c r="M70" i="397"/>
  <c r="O70" i="397" s="1"/>
  <c r="O84" i="397"/>
  <c r="M91" i="397"/>
  <c r="O91" i="397" s="1"/>
  <c r="P45" i="397"/>
  <c r="P48" i="397"/>
  <c r="T51" i="397"/>
  <c r="U51" i="397" s="1"/>
  <c r="W51" i="397" s="1"/>
  <c r="P54" i="397"/>
  <c r="M59" i="397"/>
  <c r="O59" i="397" s="1"/>
  <c r="P62" i="397"/>
  <c r="P72" i="397"/>
  <c r="O83" i="397"/>
  <c r="F83" i="397"/>
  <c r="M93" i="397"/>
  <c r="O93" i="397" s="1"/>
  <c r="P95" i="397"/>
  <c r="P97" i="397"/>
  <c r="T111" i="397"/>
  <c r="U111" i="397" s="1"/>
  <c r="W111" i="397" s="1"/>
  <c r="M74" i="397"/>
  <c r="T74" i="397"/>
  <c r="U74" i="397" s="1"/>
  <c r="W74" i="397" s="1"/>
  <c r="P89" i="397"/>
  <c r="P5" i="397"/>
  <c r="J115" i="397"/>
  <c r="T49" i="397"/>
  <c r="U49" i="397" s="1"/>
  <c r="W49" i="397" s="1"/>
  <c r="T64" i="397"/>
  <c r="U64" i="397" s="1"/>
  <c r="W64" i="397" s="1"/>
  <c r="T73" i="397"/>
  <c r="U73" i="397" s="1"/>
  <c r="W73" i="397" s="1"/>
  <c r="M81" i="397"/>
  <c r="O81" i="397" s="1"/>
  <c r="T81" i="397"/>
  <c r="U81" i="397" s="1"/>
  <c r="W81" i="397" s="1"/>
  <c r="T87" i="397"/>
  <c r="U87" i="397" s="1"/>
  <c r="W87" i="397" s="1"/>
  <c r="P90" i="397"/>
  <c r="M100" i="397"/>
  <c r="O100" i="397" s="1"/>
  <c r="P102" i="397"/>
  <c r="U107" i="397"/>
  <c r="W107" i="397" s="1"/>
  <c r="P110" i="397"/>
  <c r="P65" i="397"/>
  <c r="T82" i="397"/>
  <c r="U82" i="397" s="1"/>
  <c r="W82" i="397" s="1"/>
  <c r="M105" i="397"/>
  <c r="T105" i="397" s="1"/>
  <c r="U105" i="397" s="1"/>
  <c r="W105" i="397" s="1"/>
  <c r="D115" i="397"/>
  <c r="S115" i="397"/>
  <c r="M52" i="397"/>
  <c r="O52" i="397" s="1"/>
  <c r="P57" i="397"/>
  <c r="P69" i="397"/>
  <c r="O74" i="397"/>
  <c r="M76" i="397"/>
  <c r="T76" i="397" s="1"/>
  <c r="U76" i="397" s="1"/>
  <c r="W76" i="397" s="1"/>
  <c r="T86" i="397"/>
  <c r="U86" i="397" s="1"/>
  <c r="W86" i="397" s="1"/>
  <c r="P106" i="397"/>
  <c r="M56" i="397"/>
  <c r="O87" i="397"/>
  <c r="F87" i="397"/>
  <c r="M109" i="397"/>
  <c r="O109" i="397" s="1"/>
  <c r="T109" i="397"/>
  <c r="U109" i="397" s="1"/>
  <c r="W109" i="397" s="1"/>
  <c r="F5" i="397"/>
  <c r="A7" i="397"/>
  <c r="A8" i="397" s="1"/>
  <c r="A9" i="397" s="1"/>
  <c r="A10" i="397" s="1"/>
  <c r="A11" i="397" s="1"/>
  <c r="A12" i="397" s="1"/>
  <c r="A13" i="397" s="1"/>
  <c r="A14" i="397" s="1"/>
  <c r="A15" i="397" s="1"/>
  <c r="A16" i="397" s="1"/>
  <c r="A17" i="397" s="1"/>
  <c r="A18" i="397" s="1"/>
  <c r="A19" i="397" s="1"/>
  <c r="A20" i="397" s="1"/>
  <c r="A21" i="397" s="1"/>
  <c r="A22" i="397" s="1"/>
  <c r="A23" i="397" s="1"/>
  <c r="A24" i="397" s="1"/>
  <c r="A25" i="397" s="1"/>
  <c r="A26" i="397" s="1"/>
  <c r="A27" i="397" s="1"/>
  <c r="A28" i="397" s="1"/>
  <c r="A29" i="397" s="1"/>
  <c r="A30" i="397" s="1"/>
  <c r="A31" i="397" s="1"/>
  <c r="A32" i="397" s="1"/>
  <c r="A33" i="397" s="1"/>
  <c r="A34" i="397" s="1"/>
  <c r="A35" i="397" s="1"/>
  <c r="A36" i="397" s="1"/>
  <c r="A37" i="397" s="1"/>
  <c r="A38" i="397" s="1"/>
  <c r="A39" i="397" s="1"/>
  <c r="A40" i="397" s="1"/>
  <c r="A41" i="397" s="1"/>
  <c r="A42" i="397" s="1"/>
  <c r="A43" i="397" s="1"/>
  <c r="A44" i="397" s="1"/>
  <c r="A45" i="397" s="1"/>
  <c r="A46" i="397" s="1"/>
  <c r="A47" i="397" s="1"/>
  <c r="A48" i="397" s="1"/>
  <c r="A49" i="397" s="1"/>
  <c r="A50" i="397" s="1"/>
  <c r="A51" i="397" s="1"/>
  <c r="A52" i="397" s="1"/>
  <c r="A53" i="397" s="1"/>
  <c r="A54" i="397" s="1"/>
  <c r="A55" i="397" s="1"/>
  <c r="A56" i="397" s="1"/>
  <c r="A57" i="397" s="1"/>
  <c r="A58" i="397" s="1"/>
  <c r="A59" i="397" s="1"/>
  <c r="A60" i="397" s="1"/>
  <c r="A61" i="397" s="1"/>
  <c r="A62" i="397" s="1"/>
  <c r="A63" i="397" s="1"/>
  <c r="A64" i="397" s="1"/>
  <c r="A65" i="397" s="1"/>
  <c r="A66" i="397" s="1"/>
  <c r="A67" i="397" s="1"/>
  <c r="A68" i="397" s="1"/>
  <c r="A69" i="397" s="1"/>
  <c r="A70" i="397" s="1"/>
  <c r="A71" i="397" s="1"/>
  <c r="A72" i="397" s="1"/>
  <c r="A73" i="397" s="1"/>
  <c r="A74" i="397" s="1"/>
  <c r="A75" i="397" s="1"/>
  <c r="A76" i="397" s="1"/>
  <c r="A77" i="397" s="1"/>
  <c r="A78" i="397" s="1"/>
  <c r="A79" i="397" s="1"/>
  <c r="A80" i="397" s="1"/>
  <c r="A81" i="397" s="1"/>
  <c r="A82" i="397" s="1"/>
  <c r="A83" i="397" s="1"/>
  <c r="A84" i="397" s="1"/>
  <c r="A85" i="397" s="1"/>
  <c r="A86" i="397" s="1"/>
  <c r="A87" i="397" s="1"/>
  <c r="A88" i="397" s="1"/>
  <c r="A89" i="397" s="1"/>
  <c r="A90" i="397" s="1"/>
  <c r="A91" i="397" s="1"/>
  <c r="A92" i="397" s="1"/>
  <c r="A93" i="397" s="1"/>
  <c r="A94" i="397" s="1"/>
  <c r="A95" i="397" s="1"/>
  <c r="A96" i="397" s="1"/>
  <c r="A97" i="397" s="1"/>
  <c r="A98" i="397" s="1"/>
  <c r="A99" i="397" s="1"/>
  <c r="A100" i="397" s="1"/>
  <c r="A101" i="397" s="1"/>
  <c r="A102" i="397" s="1"/>
  <c r="A103" i="397" s="1"/>
  <c r="A104" i="397" s="1"/>
  <c r="A105" i="397" s="1"/>
  <c r="A106" i="397" s="1"/>
  <c r="A107" i="397" s="1"/>
  <c r="A108" i="397" s="1"/>
  <c r="A109" i="397" s="1"/>
  <c r="A110" i="397" s="1"/>
  <c r="A111" i="397" s="1"/>
  <c r="A112" i="397" s="1"/>
  <c r="A113" i="397" s="1"/>
  <c r="A114" i="397" s="1"/>
  <c r="M44" i="397"/>
  <c r="O44" i="397" s="1"/>
  <c r="U58" i="397"/>
  <c r="W58" i="397" s="1"/>
  <c r="M66" i="397"/>
  <c r="P71" i="397"/>
  <c r="M75" i="397"/>
  <c r="O75" i="397" s="1"/>
  <c r="U79" i="397"/>
  <c r="W79" i="397" s="1"/>
  <c r="M80" i="397"/>
  <c r="T80" i="397" s="1"/>
  <c r="U80" i="397" s="1"/>
  <c r="W80" i="397" s="1"/>
  <c r="M86" i="397"/>
  <c r="O86" i="397" s="1"/>
  <c r="M92" i="397"/>
  <c r="O92" i="397" s="1"/>
  <c r="P112" i="397"/>
  <c r="M113" i="397"/>
  <c r="T113" i="397" s="1"/>
  <c r="U113" i="397" s="1"/>
  <c r="W113" i="397" s="1"/>
  <c r="O76" i="397"/>
  <c r="F114" i="397"/>
  <c r="O82" i="397"/>
  <c r="F59" i="397"/>
  <c r="F81" i="397"/>
  <c r="O73" i="397"/>
  <c r="O78" i="397"/>
  <c r="O111" i="397"/>
  <c r="M32" i="396"/>
  <c r="T32" i="396" s="1"/>
  <c r="U32" i="396" s="1"/>
  <c r="V32" i="396" s="1"/>
  <c r="M45" i="396"/>
  <c r="T45" i="396" s="1"/>
  <c r="U45" i="396" s="1"/>
  <c r="V45" i="396" s="1"/>
  <c r="P47" i="396"/>
  <c r="M51" i="396"/>
  <c r="T51" i="396" s="1"/>
  <c r="U51" i="396" s="1"/>
  <c r="V51" i="396" s="1"/>
  <c r="O53" i="396"/>
  <c r="T53" i="396"/>
  <c r="U53" i="396" s="1"/>
  <c r="V53" i="396" s="1"/>
  <c r="M8" i="396"/>
  <c r="T8" i="396" s="1"/>
  <c r="U8" i="396" s="1"/>
  <c r="V8" i="396" s="1"/>
  <c r="P15" i="396"/>
  <c r="M55" i="396"/>
  <c r="O55" i="396" s="1"/>
  <c r="T55" i="396"/>
  <c r="U55" i="396" s="1"/>
  <c r="V55" i="396" s="1"/>
  <c r="P17" i="396"/>
  <c r="P24" i="396"/>
  <c r="P7" i="396"/>
  <c r="P33" i="396"/>
  <c r="P35" i="396"/>
  <c r="T42" i="396"/>
  <c r="U42" i="396" s="1"/>
  <c r="V42" i="396" s="1"/>
  <c r="M42" i="396"/>
  <c r="O42" i="396" s="1"/>
  <c r="P46" i="396"/>
  <c r="P19" i="396"/>
  <c r="M50" i="396"/>
  <c r="T50" i="396" s="1"/>
  <c r="U50" i="396" s="1"/>
  <c r="P52" i="396"/>
  <c r="M57" i="396"/>
  <c r="O57" i="396" s="1"/>
  <c r="M16" i="396"/>
  <c r="T16" i="396" s="1"/>
  <c r="U16" i="396" s="1"/>
  <c r="V16" i="396" s="1"/>
  <c r="O20" i="396"/>
  <c r="P25" i="396"/>
  <c r="M44" i="396"/>
  <c r="O44" i="396" s="1"/>
  <c r="M65" i="396"/>
  <c r="T65" i="396" s="1"/>
  <c r="U65" i="396" s="1"/>
  <c r="V65" i="396" s="1"/>
  <c r="M9" i="396"/>
  <c r="O9" i="396" s="1"/>
  <c r="P14" i="396"/>
  <c r="P18" i="396"/>
  <c r="M38" i="396"/>
  <c r="O38" i="396" s="1"/>
  <c r="P11" i="396"/>
  <c r="T27" i="396"/>
  <c r="O27" i="396"/>
  <c r="P5" i="396"/>
  <c r="G117" i="396"/>
  <c r="P48" i="396"/>
  <c r="W117" i="396"/>
  <c r="W133" i="396" s="1"/>
  <c r="AA50" i="396"/>
  <c r="AA117" i="396" s="1"/>
  <c r="AA133" i="396" s="1"/>
  <c r="M54" i="396"/>
  <c r="O54" i="396" s="1"/>
  <c r="F62" i="396"/>
  <c r="M69" i="396"/>
  <c r="T69" i="396" s="1"/>
  <c r="U69" i="396" s="1"/>
  <c r="V69" i="396" s="1"/>
  <c r="P72" i="396"/>
  <c r="P83" i="396"/>
  <c r="P98" i="396"/>
  <c r="P101" i="396"/>
  <c r="P109" i="396"/>
  <c r="P122" i="396"/>
  <c r="P126" i="396"/>
  <c r="G132" i="396"/>
  <c r="D117" i="396"/>
  <c r="M28" i="396"/>
  <c r="O28" i="396" s="1"/>
  <c r="M62" i="396"/>
  <c r="T62" i="396" s="1"/>
  <c r="U62" i="396" s="1"/>
  <c r="V62" i="396" s="1"/>
  <c r="P67" i="396"/>
  <c r="M106" i="396"/>
  <c r="O106" i="396" s="1"/>
  <c r="J117" i="396"/>
  <c r="J133" i="396" s="1"/>
  <c r="K6" i="396"/>
  <c r="L6" i="396" s="1"/>
  <c r="F7" i="396"/>
  <c r="P12" i="396"/>
  <c r="I117" i="396"/>
  <c r="I133" i="396" s="1"/>
  <c r="K21" i="396"/>
  <c r="L21" i="396" s="1"/>
  <c r="O29" i="396"/>
  <c r="O32" i="396"/>
  <c r="F34" i="396"/>
  <c r="F39" i="396"/>
  <c r="O40" i="396"/>
  <c r="M41" i="396"/>
  <c r="O41" i="396" s="1"/>
  <c r="M43" i="396"/>
  <c r="T43" i="396" s="1"/>
  <c r="U43" i="396" s="1"/>
  <c r="V43" i="396" s="1"/>
  <c r="O56" i="396"/>
  <c r="P58" i="396"/>
  <c r="O60" i="396"/>
  <c r="U66" i="396"/>
  <c r="V66" i="396" s="1"/>
  <c r="M74" i="396"/>
  <c r="O74" i="396" s="1"/>
  <c r="P79" i="396"/>
  <c r="P82" i="396"/>
  <c r="P87" i="396"/>
  <c r="M97" i="396"/>
  <c r="O97" i="396" s="1"/>
  <c r="P131" i="396"/>
  <c r="P63" i="396"/>
  <c r="P91" i="396"/>
  <c r="P23" i="396"/>
  <c r="P49" i="396"/>
  <c r="P70" i="396"/>
  <c r="P73" i="396"/>
  <c r="P77" i="396"/>
  <c r="P84" i="396"/>
  <c r="F93" i="396"/>
  <c r="M100" i="396"/>
  <c r="T100" i="396" s="1"/>
  <c r="U100" i="396" s="1"/>
  <c r="V100" i="396" s="1"/>
  <c r="P108" i="396"/>
  <c r="P110" i="396"/>
  <c r="M121" i="396"/>
  <c r="O121" i="396" s="1"/>
  <c r="M123" i="396"/>
  <c r="T123" i="396" s="1"/>
  <c r="U123" i="396" s="1"/>
  <c r="V123" i="396" s="1"/>
  <c r="P128" i="396"/>
  <c r="M94" i="396"/>
  <c r="O94" i="396" s="1"/>
  <c r="P13" i="396"/>
  <c r="U20" i="396"/>
  <c r="V20" i="396" s="1"/>
  <c r="T29" i="396"/>
  <c r="U29" i="396" s="1"/>
  <c r="V29" i="396" s="1"/>
  <c r="P37" i="396"/>
  <c r="T56" i="396"/>
  <c r="U56" i="396" s="1"/>
  <c r="V56" i="396" s="1"/>
  <c r="M102" i="396"/>
  <c r="O102" i="396" s="1"/>
  <c r="T102" i="396"/>
  <c r="U102" i="396" s="1"/>
  <c r="V102" i="396" s="1"/>
  <c r="O50" i="396"/>
  <c r="P111" i="396"/>
  <c r="F20" i="396"/>
  <c r="S10" i="396"/>
  <c r="P31" i="396"/>
  <c r="T76" i="396"/>
  <c r="U76" i="396" s="1"/>
  <c r="V76" i="396" s="1"/>
  <c r="M86" i="396"/>
  <c r="T86" i="396" s="1"/>
  <c r="U86" i="396" s="1"/>
  <c r="V86" i="396" s="1"/>
  <c r="M90" i="396"/>
  <c r="O90" i="396" s="1"/>
  <c r="M92" i="396"/>
  <c r="O92" i="396" s="1"/>
  <c r="F95" i="396"/>
  <c r="L120" i="396"/>
  <c r="K132" i="396"/>
  <c r="M125" i="396"/>
  <c r="O125" i="396" s="1"/>
  <c r="T125" i="396"/>
  <c r="U125" i="396" s="1"/>
  <c r="V125" i="396" s="1"/>
  <c r="T22" i="396"/>
  <c r="U22" i="396" s="1"/>
  <c r="V22" i="396" s="1"/>
  <c r="P59" i="396"/>
  <c r="A117" i="396"/>
  <c r="A120" i="396" s="1"/>
  <c r="O22" i="396"/>
  <c r="U27" i="396"/>
  <c r="V27" i="396" s="1"/>
  <c r="M39" i="396"/>
  <c r="O39" i="396" s="1"/>
  <c r="F69" i="396"/>
  <c r="P88" i="396"/>
  <c r="P99" i="396"/>
  <c r="M107" i="396"/>
  <c r="O107" i="396" s="1"/>
  <c r="O66" i="396"/>
  <c r="F86" i="396"/>
  <c r="P130" i="396"/>
  <c r="P75" i="396"/>
  <c r="P80" i="396"/>
  <c r="M81" i="396"/>
  <c r="O81" i="396" s="1"/>
  <c r="S103" i="396"/>
  <c r="M103" i="396" s="1"/>
  <c r="P105" i="396"/>
  <c r="O115" i="396"/>
  <c r="P124" i="396"/>
  <c r="T127" i="396"/>
  <c r="U127" i="396" s="1"/>
  <c r="V127" i="396" s="1"/>
  <c r="P71" i="396"/>
  <c r="P78" i="396"/>
  <c r="P85" i="396"/>
  <c r="P89" i="396"/>
  <c r="P104" i="396"/>
  <c r="P112" i="396"/>
  <c r="M129" i="396"/>
  <c r="O129" i="396" s="1"/>
  <c r="F100" i="396"/>
  <c r="F123" i="396"/>
  <c r="F132" i="396" s="1"/>
  <c r="O113" i="396"/>
  <c r="M8" i="395"/>
  <c r="P34" i="395"/>
  <c r="P12" i="395"/>
  <c r="P21" i="395"/>
  <c r="M36" i="395"/>
  <c r="T36" i="395"/>
  <c r="M46" i="395"/>
  <c r="O46" i="395" s="1"/>
  <c r="M59" i="395"/>
  <c r="T59" i="395" s="1"/>
  <c r="U59" i="395" s="1"/>
  <c r="V59" i="395" s="1"/>
  <c r="T63" i="395"/>
  <c r="O63" i="395"/>
  <c r="L5" i="395"/>
  <c r="P23" i="395"/>
  <c r="M30" i="395"/>
  <c r="T30" i="395" s="1"/>
  <c r="U30" i="395" s="1"/>
  <c r="V30" i="395" s="1"/>
  <c r="U36" i="395"/>
  <c r="V36" i="395" s="1"/>
  <c r="T39" i="395"/>
  <c r="O39" i="395"/>
  <c r="M48" i="395"/>
  <c r="O48" i="395" s="1"/>
  <c r="M13" i="395"/>
  <c r="M24" i="395"/>
  <c r="M6" i="395"/>
  <c r="M42" i="395"/>
  <c r="P10" i="395"/>
  <c r="O31" i="395"/>
  <c r="T31" i="395"/>
  <c r="U39" i="395"/>
  <c r="V39" i="395" s="1"/>
  <c r="M62" i="395"/>
  <c r="O62" i="395" s="1"/>
  <c r="P25" i="395"/>
  <c r="M33" i="395"/>
  <c r="O33" i="395" s="1"/>
  <c r="M38" i="395"/>
  <c r="P43" i="395"/>
  <c r="M56" i="395"/>
  <c r="O56" i="395" s="1"/>
  <c r="M58" i="395"/>
  <c r="O58" i="395" s="1"/>
  <c r="M61" i="395"/>
  <c r="O61" i="395" s="1"/>
  <c r="T61" i="395"/>
  <c r="U61" i="395" s="1"/>
  <c r="V61" i="395" s="1"/>
  <c r="M9" i="395"/>
  <c r="O9" i="395" s="1"/>
  <c r="F13" i="395"/>
  <c r="F65" i="395" s="1"/>
  <c r="M17" i="395"/>
  <c r="M18" i="395"/>
  <c r="T18" i="395" s="1"/>
  <c r="U18" i="395" s="1"/>
  <c r="V18" i="395" s="1"/>
  <c r="P27" i="395"/>
  <c r="P45" i="395"/>
  <c r="M20" i="395"/>
  <c r="M29" i="395"/>
  <c r="T29" i="395" s="1"/>
  <c r="U29" i="395" s="1"/>
  <c r="V29" i="395" s="1"/>
  <c r="T32" i="395"/>
  <c r="U32" i="395" s="1"/>
  <c r="V32" i="395" s="1"/>
  <c r="M32" i="395"/>
  <c r="O32" i="395" s="1"/>
  <c r="T35" i="395"/>
  <c r="U35" i="395" s="1"/>
  <c r="V35" i="395" s="1"/>
  <c r="O35" i="395"/>
  <c r="P47" i="395"/>
  <c r="P50" i="395"/>
  <c r="M64" i="395"/>
  <c r="O64" i="395" s="1"/>
  <c r="K7" i="395"/>
  <c r="L7" i="395" s="1"/>
  <c r="J65" i="395"/>
  <c r="M11" i="395"/>
  <c r="O15" i="395"/>
  <c r="P16" i="395"/>
  <c r="M22" i="395"/>
  <c r="M40" i="395"/>
  <c r="O40" i="395" s="1"/>
  <c r="T40" i="395"/>
  <c r="U40" i="395" s="1"/>
  <c r="V40" i="395" s="1"/>
  <c r="P57" i="395"/>
  <c r="O59" i="395"/>
  <c r="T60" i="395"/>
  <c r="U60" i="395" s="1"/>
  <c r="V60" i="395" s="1"/>
  <c r="M60" i="395"/>
  <c r="O60" i="395" s="1"/>
  <c r="T15" i="395"/>
  <c r="U15" i="395" s="1"/>
  <c r="V15" i="395" s="1"/>
  <c r="P19" i="395"/>
  <c r="T26" i="395"/>
  <c r="U26" i="395" s="1"/>
  <c r="V26" i="395" s="1"/>
  <c r="M26" i="395"/>
  <c r="O26" i="395" s="1"/>
  <c r="U31" i="395"/>
  <c r="V31" i="395" s="1"/>
  <c r="M44" i="395"/>
  <c r="O44" i="395" s="1"/>
  <c r="U63" i="395"/>
  <c r="V63" i="395" s="1"/>
  <c r="P53" i="395"/>
  <c r="P55" i="395"/>
  <c r="G65" i="395"/>
  <c r="O14" i="395"/>
  <c r="M28" i="395"/>
  <c r="T28" i="395" s="1"/>
  <c r="U28" i="395" s="1"/>
  <c r="V28" i="395" s="1"/>
  <c r="O37" i="395"/>
  <c r="M54" i="395"/>
  <c r="T54" i="395" s="1"/>
  <c r="U54" i="395" s="1"/>
  <c r="V54" i="395" s="1"/>
  <c r="M52" i="395"/>
  <c r="T52" i="395" s="1"/>
  <c r="U52" i="395" s="1"/>
  <c r="V52" i="395" s="1"/>
  <c r="I65" i="395"/>
  <c r="T41" i="395"/>
  <c r="U41" i="395" s="1"/>
  <c r="V41" i="395" s="1"/>
  <c r="T51" i="395"/>
  <c r="U51" i="395" s="1"/>
  <c r="V51" i="395" s="1"/>
  <c r="A65" i="395"/>
  <c r="O30" i="395"/>
  <c r="O36" i="395"/>
  <c r="D65" i="395"/>
  <c r="P11" i="394"/>
  <c r="P16" i="394"/>
  <c r="P18" i="394" s="1"/>
  <c r="M24" i="394"/>
  <c r="T24" i="394" s="1"/>
  <c r="U24" i="394" s="1"/>
  <c r="V24" i="394" s="1"/>
  <c r="P20" i="394"/>
  <c r="P21" i="394" s="1"/>
  <c r="P23" i="394"/>
  <c r="P25" i="394" s="1"/>
  <c r="P12" i="394"/>
  <c r="M10" i="394"/>
  <c r="O10" i="394" s="1"/>
  <c r="F24" i="394"/>
  <c r="F25" i="394" s="1"/>
  <c r="P13" i="394"/>
  <c r="K9" i="394"/>
  <c r="P11" i="393"/>
  <c r="O8" i="393"/>
  <c r="M15" i="393"/>
  <c r="T15" i="393" s="1"/>
  <c r="U15" i="393" s="1"/>
  <c r="V15" i="393" s="1"/>
  <c r="P18" i="393"/>
  <c r="P17" i="393"/>
  <c r="P16" i="393"/>
  <c r="L14" i="393"/>
  <c r="F7" i="393"/>
  <c r="F8" i="393"/>
  <c r="T8" i="393"/>
  <c r="U8" i="393" s="1"/>
  <c r="V8" i="393" s="1"/>
  <c r="AA20" i="392"/>
  <c r="Z20" i="392"/>
  <c r="Y20" i="392"/>
  <c r="X20" i="392"/>
  <c r="W20" i="392"/>
  <c r="R20" i="392"/>
  <c r="Q20" i="392"/>
  <c r="J20" i="392"/>
  <c r="I20" i="392"/>
  <c r="H20" i="392"/>
  <c r="G20" i="392"/>
  <c r="E20" i="392"/>
  <c r="S19" i="392"/>
  <c r="K19" i="392"/>
  <c r="L19" i="392" s="1"/>
  <c r="P19" i="392" s="1"/>
  <c r="F19" i="392"/>
  <c r="S18" i="392"/>
  <c r="K18" i="392"/>
  <c r="L18" i="392" s="1"/>
  <c r="F18" i="392"/>
  <c r="S17" i="392"/>
  <c r="K17" i="392"/>
  <c r="L17" i="392" s="1"/>
  <c r="F17" i="392"/>
  <c r="S16" i="392"/>
  <c r="N16" i="392"/>
  <c r="L16" i="392"/>
  <c r="P16" i="392" s="1"/>
  <c r="K16" i="392"/>
  <c r="D16" i="392"/>
  <c r="S15" i="392"/>
  <c r="K15" i="392"/>
  <c r="L15" i="392" s="1"/>
  <c r="F15" i="392"/>
  <c r="S14" i="392"/>
  <c r="K14" i="392"/>
  <c r="L14" i="392" s="1"/>
  <c r="F14" i="392"/>
  <c r="S13" i="392"/>
  <c r="L13" i="392"/>
  <c r="P13" i="392" s="1"/>
  <c r="K13" i="392"/>
  <c r="F13" i="392"/>
  <c r="S12" i="392"/>
  <c r="K12" i="392"/>
  <c r="L12" i="392" s="1"/>
  <c r="F12" i="392"/>
  <c r="S11" i="392"/>
  <c r="K11" i="392"/>
  <c r="L11" i="392" s="1"/>
  <c r="P11" i="392" s="1"/>
  <c r="F11" i="392"/>
  <c r="S10" i="392"/>
  <c r="K10" i="392"/>
  <c r="L10" i="392" s="1"/>
  <c r="F10" i="392"/>
  <c r="S9" i="392"/>
  <c r="N9" i="392"/>
  <c r="K9" i="392"/>
  <c r="L9" i="392" s="1"/>
  <c r="F9" i="392"/>
  <c r="S8" i="392"/>
  <c r="N8" i="392"/>
  <c r="K8" i="392"/>
  <c r="L8" i="392" s="1"/>
  <c r="F8" i="392"/>
  <c r="S7" i="392"/>
  <c r="N7" i="392"/>
  <c r="K7" i="392"/>
  <c r="L7" i="392" s="1"/>
  <c r="F7" i="392"/>
  <c r="A7" i="392"/>
  <c r="S6" i="392"/>
  <c r="K6" i="392"/>
  <c r="L6" i="392" s="1"/>
  <c r="P6" i="392" s="1"/>
  <c r="F6" i="392"/>
  <c r="A6" i="392"/>
  <c r="S5" i="392"/>
  <c r="K5" i="392"/>
  <c r="L5" i="392" s="1"/>
  <c r="F5" i="392"/>
  <c r="X29" i="391"/>
  <c r="E28" i="391"/>
  <c r="E29" i="391" s="1"/>
  <c r="G28" i="391"/>
  <c r="G29" i="391" s="1"/>
  <c r="H28" i="391"/>
  <c r="I28" i="391"/>
  <c r="I29" i="391" s="1"/>
  <c r="J28" i="391"/>
  <c r="J29" i="391" s="1"/>
  <c r="N28" i="391"/>
  <c r="Q28" i="391"/>
  <c r="Q29" i="391" s="1"/>
  <c r="R28" i="391"/>
  <c r="V28" i="391"/>
  <c r="X28" i="391"/>
  <c r="Y28" i="391"/>
  <c r="Y29" i="391" s="1"/>
  <c r="Z28" i="391"/>
  <c r="AA28" i="391"/>
  <c r="D28" i="391"/>
  <c r="E23" i="391"/>
  <c r="G23" i="391"/>
  <c r="H23" i="391"/>
  <c r="I23" i="391"/>
  <c r="J23" i="391"/>
  <c r="Q23" i="391"/>
  <c r="R23" i="391"/>
  <c r="S23" i="391"/>
  <c r="X23" i="391"/>
  <c r="Y23" i="391"/>
  <c r="Z23" i="391"/>
  <c r="AA23" i="391"/>
  <c r="E15" i="391"/>
  <c r="G15" i="391"/>
  <c r="H15" i="391"/>
  <c r="I15" i="391"/>
  <c r="J15" i="391"/>
  <c r="Q15" i="391"/>
  <c r="R15" i="391"/>
  <c r="W15" i="391"/>
  <c r="X15" i="391"/>
  <c r="Y15" i="391"/>
  <c r="Z15" i="391"/>
  <c r="AA15" i="391"/>
  <c r="E12" i="391"/>
  <c r="G12" i="391"/>
  <c r="H12" i="391"/>
  <c r="I12" i="391"/>
  <c r="J12" i="391"/>
  <c r="K12" i="391"/>
  <c r="L12" i="391"/>
  <c r="P12" i="391"/>
  <c r="Q12" i="391"/>
  <c r="R12" i="391"/>
  <c r="V12" i="391"/>
  <c r="X12" i="391"/>
  <c r="Y12" i="391"/>
  <c r="Z12" i="391"/>
  <c r="AA12" i="391"/>
  <c r="D12" i="391"/>
  <c r="E9" i="391"/>
  <c r="G9" i="391"/>
  <c r="H9" i="391"/>
  <c r="I9" i="391"/>
  <c r="J9" i="391"/>
  <c r="Q9" i="391"/>
  <c r="R9" i="391"/>
  <c r="V9" i="391"/>
  <c r="X9" i="391"/>
  <c r="Y9" i="391"/>
  <c r="Z9" i="391"/>
  <c r="AA9" i="391"/>
  <c r="D9" i="391"/>
  <c r="S22" i="391"/>
  <c r="K22" i="391"/>
  <c r="L22" i="391" s="1"/>
  <c r="F22" i="391"/>
  <c r="S21" i="391"/>
  <c r="N21" i="391"/>
  <c r="K21" i="391"/>
  <c r="L21" i="391" s="1"/>
  <c r="P21" i="391" s="1"/>
  <c r="D21" i="391"/>
  <c r="F21" i="391" s="1"/>
  <c r="S8" i="391"/>
  <c r="N8" i="391"/>
  <c r="K8" i="391"/>
  <c r="L8" i="391" s="1"/>
  <c r="P8" i="391" s="1"/>
  <c r="F8" i="391"/>
  <c r="D8" i="391"/>
  <c r="S27" i="391"/>
  <c r="N27" i="391"/>
  <c r="K27" i="391"/>
  <c r="L27" i="391" s="1"/>
  <c r="D27" i="391"/>
  <c r="F27" i="391" s="1"/>
  <c r="S7" i="391"/>
  <c r="K7" i="391"/>
  <c r="K9" i="391" s="1"/>
  <c r="F7" i="391"/>
  <c r="S20" i="391"/>
  <c r="N20" i="391"/>
  <c r="K20" i="391"/>
  <c r="D20" i="391"/>
  <c r="F20" i="391" s="1"/>
  <c r="S14" i="391"/>
  <c r="S15" i="391" s="1"/>
  <c r="N14" i="391"/>
  <c r="N15" i="391" s="1"/>
  <c r="K14" i="391"/>
  <c r="L14" i="391" s="1"/>
  <c r="P14" i="391" s="1"/>
  <c r="P15" i="391" s="1"/>
  <c r="D14" i="391"/>
  <c r="F14" i="391" s="1"/>
  <c r="F15" i="391" s="1"/>
  <c r="S26" i="391"/>
  <c r="K26" i="391"/>
  <c r="L26" i="391" s="1"/>
  <c r="F26" i="391"/>
  <c r="S19" i="391"/>
  <c r="N19" i="391"/>
  <c r="L19" i="391"/>
  <c r="K19" i="391"/>
  <c r="F19" i="391"/>
  <c r="S11" i="391"/>
  <c r="S12" i="391" s="1"/>
  <c r="N11" i="391"/>
  <c r="N12" i="391" s="1"/>
  <c r="K11" i="391"/>
  <c r="L11" i="391" s="1"/>
  <c r="P11" i="391" s="1"/>
  <c r="D11" i="391"/>
  <c r="S18" i="391"/>
  <c r="N18" i="391"/>
  <c r="K18" i="391"/>
  <c r="L18" i="391" s="1"/>
  <c r="P18" i="391" s="1"/>
  <c r="D18" i="391"/>
  <c r="S25" i="391"/>
  <c r="S28" i="391" s="1"/>
  <c r="K25" i="391"/>
  <c r="L25" i="391" s="1"/>
  <c r="F25" i="391"/>
  <c r="F28" i="391" s="1"/>
  <c r="S6" i="391"/>
  <c r="S9" i="391" s="1"/>
  <c r="N6" i="391"/>
  <c r="N9" i="391" s="1"/>
  <c r="K6" i="391"/>
  <c r="L6" i="391" s="1"/>
  <c r="P6" i="391" s="1"/>
  <c r="F6" i="391"/>
  <c r="F9" i="391" s="1"/>
  <c r="S17" i="391"/>
  <c r="N17" i="391"/>
  <c r="K17" i="391"/>
  <c r="L17" i="391" s="1"/>
  <c r="F17" i="391"/>
  <c r="E24" i="390"/>
  <c r="F24" i="390"/>
  <c r="G24" i="390"/>
  <c r="H24" i="390"/>
  <c r="I24" i="390"/>
  <c r="J24" i="390"/>
  <c r="N24" i="390"/>
  <c r="Q24" i="390"/>
  <c r="R24" i="390"/>
  <c r="W24" i="390"/>
  <c r="X24" i="390"/>
  <c r="X25" i="390" s="1"/>
  <c r="Y24" i="390"/>
  <c r="Y25" i="390" s="1"/>
  <c r="Z24" i="390"/>
  <c r="AA24" i="390"/>
  <c r="E25" i="390"/>
  <c r="G25" i="390"/>
  <c r="W25" i="390"/>
  <c r="AA25" i="390"/>
  <c r="D24" i="390"/>
  <c r="E20" i="390"/>
  <c r="G20" i="390"/>
  <c r="H20" i="390"/>
  <c r="I20" i="390"/>
  <c r="J20" i="390"/>
  <c r="K20" i="390"/>
  <c r="L20" i="390"/>
  <c r="M20" i="390"/>
  <c r="N20" i="390"/>
  <c r="P20" i="390"/>
  <c r="Q20" i="390"/>
  <c r="R20" i="390"/>
  <c r="S20" i="390"/>
  <c r="T20" i="390"/>
  <c r="W20" i="390"/>
  <c r="X20" i="390"/>
  <c r="Y20" i="390"/>
  <c r="Z20" i="390"/>
  <c r="AA20" i="390"/>
  <c r="D20" i="390"/>
  <c r="E17" i="390"/>
  <c r="G17" i="390"/>
  <c r="H17" i="390"/>
  <c r="I17" i="390"/>
  <c r="J17" i="390"/>
  <c r="N17" i="390"/>
  <c r="Q17" i="390"/>
  <c r="Q25" i="390" s="1"/>
  <c r="R17" i="390"/>
  <c r="W17" i="390"/>
  <c r="X17" i="390"/>
  <c r="Y17" i="390"/>
  <c r="Z17" i="390"/>
  <c r="AA17" i="390"/>
  <c r="D17" i="390"/>
  <c r="E14" i="390"/>
  <c r="G14" i="390"/>
  <c r="H14" i="390"/>
  <c r="I14" i="390"/>
  <c r="J14" i="390"/>
  <c r="N14" i="390"/>
  <c r="Q14" i="390"/>
  <c r="R14" i="390"/>
  <c r="W14" i="390"/>
  <c r="X14" i="390"/>
  <c r="Y14" i="390"/>
  <c r="Z14" i="390"/>
  <c r="AA14" i="390"/>
  <c r="D14" i="390"/>
  <c r="E10" i="390"/>
  <c r="G10" i="390"/>
  <c r="H10" i="390"/>
  <c r="I10" i="390"/>
  <c r="J10" i="390"/>
  <c r="Q10" i="390"/>
  <c r="R10" i="390"/>
  <c r="W10" i="390"/>
  <c r="X10" i="390"/>
  <c r="Y10" i="390"/>
  <c r="Z10" i="390"/>
  <c r="AA10" i="390"/>
  <c r="D10" i="390"/>
  <c r="N19" i="390"/>
  <c r="O19" i="390" s="1"/>
  <c r="O20" i="390" s="1"/>
  <c r="F19" i="390"/>
  <c r="F20" i="390" s="1"/>
  <c r="O9" i="390"/>
  <c r="N9" i="390"/>
  <c r="U9" i="390" s="1"/>
  <c r="V9" i="390" s="1"/>
  <c r="F9" i="390"/>
  <c r="N8" i="390"/>
  <c r="F8" i="390"/>
  <c r="S16" i="390"/>
  <c r="S17" i="390" s="1"/>
  <c r="K16" i="390"/>
  <c r="K17" i="390" s="1"/>
  <c r="F16" i="390"/>
  <c r="F17" i="390" s="1"/>
  <c r="S13" i="390"/>
  <c r="K13" i="390"/>
  <c r="L13" i="390" s="1"/>
  <c r="F13" i="390"/>
  <c r="S23" i="390"/>
  <c r="N23" i="390"/>
  <c r="K23" i="390"/>
  <c r="L23" i="390" s="1"/>
  <c r="P23" i="390" s="1"/>
  <c r="F23" i="390"/>
  <c r="S22" i="390"/>
  <c r="S24" i="390" s="1"/>
  <c r="N22" i="390"/>
  <c r="K22" i="390"/>
  <c r="F22" i="390"/>
  <c r="S12" i="390"/>
  <c r="S14" i="390" s="1"/>
  <c r="N12" i="390"/>
  <c r="L12" i="390"/>
  <c r="K12" i="390"/>
  <c r="F12" i="390"/>
  <c r="F14" i="390" s="1"/>
  <c r="S7" i="390"/>
  <c r="K7" i="390"/>
  <c r="L7" i="390" s="1"/>
  <c r="P7" i="390" s="1"/>
  <c r="D7" i="390"/>
  <c r="F7" i="390" s="1"/>
  <c r="A7" i="390"/>
  <c r="S6" i="390"/>
  <c r="S10" i="390" s="1"/>
  <c r="N6" i="390"/>
  <c r="K6" i="390"/>
  <c r="F6" i="390"/>
  <c r="F10" i="390" s="1"/>
  <c r="E11" i="389"/>
  <c r="G11" i="389"/>
  <c r="G12" i="389" s="1"/>
  <c r="H11" i="389"/>
  <c r="I11" i="389"/>
  <c r="J11" i="389"/>
  <c r="Q11" i="389"/>
  <c r="R11" i="389"/>
  <c r="S11" i="389"/>
  <c r="S12" i="389" s="1"/>
  <c r="V11" i="389"/>
  <c r="X11" i="389"/>
  <c r="X12" i="389" s="1"/>
  <c r="Y11" i="389"/>
  <c r="Z11" i="389"/>
  <c r="AA11" i="389"/>
  <c r="AA12" i="389" s="1"/>
  <c r="E12" i="389"/>
  <c r="I12" i="389"/>
  <c r="Q12" i="389"/>
  <c r="V12" i="389"/>
  <c r="Y12" i="389"/>
  <c r="Z12" i="389"/>
  <c r="D11" i="389"/>
  <c r="E8" i="389"/>
  <c r="G8" i="389"/>
  <c r="H8" i="389"/>
  <c r="I8" i="389"/>
  <c r="J8" i="389"/>
  <c r="J12" i="389" s="1"/>
  <c r="Q8" i="389"/>
  <c r="R8" i="389"/>
  <c r="R12" i="389" s="1"/>
  <c r="V8" i="389"/>
  <c r="A10" i="389"/>
  <c r="A7" i="389"/>
  <c r="AB12" i="389"/>
  <c r="S7" i="389"/>
  <c r="N7" i="389"/>
  <c r="N8" i="389" s="1"/>
  <c r="K7" i="389"/>
  <c r="L7" i="389" s="1"/>
  <c r="D7" i="389"/>
  <c r="S6" i="389"/>
  <c r="S8" i="389" s="1"/>
  <c r="K6" i="389"/>
  <c r="S10" i="389"/>
  <c r="N10" i="389"/>
  <c r="N11" i="389" s="1"/>
  <c r="N12" i="389" s="1"/>
  <c r="K10" i="389"/>
  <c r="L10" i="389" s="1"/>
  <c r="L11" i="389" s="1"/>
  <c r="F10" i="389"/>
  <c r="F11" i="389" s="1"/>
  <c r="D10" i="389"/>
  <c r="AA16" i="388"/>
  <c r="Z16" i="388"/>
  <c r="Y16" i="388"/>
  <c r="X16" i="388"/>
  <c r="R16" i="388"/>
  <c r="Q16" i="388"/>
  <c r="J16" i="388"/>
  <c r="I16" i="388"/>
  <c r="H16" i="388"/>
  <c r="G16" i="388"/>
  <c r="E16" i="388"/>
  <c r="S15" i="388"/>
  <c r="N15" i="388"/>
  <c r="K15" i="388"/>
  <c r="L15" i="388" s="1"/>
  <c r="P15" i="388" s="1"/>
  <c r="D15" i="388"/>
  <c r="F15" i="388" s="1"/>
  <c r="S14" i="388"/>
  <c r="K14" i="388"/>
  <c r="L14" i="388" s="1"/>
  <c r="F14" i="388"/>
  <c r="S13" i="388"/>
  <c r="N13" i="388"/>
  <c r="K13" i="388"/>
  <c r="L13" i="388" s="1"/>
  <c r="P13" i="388" s="1"/>
  <c r="D13" i="388"/>
  <c r="F13" i="388" s="1"/>
  <c r="AA12" i="388"/>
  <c r="S12" i="388"/>
  <c r="N12" i="388"/>
  <c r="K12" i="388"/>
  <c r="L12" i="388" s="1"/>
  <c r="P12" i="388" s="1"/>
  <c r="D12" i="388"/>
  <c r="S11" i="388"/>
  <c r="L11" i="388"/>
  <c r="P11" i="388" s="1"/>
  <c r="K11" i="388"/>
  <c r="S10" i="388"/>
  <c r="N10" i="388"/>
  <c r="K10" i="388"/>
  <c r="L10" i="388" s="1"/>
  <c r="D10" i="388"/>
  <c r="S9" i="388"/>
  <c r="N9" i="388"/>
  <c r="K9" i="388"/>
  <c r="D9" i="388"/>
  <c r="F9" i="388" s="1"/>
  <c r="S8" i="388"/>
  <c r="N8" i="388"/>
  <c r="K8" i="388"/>
  <c r="L8" i="388" s="1"/>
  <c r="P8" i="388" s="1"/>
  <c r="D8" i="388"/>
  <c r="S7" i="388"/>
  <c r="N7" i="388"/>
  <c r="K7" i="388"/>
  <c r="L7" i="388" s="1"/>
  <c r="D7" i="388"/>
  <c r="F7" i="388" s="1"/>
  <c r="S6" i="388"/>
  <c r="K6" i="388"/>
  <c r="L6" i="388" s="1"/>
  <c r="P6" i="388" s="1"/>
  <c r="D6" i="388"/>
  <c r="A6" i="388"/>
  <c r="A7" i="388" s="1"/>
  <c r="A8" i="388" s="1"/>
  <c r="S5" i="388"/>
  <c r="P5" i="388"/>
  <c r="N5" i="388"/>
  <c r="K5" i="388"/>
  <c r="L5" i="388" s="1"/>
  <c r="D5" i="388"/>
  <c r="F5" i="388" s="1"/>
  <c r="AA17" i="387"/>
  <c r="Z17" i="387"/>
  <c r="Y17" i="387"/>
  <c r="X17" i="387"/>
  <c r="V17" i="387"/>
  <c r="R17" i="387"/>
  <c r="Q17" i="387"/>
  <c r="I17" i="387"/>
  <c r="H17" i="387"/>
  <c r="G17" i="387"/>
  <c r="E17" i="387"/>
  <c r="S16" i="387"/>
  <c r="N16" i="387"/>
  <c r="K16" i="387"/>
  <c r="L16" i="387" s="1"/>
  <c r="P16" i="387" s="1"/>
  <c r="D16" i="387"/>
  <c r="F16" i="387" s="1"/>
  <c r="S15" i="387"/>
  <c r="N15" i="387"/>
  <c r="L15" i="387"/>
  <c r="P15" i="387" s="1"/>
  <c r="M15" i="387" s="1"/>
  <c r="O15" i="387" s="1"/>
  <c r="K15" i="387"/>
  <c r="F15" i="387"/>
  <c r="S14" i="387"/>
  <c r="N14" i="387"/>
  <c r="J14" i="387"/>
  <c r="F14" i="387"/>
  <c r="S13" i="387"/>
  <c r="K13" i="387"/>
  <c r="L13" i="387" s="1"/>
  <c r="P13" i="387" s="1"/>
  <c r="M13" i="387" s="1"/>
  <c r="F13" i="387"/>
  <c r="S12" i="387"/>
  <c r="N12" i="387"/>
  <c r="L12" i="387"/>
  <c r="P12" i="387" s="1"/>
  <c r="K12" i="387"/>
  <c r="F12" i="387"/>
  <c r="S11" i="387"/>
  <c r="K11" i="387"/>
  <c r="L11" i="387" s="1"/>
  <c r="P11" i="387" s="1"/>
  <c r="D11" i="387"/>
  <c r="F11" i="387" s="1"/>
  <c r="S10" i="387"/>
  <c r="K10" i="387"/>
  <c r="L10" i="387" s="1"/>
  <c r="P10" i="387" s="1"/>
  <c r="F10" i="387"/>
  <c r="D10" i="387"/>
  <c r="S9" i="387"/>
  <c r="P9" i="387"/>
  <c r="M9" i="387" s="1"/>
  <c r="N9" i="387"/>
  <c r="K9" i="387"/>
  <c r="L9" i="387" s="1"/>
  <c r="D9" i="387"/>
  <c r="S8" i="387"/>
  <c r="K8" i="387"/>
  <c r="L8" i="387" s="1"/>
  <c r="P8" i="387" s="1"/>
  <c r="F8" i="387"/>
  <c r="D8" i="387"/>
  <c r="S7" i="387"/>
  <c r="L7" i="387"/>
  <c r="P7" i="387" s="1"/>
  <c r="K7" i="387"/>
  <c r="D7" i="387"/>
  <c r="S6" i="387"/>
  <c r="L6" i="387"/>
  <c r="P6" i="387" s="1"/>
  <c r="K6" i="387"/>
  <c r="F6" i="387"/>
  <c r="A6" i="387"/>
  <c r="A7" i="387" s="1"/>
  <c r="A8" i="387" s="1"/>
  <c r="A9" i="387" s="1"/>
  <c r="A10" i="387" s="1"/>
  <c r="A11" i="387" s="1"/>
  <c r="A12" i="387" s="1"/>
  <c r="A13" i="387" s="1"/>
  <c r="A14" i="387" s="1"/>
  <c r="A15" i="387" s="1"/>
  <c r="A16" i="387" s="1"/>
  <c r="S5" i="387"/>
  <c r="N5" i="387"/>
  <c r="J5" i="387"/>
  <c r="K5" i="387" s="1"/>
  <c r="D5" i="387"/>
  <c r="G140" i="386"/>
  <c r="H140" i="386"/>
  <c r="I140" i="386"/>
  <c r="Q140" i="386"/>
  <c r="R140" i="386"/>
  <c r="V140" i="386"/>
  <c r="X140" i="386"/>
  <c r="Y140" i="386"/>
  <c r="Z140" i="386"/>
  <c r="AA140" i="386"/>
  <c r="E129" i="386"/>
  <c r="G129" i="386"/>
  <c r="H129" i="386"/>
  <c r="I129" i="386"/>
  <c r="J129" i="386"/>
  <c r="Q129" i="386"/>
  <c r="R129" i="386"/>
  <c r="V129" i="386"/>
  <c r="X129" i="386"/>
  <c r="Y129" i="386"/>
  <c r="Z129" i="386"/>
  <c r="AA129" i="386"/>
  <c r="D129" i="386"/>
  <c r="E122" i="386"/>
  <c r="F122" i="386"/>
  <c r="G122" i="386"/>
  <c r="H122" i="386"/>
  <c r="I122" i="386"/>
  <c r="J122" i="386"/>
  <c r="Q122" i="386"/>
  <c r="R122" i="386"/>
  <c r="V122" i="386"/>
  <c r="X122" i="386"/>
  <c r="Y122" i="386"/>
  <c r="Z122" i="386"/>
  <c r="AA122" i="386"/>
  <c r="D122" i="386"/>
  <c r="E118" i="386"/>
  <c r="C16" i="97" s="1"/>
  <c r="F118" i="386"/>
  <c r="G118" i="386"/>
  <c r="H118" i="386"/>
  <c r="F16" i="97" s="1"/>
  <c r="I118" i="386"/>
  <c r="Q118" i="386"/>
  <c r="O16" i="97" s="1"/>
  <c r="R118" i="386"/>
  <c r="P16" i="97" s="1"/>
  <c r="V118" i="386"/>
  <c r="X118" i="386"/>
  <c r="V16" i="97" s="1"/>
  <c r="Y118" i="386"/>
  <c r="Z118" i="386"/>
  <c r="AA118" i="386"/>
  <c r="E112" i="386"/>
  <c r="G112" i="386"/>
  <c r="H112" i="386"/>
  <c r="I112" i="386"/>
  <c r="J112" i="386"/>
  <c r="Q112" i="386"/>
  <c r="R112" i="386"/>
  <c r="V112" i="386"/>
  <c r="X112" i="386"/>
  <c r="Y112" i="386"/>
  <c r="Z112" i="386"/>
  <c r="AA112" i="386"/>
  <c r="G101" i="386"/>
  <c r="Q101" i="386"/>
  <c r="R101" i="386"/>
  <c r="V101" i="386"/>
  <c r="V141" i="386" s="1"/>
  <c r="X101" i="386"/>
  <c r="Y101" i="386"/>
  <c r="Z101" i="386"/>
  <c r="E67" i="386"/>
  <c r="C17" i="97" s="1"/>
  <c r="F67" i="386"/>
  <c r="D17" i="97" s="1"/>
  <c r="G67" i="386"/>
  <c r="E17" i="97" s="1"/>
  <c r="H67" i="386"/>
  <c r="F17" i="97" s="1"/>
  <c r="I67" i="386"/>
  <c r="G17" i="97" s="1"/>
  <c r="J67" i="386"/>
  <c r="H17" i="97" s="1"/>
  <c r="Q67" i="386"/>
  <c r="O17" i="97" s="1"/>
  <c r="R67" i="386"/>
  <c r="P17" i="97" s="1"/>
  <c r="V67" i="386"/>
  <c r="T17" i="97" s="1"/>
  <c r="W67" i="386"/>
  <c r="U17" i="97" s="1"/>
  <c r="X67" i="386"/>
  <c r="V17" i="97" s="1"/>
  <c r="Y67" i="386"/>
  <c r="W17" i="97" s="1"/>
  <c r="Z67" i="386"/>
  <c r="X17" i="97" s="1"/>
  <c r="D67" i="386"/>
  <c r="B17" i="97" s="1"/>
  <c r="E64" i="386"/>
  <c r="F64" i="386"/>
  <c r="G64" i="386"/>
  <c r="H64" i="386"/>
  <c r="I64" i="386"/>
  <c r="J64" i="386"/>
  <c r="N64" i="386"/>
  <c r="Q64" i="386"/>
  <c r="R64" i="386"/>
  <c r="V64" i="386"/>
  <c r="X64" i="386"/>
  <c r="Y64" i="386"/>
  <c r="Z64" i="386"/>
  <c r="AA64" i="386"/>
  <c r="D64" i="386"/>
  <c r="E61" i="386"/>
  <c r="G61" i="386"/>
  <c r="H61" i="386"/>
  <c r="I61" i="386"/>
  <c r="Q61" i="386"/>
  <c r="R61" i="386"/>
  <c r="V61" i="386"/>
  <c r="X61" i="386"/>
  <c r="Y61" i="386"/>
  <c r="Z61" i="386"/>
  <c r="AA61" i="386"/>
  <c r="E43" i="386"/>
  <c r="G43" i="386"/>
  <c r="H43" i="386"/>
  <c r="I43" i="386"/>
  <c r="Q43" i="386"/>
  <c r="R43" i="386"/>
  <c r="V43" i="386"/>
  <c r="X43" i="386"/>
  <c r="Y43" i="386"/>
  <c r="Z43" i="386"/>
  <c r="AA43" i="386"/>
  <c r="E17" i="386"/>
  <c r="F17" i="386"/>
  <c r="G17" i="386"/>
  <c r="H17" i="386"/>
  <c r="I17" i="386"/>
  <c r="N17" i="386"/>
  <c r="Q17" i="386"/>
  <c r="R17" i="386"/>
  <c r="V17" i="386"/>
  <c r="X17" i="386"/>
  <c r="Y17" i="386"/>
  <c r="Y141" i="386" s="1"/>
  <c r="Z17" i="386"/>
  <c r="AA17" i="386"/>
  <c r="D17" i="386"/>
  <c r="E14" i="386"/>
  <c r="G14" i="386"/>
  <c r="H14" i="386"/>
  <c r="I14" i="386"/>
  <c r="J14" i="386"/>
  <c r="N14" i="386"/>
  <c r="Q14" i="386"/>
  <c r="R14" i="386"/>
  <c r="V14" i="386"/>
  <c r="X14" i="386"/>
  <c r="Y14" i="386"/>
  <c r="Z14" i="386"/>
  <c r="AA14" i="386"/>
  <c r="E7" i="386"/>
  <c r="C6" i="97" s="1"/>
  <c r="F7" i="386"/>
  <c r="G7" i="386"/>
  <c r="H7" i="386"/>
  <c r="I7" i="386"/>
  <c r="J7" i="386"/>
  <c r="H6" i="97" s="1"/>
  <c r="N7" i="386"/>
  <c r="Q7" i="386"/>
  <c r="O6" i="97" s="1"/>
  <c r="R7" i="386"/>
  <c r="V7" i="386"/>
  <c r="X7" i="386"/>
  <c r="Y7" i="386"/>
  <c r="W6" i="97" s="1"/>
  <c r="Z7" i="386"/>
  <c r="X6" i="97" s="1"/>
  <c r="AA7" i="386"/>
  <c r="D7" i="386"/>
  <c r="B6" i="97" s="1"/>
  <c r="AB141" i="386"/>
  <c r="S139" i="386"/>
  <c r="N139" i="386"/>
  <c r="K139" i="386"/>
  <c r="L139" i="386" s="1"/>
  <c r="P139" i="386" s="1"/>
  <c r="M139" i="386" s="1"/>
  <c r="F139" i="386"/>
  <c r="D139" i="386"/>
  <c r="S105" i="386"/>
  <c r="N105" i="386"/>
  <c r="K105" i="386"/>
  <c r="L105" i="386" s="1"/>
  <c r="P105" i="386" s="1"/>
  <c r="D105" i="386"/>
  <c r="F105" i="386" s="1"/>
  <c r="S34" i="386"/>
  <c r="N34" i="386"/>
  <c r="K34" i="386"/>
  <c r="L34" i="386" s="1"/>
  <c r="D34" i="386"/>
  <c r="F34" i="386" s="1"/>
  <c r="S60" i="386"/>
  <c r="K60" i="386"/>
  <c r="L60" i="386" s="1"/>
  <c r="F60" i="386"/>
  <c r="S59" i="386"/>
  <c r="K59" i="386"/>
  <c r="L59" i="386" s="1"/>
  <c r="F59" i="386"/>
  <c r="S58" i="386"/>
  <c r="K58" i="386"/>
  <c r="L58" i="386" s="1"/>
  <c r="P58" i="386" s="1"/>
  <c r="F58" i="386"/>
  <c r="S33" i="386"/>
  <c r="N33" i="386"/>
  <c r="K33" i="386"/>
  <c r="L33" i="386" s="1"/>
  <c r="F33" i="386"/>
  <c r="S29" i="386"/>
  <c r="N29" i="386"/>
  <c r="K29" i="386"/>
  <c r="L29" i="386" s="1"/>
  <c r="P29" i="386" s="1"/>
  <c r="D29" i="386"/>
  <c r="F29" i="386" s="1"/>
  <c r="S28" i="386"/>
  <c r="K28" i="386"/>
  <c r="L28" i="386" s="1"/>
  <c r="P28" i="386" s="1"/>
  <c r="F28" i="386"/>
  <c r="D28" i="386"/>
  <c r="Y12" i="386"/>
  <c r="S12" i="386"/>
  <c r="N12" i="386"/>
  <c r="K12" i="386"/>
  <c r="L12" i="386" s="1"/>
  <c r="P12" i="386" s="1"/>
  <c r="E12" i="386"/>
  <c r="D12" i="386"/>
  <c r="S27" i="386"/>
  <c r="N27" i="386"/>
  <c r="K27" i="386"/>
  <c r="L27" i="386" s="1"/>
  <c r="P27" i="386" s="1"/>
  <c r="D27" i="386"/>
  <c r="F27" i="386" s="1"/>
  <c r="S138" i="386"/>
  <c r="N138" i="386"/>
  <c r="J138" i="386"/>
  <c r="F138" i="386"/>
  <c r="S137" i="386"/>
  <c r="K137" i="386"/>
  <c r="L137" i="386" s="1"/>
  <c r="P137" i="386" s="1"/>
  <c r="F137" i="386"/>
  <c r="S111" i="386"/>
  <c r="K111" i="386"/>
  <c r="L111" i="386" s="1"/>
  <c r="F111" i="386"/>
  <c r="S136" i="386"/>
  <c r="K136" i="386"/>
  <c r="L136" i="386" s="1"/>
  <c r="P136" i="386" s="1"/>
  <c r="F136" i="386"/>
  <c r="S128" i="386"/>
  <c r="N128" i="386"/>
  <c r="K128" i="386"/>
  <c r="L128" i="386" s="1"/>
  <c r="P128" i="386" s="1"/>
  <c r="D128" i="386"/>
  <c r="S115" i="386"/>
  <c r="N115" i="386"/>
  <c r="K115" i="386"/>
  <c r="L115" i="386" s="1"/>
  <c r="P115" i="386" s="1"/>
  <c r="F115" i="386"/>
  <c r="S100" i="386"/>
  <c r="K100" i="386"/>
  <c r="L100" i="386" s="1"/>
  <c r="P100" i="386" s="1"/>
  <c r="F100" i="386"/>
  <c r="S99" i="386"/>
  <c r="L99" i="386"/>
  <c r="K99" i="386"/>
  <c r="F99" i="386"/>
  <c r="S135" i="386"/>
  <c r="K135" i="386"/>
  <c r="L135" i="386" s="1"/>
  <c r="F135" i="386"/>
  <c r="S98" i="386"/>
  <c r="K98" i="386"/>
  <c r="L98" i="386" s="1"/>
  <c r="F98" i="386"/>
  <c r="S32" i="386"/>
  <c r="K32" i="386"/>
  <c r="L32" i="386" s="1"/>
  <c r="P32" i="386" s="1"/>
  <c r="D32" i="386"/>
  <c r="F32" i="386" s="1"/>
  <c r="S57" i="386"/>
  <c r="N57" i="386"/>
  <c r="K57" i="386"/>
  <c r="L57" i="386" s="1"/>
  <c r="P57" i="386" s="1"/>
  <c r="D57" i="386"/>
  <c r="F57" i="386" s="1"/>
  <c r="S110" i="386"/>
  <c r="K110" i="386"/>
  <c r="L110" i="386" s="1"/>
  <c r="P110" i="386" s="1"/>
  <c r="F110" i="386"/>
  <c r="S56" i="386"/>
  <c r="K56" i="386"/>
  <c r="L56" i="386" s="1"/>
  <c r="P56" i="386" s="1"/>
  <c r="M56" i="386" s="1"/>
  <c r="F56" i="386"/>
  <c r="S31" i="386"/>
  <c r="N31" i="386"/>
  <c r="J31" i="386"/>
  <c r="J43" i="386" s="1"/>
  <c r="D31" i="386"/>
  <c r="F31" i="386" s="1"/>
  <c r="S103" i="386"/>
  <c r="N103" i="386"/>
  <c r="K103" i="386"/>
  <c r="J103" i="386"/>
  <c r="D103" i="386"/>
  <c r="F103" i="386" s="1"/>
  <c r="S97" i="386"/>
  <c r="K97" i="386"/>
  <c r="L97" i="386" s="1"/>
  <c r="D97" i="386"/>
  <c r="F97" i="386" s="1"/>
  <c r="S134" i="386"/>
  <c r="K134" i="386"/>
  <c r="L134" i="386" s="1"/>
  <c r="F134" i="386"/>
  <c r="D134" i="386"/>
  <c r="S26" i="386"/>
  <c r="N26" i="386"/>
  <c r="K26" i="386"/>
  <c r="L26" i="386" s="1"/>
  <c r="P26" i="386" s="1"/>
  <c r="D26" i="386"/>
  <c r="S104" i="386"/>
  <c r="K104" i="386"/>
  <c r="L104" i="386" s="1"/>
  <c r="P104" i="386" s="1"/>
  <c r="M104" i="386" s="1"/>
  <c r="F104" i="386"/>
  <c r="S96" i="386"/>
  <c r="K96" i="386"/>
  <c r="L96" i="386" s="1"/>
  <c r="D96" i="386"/>
  <c r="F96" i="386" s="1"/>
  <c r="S106" i="386"/>
  <c r="K106" i="386"/>
  <c r="L106" i="386" s="1"/>
  <c r="F106" i="386"/>
  <c r="S109" i="386"/>
  <c r="K109" i="386"/>
  <c r="L109" i="386" s="1"/>
  <c r="P109" i="386" s="1"/>
  <c r="D109" i="386"/>
  <c r="F109" i="386" s="1"/>
  <c r="AA95" i="386"/>
  <c r="S95" i="386"/>
  <c r="N95" i="386"/>
  <c r="J95" i="386"/>
  <c r="K95" i="386" s="1"/>
  <c r="L95" i="386" s="1"/>
  <c r="P95" i="386" s="1"/>
  <c r="M95" i="386" s="1"/>
  <c r="E95" i="386"/>
  <c r="D95" i="386"/>
  <c r="S114" i="386"/>
  <c r="N114" i="386"/>
  <c r="K114" i="386"/>
  <c r="D114" i="386"/>
  <c r="F114" i="386" s="1"/>
  <c r="S55" i="386"/>
  <c r="K55" i="386"/>
  <c r="L55" i="386" s="1"/>
  <c r="F55" i="386"/>
  <c r="S54" i="386"/>
  <c r="K54" i="386"/>
  <c r="L54" i="386" s="1"/>
  <c r="F54" i="386"/>
  <c r="S53" i="386"/>
  <c r="N53" i="386"/>
  <c r="N61" i="386" s="1"/>
  <c r="K53" i="386"/>
  <c r="L53" i="386" s="1"/>
  <c r="P53" i="386" s="1"/>
  <c r="F53" i="386"/>
  <c r="D53" i="386"/>
  <c r="S25" i="386"/>
  <c r="N25" i="386"/>
  <c r="K25" i="386"/>
  <c r="L25" i="386" s="1"/>
  <c r="J25" i="386"/>
  <c r="D25" i="386"/>
  <c r="F25" i="386" s="1"/>
  <c r="S11" i="386"/>
  <c r="N11" i="386"/>
  <c r="J11" i="386"/>
  <c r="K11" i="386" s="1"/>
  <c r="L11" i="386" s="1"/>
  <c r="P11" i="386" s="1"/>
  <c r="F11" i="386"/>
  <c r="E11" i="386"/>
  <c r="D11" i="386"/>
  <c r="D14" i="386" s="1"/>
  <c r="S94" i="386"/>
  <c r="K94" i="386"/>
  <c r="L94" i="386" s="1"/>
  <c r="F94" i="386"/>
  <c r="S10" i="386"/>
  <c r="N10" i="386"/>
  <c r="K10" i="386"/>
  <c r="L10" i="386" s="1"/>
  <c r="J10" i="386"/>
  <c r="F10" i="386"/>
  <c r="S24" i="386"/>
  <c r="N24" i="386"/>
  <c r="K24" i="386"/>
  <c r="L24" i="386" s="1"/>
  <c r="P24" i="386" s="1"/>
  <c r="F24" i="386"/>
  <c r="S52" i="386"/>
  <c r="N52" i="386"/>
  <c r="L52" i="386"/>
  <c r="P52" i="386" s="1"/>
  <c r="K52" i="386"/>
  <c r="D52" i="386"/>
  <c r="S23" i="386"/>
  <c r="N23" i="386"/>
  <c r="J23" i="386"/>
  <c r="K23" i="386" s="1"/>
  <c r="L23" i="386" s="1"/>
  <c r="F23" i="386"/>
  <c r="S93" i="386"/>
  <c r="L93" i="386"/>
  <c r="P93" i="386" s="1"/>
  <c r="K93" i="386"/>
  <c r="F93" i="386"/>
  <c r="S108" i="386"/>
  <c r="N108" i="386"/>
  <c r="K108" i="386"/>
  <c r="L108" i="386" s="1"/>
  <c r="P108" i="386" s="1"/>
  <c r="F108" i="386"/>
  <c r="D108" i="386"/>
  <c r="S92" i="386"/>
  <c r="K92" i="386"/>
  <c r="L92" i="386" s="1"/>
  <c r="P92" i="386" s="1"/>
  <c r="F92" i="386"/>
  <c r="S51" i="386"/>
  <c r="K51" i="386"/>
  <c r="L51" i="386" s="1"/>
  <c r="P51" i="386" s="1"/>
  <c r="F51" i="386"/>
  <c r="S91" i="386"/>
  <c r="K91" i="386"/>
  <c r="L91" i="386" s="1"/>
  <c r="F91" i="386"/>
  <c r="S50" i="386"/>
  <c r="K50" i="386"/>
  <c r="L50" i="386" s="1"/>
  <c r="P50" i="386" s="1"/>
  <c r="F50" i="386"/>
  <c r="S90" i="386"/>
  <c r="N90" i="386"/>
  <c r="K90" i="386"/>
  <c r="L90" i="386" s="1"/>
  <c r="J90" i="386"/>
  <c r="I90" i="386"/>
  <c r="I101" i="386" s="1"/>
  <c r="F90" i="386"/>
  <c r="S89" i="386"/>
  <c r="K89" i="386"/>
  <c r="L89" i="386" s="1"/>
  <c r="F89" i="386"/>
  <c r="S88" i="386"/>
  <c r="K88" i="386"/>
  <c r="L88" i="386" s="1"/>
  <c r="P88" i="386" s="1"/>
  <c r="F88" i="386"/>
  <c r="D88" i="386"/>
  <c r="S87" i="386"/>
  <c r="K87" i="386"/>
  <c r="L87" i="386" s="1"/>
  <c r="P87" i="386" s="1"/>
  <c r="F87" i="386"/>
  <c r="D87" i="386"/>
  <c r="S133" i="386"/>
  <c r="N133" i="386"/>
  <c r="K133" i="386"/>
  <c r="L133" i="386" s="1"/>
  <c r="D133" i="386"/>
  <c r="F133" i="386" s="1"/>
  <c r="S49" i="386"/>
  <c r="P49" i="386"/>
  <c r="K49" i="386"/>
  <c r="L49" i="386" s="1"/>
  <c r="F49" i="386"/>
  <c r="S86" i="386"/>
  <c r="K86" i="386"/>
  <c r="L86" i="386" s="1"/>
  <c r="P86" i="386" s="1"/>
  <c r="F86" i="386"/>
  <c r="S85" i="386"/>
  <c r="L85" i="386"/>
  <c r="P85" i="386" s="1"/>
  <c r="K85" i="386"/>
  <c r="F85" i="386"/>
  <c r="S22" i="386"/>
  <c r="N22" i="386"/>
  <c r="L22" i="386"/>
  <c r="P22" i="386" s="1"/>
  <c r="K22" i="386"/>
  <c r="F22" i="386"/>
  <c r="S42" i="386"/>
  <c r="N42" i="386"/>
  <c r="K42" i="386"/>
  <c r="L42" i="386" s="1"/>
  <c r="P42" i="386" s="1"/>
  <c r="D42" i="386"/>
  <c r="S41" i="386"/>
  <c r="M41" i="386" s="1"/>
  <c r="K41" i="386"/>
  <c r="L41" i="386" s="1"/>
  <c r="P41" i="386" s="1"/>
  <c r="F41" i="386"/>
  <c r="S84" i="386"/>
  <c r="K84" i="386"/>
  <c r="L84" i="386" s="1"/>
  <c r="P84" i="386" s="1"/>
  <c r="F84" i="386"/>
  <c r="S83" i="386"/>
  <c r="K83" i="386"/>
  <c r="L83" i="386" s="1"/>
  <c r="P83" i="386" s="1"/>
  <c r="F83" i="386"/>
  <c r="S9" i="386"/>
  <c r="N9" i="386"/>
  <c r="K9" i="386"/>
  <c r="F9" i="386"/>
  <c r="S127" i="386"/>
  <c r="K127" i="386"/>
  <c r="L127" i="386" s="1"/>
  <c r="P127" i="386" s="1"/>
  <c r="F127" i="386"/>
  <c r="S82" i="386"/>
  <c r="L82" i="386"/>
  <c r="K82" i="386"/>
  <c r="F82" i="386"/>
  <c r="S48" i="386"/>
  <c r="K48" i="386"/>
  <c r="L48" i="386" s="1"/>
  <c r="P48" i="386" s="1"/>
  <c r="F48" i="386"/>
  <c r="S132" i="386"/>
  <c r="N132" i="386"/>
  <c r="L132" i="386"/>
  <c r="P132" i="386" s="1"/>
  <c r="K132" i="386"/>
  <c r="F132" i="386"/>
  <c r="S126" i="386"/>
  <c r="K126" i="386"/>
  <c r="L126" i="386" s="1"/>
  <c r="P126" i="386" s="1"/>
  <c r="F126" i="386"/>
  <c r="S6" i="386"/>
  <c r="S7" i="386" s="1"/>
  <c r="K6" i="386"/>
  <c r="F6" i="386"/>
  <c r="S81" i="386"/>
  <c r="K81" i="386"/>
  <c r="H81" i="386"/>
  <c r="H101" i="386" s="1"/>
  <c r="F81" i="386"/>
  <c r="S80" i="386"/>
  <c r="L80" i="386"/>
  <c r="P80" i="386" s="1"/>
  <c r="M80" i="386" s="1"/>
  <c r="T80" i="386" s="1"/>
  <c r="U80" i="386" s="1"/>
  <c r="W80" i="386" s="1"/>
  <c r="K80" i="386"/>
  <c r="F80" i="386"/>
  <c r="D80" i="386"/>
  <c r="S79" i="386"/>
  <c r="N79" i="386"/>
  <c r="K79" i="386"/>
  <c r="L79" i="386" s="1"/>
  <c r="P79" i="386" s="1"/>
  <c r="D79" i="386"/>
  <c r="F79" i="386" s="1"/>
  <c r="S47" i="386"/>
  <c r="K47" i="386"/>
  <c r="L47" i="386" s="1"/>
  <c r="P47" i="386" s="1"/>
  <c r="F47" i="386"/>
  <c r="S46" i="386"/>
  <c r="K46" i="386"/>
  <c r="L46" i="386" s="1"/>
  <c r="P46" i="386" s="1"/>
  <c r="F46" i="386"/>
  <c r="S45" i="386"/>
  <c r="N45" i="386"/>
  <c r="K45" i="386"/>
  <c r="J45" i="386"/>
  <c r="J61" i="386" s="1"/>
  <c r="E45" i="386"/>
  <c r="D45" i="386"/>
  <c r="S107" i="386"/>
  <c r="N107" i="386"/>
  <c r="K107" i="386"/>
  <c r="L107" i="386" s="1"/>
  <c r="F107" i="386"/>
  <c r="S63" i="386"/>
  <c r="S64" i="386" s="1"/>
  <c r="N63" i="386"/>
  <c r="K63" i="386"/>
  <c r="F63" i="386"/>
  <c r="S78" i="386"/>
  <c r="N78" i="386"/>
  <c r="K78" i="386"/>
  <c r="L78" i="386" s="1"/>
  <c r="D78" i="386"/>
  <c r="F78" i="386" s="1"/>
  <c r="S125" i="386"/>
  <c r="N125" i="386"/>
  <c r="K125" i="386"/>
  <c r="L125" i="386" s="1"/>
  <c r="P125" i="386" s="1"/>
  <c r="F125" i="386"/>
  <c r="AA77" i="386"/>
  <c r="AA101" i="386" s="1"/>
  <c r="J77" i="386"/>
  <c r="K77" i="386" s="1"/>
  <c r="L77" i="386" s="1"/>
  <c r="D77" i="386"/>
  <c r="F77" i="386" s="1"/>
  <c r="S76" i="386"/>
  <c r="L76" i="386"/>
  <c r="P76" i="386" s="1"/>
  <c r="K76" i="386"/>
  <c r="D76" i="386"/>
  <c r="F76" i="386" s="1"/>
  <c r="S21" i="386"/>
  <c r="N21" i="386"/>
  <c r="K21" i="386"/>
  <c r="L21" i="386" s="1"/>
  <c r="P21" i="386" s="1"/>
  <c r="D21" i="386"/>
  <c r="S75" i="386"/>
  <c r="L75" i="386"/>
  <c r="P75" i="386" s="1"/>
  <c r="K75" i="386"/>
  <c r="F75" i="386"/>
  <c r="S117" i="386"/>
  <c r="K117" i="386"/>
  <c r="L117" i="386" s="1"/>
  <c r="D117" i="386"/>
  <c r="F117" i="386" s="1"/>
  <c r="S74" i="386"/>
  <c r="N74" i="386"/>
  <c r="J74" i="386"/>
  <c r="D74" i="386"/>
  <c r="F74" i="386" s="1"/>
  <c r="S121" i="386"/>
  <c r="N121" i="386"/>
  <c r="K121" i="386"/>
  <c r="L121" i="386" s="1"/>
  <c r="F121" i="386"/>
  <c r="S30" i="386"/>
  <c r="K30" i="386"/>
  <c r="L30" i="386" s="1"/>
  <c r="P30" i="386" s="1"/>
  <c r="F30" i="386"/>
  <c r="S73" i="386"/>
  <c r="K73" i="386"/>
  <c r="L73" i="386" s="1"/>
  <c r="P73" i="386" s="1"/>
  <c r="F73" i="386"/>
  <c r="S124" i="386"/>
  <c r="K124" i="386"/>
  <c r="F124" i="386"/>
  <c r="D124" i="386"/>
  <c r="S72" i="386"/>
  <c r="K72" i="386"/>
  <c r="L72" i="386" s="1"/>
  <c r="F72" i="386"/>
  <c r="S71" i="386"/>
  <c r="K71" i="386"/>
  <c r="L71" i="386" s="1"/>
  <c r="D71" i="386"/>
  <c r="F71" i="386" s="1"/>
  <c r="S70" i="386"/>
  <c r="N70" i="386"/>
  <c r="N101" i="386" s="1"/>
  <c r="K70" i="386"/>
  <c r="L70" i="386" s="1"/>
  <c r="F70" i="386"/>
  <c r="S20" i="386"/>
  <c r="N20" i="386"/>
  <c r="N43" i="386" s="1"/>
  <c r="K20" i="386"/>
  <c r="L20" i="386" s="1"/>
  <c r="P20" i="386" s="1"/>
  <c r="F20" i="386"/>
  <c r="D20" i="386"/>
  <c r="S40" i="386"/>
  <c r="N40" i="386"/>
  <c r="L40" i="386"/>
  <c r="P40" i="386" s="1"/>
  <c r="K40" i="386"/>
  <c r="D40" i="386"/>
  <c r="S13" i="386"/>
  <c r="N13" i="386"/>
  <c r="J13" i="386"/>
  <c r="K13" i="386" s="1"/>
  <c r="L13" i="386" s="1"/>
  <c r="F13" i="386"/>
  <c r="D13" i="386"/>
  <c r="S39" i="386"/>
  <c r="N39" i="386"/>
  <c r="K39" i="386"/>
  <c r="L39" i="386" s="1"/>
  <c r="P39" i="386" s="1"/>
  <c r="D39" i="386"/>
  <c r="F39" i="386" s="1"/>
  <c r="S38" i="386"/>
  <c r="N38" i="386"/>
  <c r="K38" i="386"/>
  <c r="L38" i="386" s="1"/>
  <c r="F38" i="386"/>
  <c r="S19" i="386"/>
  <c r="N19" i="386"/>
  <c r="K19" i="386"/>
  <c r="J19" i="386"/>
  <c r="D19" i="386"/>
  <c r="S69" i="386"/>
  <c r="K69" i="386"/>
  <c r="F69" i="386"/>
  <c r="S116" i="386"/>
  <c r="N116" i="386"/>
  <c r="J116" i="386"/>
  <c r="K116" i="386" s="1"/>
  <c r="L116" i="386" s="1"/>
  <c r="P116" i="386" s="1"/>
  <c r="F116" i="386"/>
  <c r="D116" i="386"/>
  <c r="S131" i="386"/>
  <c r="N131" i="386"/>
  <c r="N140" i="386" s="1"/>
  <c r="K131" i="386"/>
  <c r="E131" i="386"/>
  <c r="E140" i="386" s="1"/>
  <c r="D131" i="386"/>
  <c r="S37" i="386"/>
  <c r="N37" i="386"/>
  <c r="J37" i="386"/>
  <c r="K37" i="386" s="1"/>
  <c r="L37" i="386" s="1"/>
  <c r="P37" i="386" s="1"/>
  <c r="D37" i="386"/>
  <c r="F37" i="386" s="1"/>
  <c r="S36" i="386"/>
  <c r="N36" i="386"/>
  <c r="K36" i="386"/>
  <c r="L36" i="386" s="1"/>
  <c r="D36" i="386"/>
  <c r="F36" i="386" s="1"/>
  <c r="S35" i="386"/>
  <c r="N35" i="386"/>
  <c r="J35" i="386"/>
  <c r="K35" i="386" s="1"/>
  <c r="L35" i="386" s="1"/>
  <c r="P35" i="386" s="1"/>
  <c r="D35" i="386"/>
  <c r="F35" i="386" s="1"/>
  <c r="S120" i="386"/>
  <c r="N120" i="386"/>
  <c r="N122" i="386" s="1"/>
  <c r="K120" i="386"/>
  <c r="F120" i="386"/>
  <c r="D120" i="386"/>
  <c r="S16" i="386"/>
  <c r="S17" i="386" s="1"/>
  <c r="J16" i="386"/>
  <c r="J17" i="386" s="1"/>
  <c r="D16" i="386"/>
  <c r="F16" i="386" s="1"/>
  <c r="S66" i="386"/>
  <c r="S67" i="386" s="1"/>
  <c r="Q17" i="97" s="1"/>
  <c r="N66" i="386"/>
  <c r="N67" i="386" s="1"/>
  <c r="L17" i="97" s="1"/>
  <c r="K66" i="386"/>
  <c r="F66" i="386"/>
  <c r="D66" i="386"/>
  <c r="E150" i="385"/>
  <c r="G150" i="385"/>
  <c r="H150" i="385"/>
  <c r="I150" i="385"/>
  <c r="J150" i="385"/>
  <c r="N150" i="385"/>
  <c r="Q150" i="385"/>
  <c r="R150" i="385"/>
  <c r="W150" i="385"/>
  <c r="X150" i="385"/>
  <c r="Y150" i="385"/>
  <c r="Z150" i="385"/>
  <c r="AA150" i="385"/>
  <c r="D150" i="385"/>
  <c r="E147" i="385"/>
  <c r="G147" i="385"/>
  <c r="H147" i="385"/>
  <c r="I147" i="385"/>
  <c r="J147" i="385"/>
  <c r="N147" i="385"/>
  <c r="Q147" i="385"/>
  <c r="R147" i="385"/>
  <c r="W147" i="385"/>
  <c r="X147" i="385"/>
  <c r="Y147" i="385"/>
  <c r="Z147" i="385"/>
  <c r="AA147" i="385"/>
  <c r="D147" i="385"/>
  <c r="E144" i="385"/>
  <c r="C14" i="97" s="1"/>
  <c r="G144" i="385"/>
  <c r="E14" i="97" s="1"/>
  <c r="H144" i="385"/>
  <c r="I144" i="385"/>
  <c r="G14" i="97" s="1"/>
  <c r="J144" i="385"/>
  <c r="H14" i="97" s="1"/>
  <c r="Q144" i="385"/>
  <c r="O14" i="97" s="1"/>
  <c r="R144" i="385"/>
  <c r="W144" i="385"/>
  <c r="X144" i="385"/>
  <c r="V14" i="97" s="1"/>
  <c r="Y144" i="385"/>
  <c r="W14" i="97" s="1"/>
  <c r="Z144" i="385"/>
  <c r="AA144" i="385"/>
  <c r="Y14" i="97" s="1"/>
  <c r="H131" i="385"/>
  <c r="I131" i="385"/>
  <c r="G12" i="97" s="1"/>
  <c r="W131" i="385"/>
  <c r="X131" i="385"/>
  <c r="Y131" i="385"/>
  <c r="W12" i="97" s="1"/>
  <c r="Z131" i="385"/>
  <c r="X12" i="97" s="1"/>
  <c r="E110" i="385"/>
  <c r="H110" i="385"/>
  <c r="I110" i="385"/>
  <c r="J110" i="385"/>
  <c r="R110" i="385"/>
  <c r="W110" i="385"/>
  <c r="X110" i="385"/>
  <c r="V11" i="97" s="1"/>
  <c r="Y110" i="385"/>
  <c r="W11" i="97" s="1"/>
  <c r="Z110" i="385"/>
  <c r="X11" i="97" s="1"/>
  <c r="E76" i="385"/>
  <c r="G76" i="385"/>
  <c r="H76" i="385"/>
  <c r="I76" i="385"/>
  <c r="Q76" i="385"/>
  <c r="R76" i="385"/>
  <c r="W76" i="385"/>
  <c r="X76" i="385"/>
  <c r="Y76" i="385"/>
  <c r="Z76" i="385"/>
  <c r="D76" i="385"/>
  <c r="E73" i="385"/>
  <c r="G73" i="385"/>
  <c r="E9" i="97" s="1"/>
  <c r="H73" i="385"/>
  <c r="F9" i="97" s="1"/>
  <c r="I73" i="385"/>
  <c r="G9" i="97" s="1"/>
  <c r="Q73" i="385"/>
  <c r="R73" i="385"/>
  <c r="W73" i="385"/>
  <c r="X73" i="385"/>
  <c r="V9" i="97" s="1"/>
  <c r="Y73" i="385"/>
  <c r="Z73" i="385"/>
  <c r="AA73" i="385"/>
  <c r="Y9" i="97" s="1"/>
  <c r="H68" i="385"/>
  <c r="I68" i="385"/>
  <c r="R68" i="385"/>
  <c r="W68" i="385"/>
  <c r="X68" i="385"/>
  <c r="Y68" i="385"/>
  <c r="Z68" i="385"/>
  <c r="E13" i="385"/>
  <c r="H13" i="385"/>
  <c r="Q13" i="385"/>
  <c r="R13" i="385"/>
  <c r="W13" i="385"/>
  <c r="X13" i="385"/>
  <c r="Y13" i="385"/>
  <c r="Z13" i="385"/>
  <c r="AA13" i="385"/>
  <c r="AA109" i="385"/>
  <c r="S109" i="385"/>
  <c r="N109" i="385"/>
  <c r="K109" i="385"/>
  <c r="L109" i="385" s="1"/>
  <c r="P109" i="385" s="1"/>
  <c r="D109" i="385"/>
  <c r="F109" i="385" s="1"/>
  <c r="S58" i="385"/>
  <c r="K58" i="385"/>
  <c r="L58" i="385" s="1"/>
  <c r="F58" i="385"/>
  <c r="AA108" i="385"/>
  <c r="S108" i="385"/>
  <c r="K108" i="385"/>
  <c r="L108" i="385" s="1"/>
  <c r="P108" i="385" s="1"/>
  <c r="D108" i="385"/>
  <c r="F108" i="385" s="1"/>
  <c r="S57" i="385"/>
  <c r="N57" i="385"/>
  <c r="K57" i="385"/>
  <c r="L57" i="385" s="1"/>
  <c r="S107" i="385"/>
  <c r="K107" i="385"/>
  <c r="L107" i="385" s="1"/>
  <c r="F107" i="385"/>
  <c r="AA106" i="385"/>
  <c r="S106" i="385"/>
  <c r="N106" i="385"/>
  <c r="K106" i="385"/>
  <c r="L106" i="385" s="1"/>
  <c r="G106" i="385"/>
  <c r="F106" i="385"/>
  <c r="S105" i="385"/>
  <c r="K105" i="385"/>
  <c r="L105" i="385" s="1"/>
  <c r="P105" i="385" s="1"/>
  <c r="D105" i="385"/>
  <c r="F105" i="385" s="1"/>
  <c r="AA104" i="385"/>
  <c r="S104" i="385"/>
  <c r="N104" i="385"/>
  <c r="K104" i="385"/>
  <c r="L104" i="385" s="1"/>
  <c r="P104" i="385" s="1"/>
  <c r="F104" i="385"/>
  <c r="S103" i="385"/>
  <c r="K103" i="385"/>
  <c r="L103" i="385" s="1"/>
  <c r="P103" i="385" s="1"/>
  <c r="D103" i="385"/>
  <c r="S67" i="385"/>
  <c r="L67" i="385"/>
  <c r="K67" i="385"/>
  <c r="F67" i="385"/>
  <c r="S66" i="385"/>
  <c r="K66" i="385"/>
  <c r="L66" i="385" s="1"/>
  <c r="F66" i="385"/>
  <c r="S56" i="385"/>
  <c r="N56" i="385"/>
  <c r="K56" i="385"/>
  <c r="F56" i="385"/>
  <c r="AA102" i="385"/>
  <c r="N102" i="385"/>
  <c r="U102" i="385" s="1"/>
  <c r="V102" i="385" s="1"/>
  <c r="F102" i="385"/>
  <c r="N55" i="385"/>
  <c r="U55" i="385" s="1"/>
  <c r="V55" i="385" s="1"/>
  <c r="F55" i="385"/>
  <c r="N65" i="385"/>
  <c r="U65" i="385" s="1"/>
  <c r="V65" i="385" s="1"/>
  <c r="D65" i="385"/>
  <c r="N54" i="385"/>
  <c r="U54" i="385" s="1"/>
  <c r="V54" i="385" s="1"/>
  <c r="F54" i="385"/>
  <c r="S101" i="385"/>
  <c r="N101" i="385"/>
  <c r="K101" i="385"/>
  <c r="L101" i="385" s="1"/>
  <c r="P101" i="385" s="1"/>
  <c r="F101" i="385"/>
  <c r="S134" i="385"/>
  <c r="K134" i="385"/>
  <c r="L134" i="385" s="1"/>
  <c r="F134" i="385"/>
  <c r="S53" i="385"/>
  <c r="N53" i="385"/>
  <c r="K53" i="385"/>
  <c r="L53" i="385" s="1"/>
  <c r="D53" i="385"/>
  <c r="F53" i="385" s="1"/>
  <c r="S149" i="385"/>
  <c r="S150" i="385" s="1"/>
  <c r="K149" i="385"/>
  <c r="L149" i="385" s="1"/>
  <c r="L150" i="385" s="1"/>
  <c r="F149" i="385"/>
  <c r="F150" i="385" s="1"/>
  <c r="S130" i="385"/>
  <c r="N130" i="385"/>
  <c r="K130" i="385"/>
  <c r="L130" i="385" s="1"/>
  <c r="F130" i="385"/>
  <c r="S52" i="385"/>
  <c r="N52" i="385"/>
  <c r="K52" i="385"/>
  <c r="L52" i="385" s="1"/>
  <c r="D52" i="385"/>
  <c r="F52" i="385" s="1"/>
  <c r="AA51" i="385"/>
  <c r="AA68" i="385" s="1"/>
  <c r="S51" i="385"/>
  <c r="N51" i="385"/>
  <c r="K51" i="385"/>
  <c r="L51" i="385" s="1"/>
  <c r="P51" i="385" s="1"/>
  <c r="D51" i="385"/>
  <c r="F51" i="385" s="1"/>
  <c r="S100" i="385"/>
  <c r="K100" i="385"/>
  <c r="L100" i="385" s="1"/>
  <c r="F100" i="385"/>
  <c r="S99" i="385"/>
  <c r="K99" i="385"/>
  <c r="L99" i="385" s="1"/>
  <c r="P99" i="385" s="1"/>
  <c r="F99" i="385"/>
  <c r="R129" i="385"/>
  <c r="R131" i="385" s="1"/>
  <c r="P12" i="97" s="1"/>
  <c r="N129" i="385"/>
  <c r="K129" i="385"/>
  <c r="L129" i="385" s="1"/>
  <c r="G129" i="385"/>
  <c r="D129" i="385"/>
  <c r="F129" i="385" s="1"/>
  <c r="S12" i="385"/>
  <c r="N12" i="385"/>
  <c r="K12" i="385"/>
  <c r="L12" i="385" s="1"/>
  <c r="F12" i="385"/>
  <c r="S143" i="385"/>
  <c r="N143" i="385"/>
  <c r="K143" i="385"/>
  <c r="L143" i="385" s="1"/>
  <c r="D143" i="385"/>
  <c r="F143" i="385" s="1"/>
  <c r="S98" i="385"/>
  <c r="K98" i="385"/>
  <c r="L98" i="385" s="1"/>
  <c r="P98" i="385" s="1"/>
  <c r="D98" i="385"/>
  <c r="S72" i="385"/>
  <c r="K72" i="385"/>
  <c r="L72" i="385" s="1"/>
  <c r="D72" i="385"/>
  <c r="F72" i="385" s="1"/>
  <c r="AA117" i="385"/>
  <c r="S117" i="385"/>
  <c r="N117" i="385"/>
  <c r="K117" i="385"/>
  <c r="L117" i="385" s="1"/>
  <c r="F117" i="385"/>
  <c r="S142" i="385"/>
  <c r="N142" i="385"/>
  <c r="K142" i="385"/>
  <c r="L142" i="385" s="1"/>
  <c r="P142" i="385" s="1"/>
  <c r="F142" i="385"/>
  <c r="Q116" i="385"/>
  <c r="S116" i="385" s="1"/>
  <c r="N116" i="385"/>
  <c r="K116" i="385"/>
  <c r="L116" i="385" s="1"/>
  <c r="G116" i="385"/>
  <c r="D116" i="385"/>
  <c r="F116" i="385" s="1"/>
  <c r="S128" i="385"/>
  <c r="Q128" i="385"/>
  <c r="K128" i="385"/>
  <c r="L128" i="385" s="1"/>
  <c r="G128" i="385"/>
  <c r="D128" i="385"/>
  <c r="F128" i="385" s="1"/>
  <c r="S127" i="385"/>
  <c r="N127" i="385"/>
  <c r="K127" i="385"/>
  <c r="L127" i="385" s="1"/>
  <c r="P127" i="385" s="1"/>
  <c r="F127" i="385"/>
  <c r="S97" i="385"/>
  <c r="K97" i="385"/>
  <c r="L97" i="385" s="1"/>
  <c r="P97" i="385" s="1"/>
  <c r="D97" i="385"/>
  <c r="F97" i="385" s="1"/>
  <c r="AA96" i="385"/>
  <c r="S96" i="385"/>
  <c r="N96" i="385"/>
  <c r="K96" i="385"/>
  <c r="L96" i="385" s="1"/>
  <c r="P96" i="385" s="1"/>
  <c r="D96" i="385"/>
  <c r="F96" i="385" s="1"/>
  <c r="S95" i="385"/>
  <c r="K95" i="385"/>
  <c r="L95" i="385" s="1"/>
  <c r="F95" i="385"/>
  <c r="S11" i="385"/>
  <c r="N11" i="385"/>
  <c r="K11" i="385"/>
  <c r="L11" i="385" s="1"/>
  <c r="G11" i="385"/>
  <c r="G13" i="385" s="1"/>
  <c r="F11" i="385"/>
  <c r="S50" i="385"/>
  <c r="N50" i="385"/>
  <c r="K50" i="385"/>
  <c r="L50" i="385" s="1"/>
  <c r="P50" i="385" s="1"/>
  <c r="F50" i="385"/>
  <c r="S60" i="385"/>
  <c r="N60" i="385"/>
  <c r="K60" i="385"/>
  <c r="L60" i="385" s="1"/>
  <c r="P60" i="385" s="1"/>
  <c r="M60" i="385" s="1"/>
  <c r="F60" i="385"/>
  <c r="S59" i="385"/>
  <c r="N59" i="385"/>
  <c r="K59" i="385"/>
  <c r="L59" i="385" s="1"/>
  <c r="P59" i="385" s="1"/>
  <c r="F59" i="385"/>
  <c r="S64" i="385"/>
  <c r="N64" i="385"/>
  <c r="K64" i="385"/>
  <c r="L64" i="385" s="1"/>
  <c r="P64" i="385" s="1"/>
  <c r="D64" i="385"/>
  <c r="S146" i="385"/>
  <c r="S147" i="385" s="1"/>
  <c r="K146" i="385"/>
  <c r="K147" i="385" s="1"/>
  <c r="F146" i="385"/>
  <c r="F147" i="385" s="1"/>
  <c r="S94" i="385"/>
  <c r="N94" i="385"/>
  <c r="K94" i="385"/>
  <c r="L94" i="385" s="1"/>
  <c r="P94" i="385" s="1"/>
  <c r="F94" i="385"/>
  <c r="S141" i="385"/>
  <c r="N141" i="385"/>
  <c r="K141" i="385"/>
  <c r="L141" i="385" s="1"/>
  <c r="D141" i="385"/>
  <c r="F141" i="385" s="1"/>
  <c r="S93" i="385"/>
  <c r="N93" i="385"/>
  <c r="K93" i="385"/>
  <c r="L93" i="385" s="1"/>
  <c r="F93" i="385"/>
  <c r="Q92" i="385"/>
  <c r="S92" i="385" s="1"/>
  <c r="N92" i="385"/>
  <c r="K92" i="385"/>
  <c r="L92" i="385" s="1"/>
  <c r="G92" i="385"/>
  <c r="D92" i="385"/>
  <c r="F92" i="385" s="1"/>
  <c r="S126" i="385"/>
  <c r="N126" i="385"/>
  <c r="K126" i="385"/>
  <c r="L126" i="385" s="1"/>
  <c r="F126" i="385"/>
  <c r="S91" i="385"/>
  <c r="N91" i="385"/>
  <c r="K91" i="385"/>
  <c r="L91" i="385" s="1"/>
  <c r="P91" i="385" s="1"/>
  <c r="F91" i="385"/>
  <c r="S90" i="385"/>
  <c r="N90" i="385"/>
  <c r="K90" i="385"/>
  <c r="L90" i="385" s="1"/>
  <c r="G90" i="385"/>
  <c r="D90" i="385"/>
  <c r="F90" i="385" s="1"/>
  <c r="S49" i="385"/>
  <c r="K49" i="385"/>
  <c r="L49" i="385" s="1"/>
  <c r="F49" i="385"/>
  <c r="S48" i="385"/>
  <c r="N48" i="385"/>
  <c r="K48" i="385"/>
  <c r="L48" i="385" s="1"/>
  <c r="P48" i="385" s="1"/>
  <c r="F48" i="385"/>
  <c r="Q47" i="385"/>
  <c r="S47" i="385" s="1"/>
  <c r="K47" i="385"/>
  <c r="L47" i="385" s="1"/>
  <c r="F47" i="385"/>
  <c r="S46" i="385"/>
  <c r="N46" i="385"/>
  <c r="K46" i="385"/>
  <c r="L46" i="385" s="1"/>
  <c r="P46" i="385" s="1"/>
  <c r="M46" i="385" s="1"/>
  <c r="F46" i="385"/>
  <c r="S45" i="385"/>
  <c r="N45" i="385"/>
  <c r="K45" i="385"/>
  <c r="L45" i="385" s="1"/>
  <c r="F45" i="385"/>
  <c r="S44" i="385"/>
  <c r="K44" i="385"/>
  <c r="L44" i="385" s="1"/>
  <c r="F44" i="385"/>
  <c r="Q89" i="385"/>
  <c r="S89" i="385" s="1"/>
  <c r="N89" i="385"/>
  <c r="K89" i="385"/>
  <c r="L89" i="385" s="1"/>
  <c r="F89" i="385"/>
  <c r="S88" i="385"/>
  <c r="N88" i="385"/>
  <c r="K88" i="385"/>
  <c r="L88" i="385" s="1"/>
  <c r="F88" i="385"/>
  <c r="S10" i="385"/>
  <c r="N10" i="385"/>
  <c r="K10" i="385"/>
  <c r="L10" i="385" s="1"/>
  <c r="P10" i="385" s="1"/>
  <c r="D10" i="385"/>
  <c r="Q87" i="385"/>
  <c r="S87" i="385" s="1"/>
  <c r="N87" i="385"/>
  <c r="K87" i="385"/>
  <c r="L87" i="385" s="1"/>
  <c r="G87" i="385"/>
  <c r="F87" i="385"/>
  <c r="S43" i="385"/>
  <c r="N43" i="385"/>
  <c r="K43" i="385"/>
  <c r="L43" i="385" s="1"/>
  <c r="F43" i="385"/>
  <c r="S125" i="385"/>
  <c r="N125" i="385"/>
  <c r="K125" i="385"/>
  <c r="L125" i="385" s="1"/>
  <c r="P125" i="385" s="1"/>
  <c r="F125" i="385"/>
  <c r="S86" i="385"/>
  <c r="N86" i="385"/>
  <c r="K86" i="385"/>
  <c r="L86" i="385" s="1"/>
  <c r="P86" i="385" s="1"/>
  <c r="D86" i="385"/>
  <c r="S42" i="385"/>
  <c r="N42" i="385"/>
  <c r="K42" i="385"/>
  <c r="L42" i="385" s="1"/>
  <c r="F42" i="385"/>
  <c r="S63" i="385"/>
  <c r="N63" i="385"/>
  <c r="K63" i="385"/>
  <c r="L63" i="385" s="1"/>
  <c r="P63" i="385" s="1"/>
  <c r="F63" i="385"/>
  <c r="S85" i="385"/>
  <c r="N85" i="385"/>
  <c r="K85" i="385"/>
  <c r="L85" i="385" s="1"/>
  <c r="P85" i="385" s="1"/>
  <c r="D85" i="385"/>
  <c r="S84" i="385"/>
  <c r="K84" i="385"/>
  <c r="L84" i="385" s="1"/>
  <c r="F84" i="385"/>
  <c r="S71" i="385"/>
  <c r="N71" i="385"/>
  <c r="K71" i="385"/>
  <c r="L71" i="385" s="1"/>
  <c r="F71" i="385"/>
  <c r="S41" i="385"/>
  <c r="K41" i="385"/>
  <c r="L41" i="385" s="1"/>
  <c r="F41" i="385"/>
  <c r="S40" i="385"/>
  <c r="K40" i="385"/>
  <c r="L40" i="385" s="1"/>
  <c r="P40" i="385" s="1"/>
  <c r="F40" i="385"/>
  <c r="S62" i="385"/>
  <c r="K62" i="385"/>
  <c r="L62" i="385" s="1"/>
  <c r="P62" i="385" s="1"/>
  <c r="F62" i="385"/>
  <c r="S9" i="385"/>
  <c r="N9" i="385"/>
  <c r="K9" i="385"/>
  <c r="L9" i="385" s="1"/>
  <c r="P9" i="385" s="1"/>
  <c r="D9" i="385"/>
  <c r="S39" i="385"/>
  <c r="N39" i="385"/>
  <c r="K39" i="385"/>
  <c r="L39" i="385" s="1"/>
  <c r="P39" i="385" s="1"/>
  <c r="F39" i="385"/>
  <c r="S38" i="385"/>
  <c r="K38" i="385"/>
  <c r="L38" i="385" s="1"/>
  <c r="P38" i="385" s="1"/>
  <c r="F38" i="385"/>
  <c r="S37" i="385"/>
  <c r="K37" i="385"/>
  <c r="L37" i="385" s="1"/>
  <c r="P37" i="385" s="1"/>
  <c r="D37" i="385"/>
  <c r="S36" i="385"/>
  <c r="N36" i="385"/>
  <c r="K36" i="385"/>
  <c r="L36" i="385" s="1"/>
  <c r="P36" i="385" s="1"/>
  <c r="F36" i="385"/>
  <c r="S137" i="385"/>
  <c r="S138" i="385" s="1"/>
  <c r="K137" i="385"/>
  <c r="F137" i="385"/>
  <c r="F138" i="385" s="1"/>
  <c r="W133" i="385"/>
  <c r="W135" i="385" s="1"/>
  <c r="U13" i="97" s="1"/>
  <c r="Q133" i="385"/>
  <c r="Q135" i="385" s="1"/>
  <c r="O13" i="97" s="1"/>
  <c r="N133" i="385"/>
  <c r="N135" i="385" s="1"/>
  <c r="L13" i="97" s="1"/>
  <c r="K133" i="385"/>
  <c r="G133" i="385"/>
  <c r="G135" i="385" s="1"/>
  <c r="E13" i="97" s="1"/>
  <c r="F133" i="385"/>
  <c r="F135" i="385" s="1"/>
  <c r="D13" i="97" s="1"/>
  <c r="Q115" i="385"/>
  <c r="S115" i="385" s="1"/>
  <c r="N115" i="385"/>
  <c r="K115" i="385"/>
  <c r="L115" i="385" s="1"/>
  <c r="G115" i="385"/>
  <c r="D115" i="385"/>
  <c r="F115" i="385" s="1"/>
  <c r="AA83" i="385"/>
  <c r="Q83" i="385"/>
  <c r="S83" i="385" s="1"/>
  <c r="N83" i="385"/>
  <c r="K83" i="385"/>
  <c r="L83" i="385" s="1"/>
  <c r="G83" i="385"/>
  <c r="F83" i="385"/>
  <c r="S35" i="385"/>
  <c r="N35" i="385"/>
  <c r="K35" i="385"/>
  <c r="L35" i="385" s="1"/>
  <c r="P35" i="385" s="1"/>
  <c r="F35" i="385"/>
  <c r="S140" i="385"/>
  <c r="N140" i="385"/>
  <c r="K140" i="385"/>
  <c r="L140" i="385" s="1"/>
  <c r="P140" i="385" s="1"/>
  <c r="F140" i="385"/>
  <c r="S124" i="385"/>
  <c r="N124" i="385"/>
  <c r="K124" i="385"/>
  <c r="L124" i="385" s="1"/>
  <c r="P124" i="385" s="1"/>
  <c r="D124" i="385"/>
  <c r="F124" i="385" s="1"/>
  <c r="S123" i="385"/>
  <c r="K123" i="385"/>
  <c r="L123" i="385" s="1"/>
  <c r="P123" i="385" s="1"/>
  <c r="D123" i="385"/>
  <c r="F123" i="385" s="1"/>
  <c r="AA82" i="385"/>
  <c r="S82" i="385"/>
  <c r="N82" i="385"/>
  <c r="K82" i="385"/>
  <c r="L82" i="385" s="1"/>
  <c r="P82" i="385" s="1"/>
  <c r="D82" i="385"/>
  <c r="F82" i="385" s="1"/>
  <c r="S81" i="385"/>
  <c r="K81" i="385"/>
  <c r="L81" i="385" s="1"/>
  <c r="F81" i="385"/>
  <c r="S122" i="385"/>
  <c r="K122" i="385"/>
  <c r="L122" i="385" s="1"/>
  <c r="D122" i="385"/>
  <c r="F122" i="385" s="1"/>
  <c r="S34" i="385"/>
  <c r="N34" i="385"/>
  <c r="K34" i="385"/>
  <c r="L34" i="385" s="1"/>
  <c r="P34" i="385" s="1"/>
  <c r="D34" i="385"/>
  <c r="AA114" i="385"/>
  <c r="Q114" i="385"/>
  <c r="N114" i="385"/>
  <c r="K114" i="385"/>
  <c r="L114" i="385" s="1"/>
  <c r="G114" i="385"/>
  <c r="D114" i="385"/>
  <c r="F114" i="385" s="1"/>
  <c r="Q80" i="385"/>
  <c r="S80" i="385" s="1"/>
  <c r="N80" i="385"/>
  <c r="K80" i="385"/>
  <c r="L80" i="385" s="1"/>
  <c r="G80" i="385"/>
  <c r="P80" i="385" s="1"/>
  <c r="F80" i="385"/>
  <c r="Q33" i="385"/>
  <c r="S33" i="385" s="1"/>
  <c r="N33" i="385"/>
  <c r="K33" i="385"/>
  <c r="L33" i="385" s="1"/>
  <c r="G33" i="385"/>
  <c r="F33" i="385"/>
  <c r="S32" i="385"/>
  <c r="N32" i="385"/>
  <c r="K32" i="385"/>
  <c r="L32" i="385" s="1"/>
  <c r="F32" i="385"/>
  <c r="S31" i="385"/>
  <c r="N31" i="385"/>
  <c r="K31" i="385"/>
  <c r="L31" i="385" s="1"/>
  <c r="P31" i="385" s="1"/>
  <c r="F31" i="385"/>
  <c r="S30" i="385"/>
  <c r="K30" i="385"/>
  <c r="L30" i="385" s="1"/>
  <c r="P30" i="385" s="1"/>
  <c r="D30" i="385"/>
  <c r="S79" i="385"/>
  <c r="N79" i="385"/>
  <c r="K79" i="385"/>
  <c r="L79" i="385" s="1"/>
  <c r="P79" i="385" s="1"/>
  <c r="D79" i="385"/>
  <c r="F79" i="385" s="1"/>
  <c r="S29" i="385"/>
  <c r="K29" i="385"/>
  <c r="L29" i="385" s="1"/>
  <c r="P29" i="385" s="1"/>
  <c r="M29" i="385" s="1"/>
  <c r="T29" i="385" s="1"/>
  <c r="U29" i="385" s="1"/>
  <c r="V29" i="385" s="1"/>
  <c r="D29" i="385"/>
  <c r="F29" i="385" s="1"/>
  <c r="AA78" i="385"/>
  <c r="Q78" i="385"/>
  <c r="S78" i="385" s="1"/>
  <c r="N78" i="385"/>
  <c r="K78" i="385"/>
  <c r="L78" i="385" s="1"/>
  <c r="G78" i="385"/>
  <c r="D78" i="385"/>
  <c r="F78" i="385" s="1"/>
  <c r="Q121" i="385"/>
  <c r="S121" i="385" s="1"/>
  <c r="N121" i="385"/>
  <c r="K121" i="385"/>
  <c r="L121" i="385" s="1"/>
  <c r="G121" i="385"/>
  <c r="D121" i="385"/>
  <c r="F121" i="385" s="1"/>
  <c r="S120" i="385"/>
  <c r="N120" i="385"/>
  <c r="K120" i="385"/>
  <c r="L120" i="385" s="1"/>
  <c r="P120" i="385" s="1"/>
  <c r="D120" i="385"/>
  <c r="F120" i="385" s="1"/>
  <c r="S28" i="385"/>
  <c r="N28" i="385"/>
  <c r="K28" i="385"/>
  <c r="L28" i="385" s="1"/>
  <c r="P28" i="385" s="1"/>
  <c r="D28" i="385"/>
  <c r="F28" i="385" s="1"/>
  <c r="AA113" i="385"/>
  <c r="AA131" i="385" s="1"/>
  <c r="Y12" i="97" s="1"/>
  <c r="S113" i="385"/>
  <c r="N113" i="385"/>
  <c r="K113" i="385"/>
  <c r="L113" i="385" s="1"/>
  <c r="F113" i="385"/>
  <c r="S112" i="385"/>
  <c r="N112" i="385"/>
  <c r="K112" i="385"/>
  <c r="L112" i="385" s="1"/>
  <c r="G112" i="385"/>
  <c r="E112" i="385"/>
  <c r="E131" i="385" s="1"/>
  <c r="D112" i="385"/>
  <c r="S119" i="385"/>
  <c r="K119" i="385"/>
  <c r="L119" i="385" s="1"/>
  <c r="P119" i="385" s="1"/>
  <c r="F119" i="385"/>
  <c r="S27" i="385"/>
  <c r="K27" i="385"/>
  <c r="L27" i="385" s="1"/>
  <c r="P27" i="385" s="1"/>
  <c r="M27" i="385" s="1"/>
  <c r="O27" i="385" s="1"/>
  <c r="F27" i="385"/>
  <c r="S61" i="385"/>
  <c r="K61" i="385"/>
  <c r="L61" i="385" s="1"/>
  <c r="G61" i="385"/>
  <c r="E61" i="385"/>
  <c r="E68" i="385" s="1"/>
  <c r="D61" i="385"/>
  <c r="S8" i="385"/>
  <c r="J8" i="385"/>
  <c r="K8" i="385" s="1"/>
  <c r="L8" i="385" s="1"/>
  <c r="F8" i="385"/>
  <c r="S7" i="385"/>
  <c r="N7" i="385"/>
  <c r="I7" i="385"/>
  <c r="K7" i="385" s="1"/>
  <c r="L7" i="385" s="1"/>
  <c r="F7" i="385"/>
  <c r="S26" i="385"/>
  <c r="N26" i="385"/>
  <c r="K26" i="385"/>
  <c r="L26" i="385" s="1"/>
  <c r="P26" i="385" s="1"/>
  <c r="D26" i="385"/>
  <c r="S25" i="385"/>
  <c r="J25" i="385"/>
  <c r="K25" i="385" s="1"/>
  <c r="L25" i="385" s="1"/>
  <c r="P25" i="385" s="1"/>
  <c r="M25" i="385" s="1"/>
  <c r="D25" i="385"/>
  <c r="F25" i="385" s="1"/>
  <c r="S6" i="385"/>
  <c r="N6" i="385"/>
  <c r="K6" i="385"/>
  <c r="L6" i="385" s="1"/>
  <c r="P6" i="385" s="1"/>
  <c r="F6" i="385"/>
  <c r="S24" i="385"/>
  <c r="N24" i="385"/>
  <c r="J24" i="385"/>
  <c r="K24" i="385" s="1"/>
  <c r="L24" i="385" s="1"/>
  <c r="P24" i="385" s="1"/>
  <c r="F24" i="385"/>
  <c r="S23" i="385"/>
  <c r="N23" i="385"/>
  <c r="J23" i="385"/>
  <c r="K23" i="385" s="1"/>
  <c r="L23" i="385" s="1"/>
  <c r="D23" i="385"/>
  <c r="F23" i="385" s="1"/>
  <c r="S70" i="385"/>
  <c r="N70" i="385"/>
  <c r="N73" i="385" s="1"/>
  <c r="J70" i="385"/>
  <c r="J73" i="385" s="1"/>
  <c r="D70" i="385"/>
  <c r="F70" i="385" s="1"/>
  <c r="S118" i="385"/>
  <c r="J118" i="385"/>
  <c r="J131" i="385" s="1"/>
  <c r="F118" i="385"/>
  <c r="S22" i="385"/>
  <c r="N22" i="385"/>
  <c r="K22" i="385"/>
  <c r="L22" i="385" s="1"/>
  <c r="F22" i="385"/>
  <c r="S21" i="385"/>
  <c r="J21" i="385"/>
  <c r="K21" i="385" s="1"/>
  <c r="L21" i="385" s="1"/>
  <c r="F21" i="385"/>
  <c r="Q20" i="385"/>
  <c r="S20" i="385" s="1"/>
  <c r="N20" i="385"/>
  <c r="J20" i="385"/>
  <c r="K20" i="385" s="1"/>
  <c r="L20" i="385" s="1"/>
  <c r="P20" i="385" s="1"/>
  <c r="D20" i="385"/>
  <c r="F20" i="385" s="1"/>
  <c r="Q19" i="385"/>
  <c r="S19" i="385" s="1"/>
  <c r="N19" i="385"/>
  <c r="J19" i="385"/>
  <c r="K19" i="385" s="1"/>
  <c r="L19" i="385" s="1"/>
  <c r="F19" i="385"/>
  <c r="S18" i="385"/>
  <c r="K18" i="385"/>
  <c r="L18" i="385" s="1"/>
  <c r="F18" i="385"/>
  <c r="S17" i="385"/>
  <c r="N17" i="385"/>
  <c r="J17" i="385"/>
  <c r="K17" i="385" s="1"/>
  <c r="L17" i="385" s="1"/>
  <c r="D17" i="385"/>
  <c r="F17" i="385" s="1"/>
  <c r="AA75" i="385"/>
  <c r="AA76" i="385" s="1"/>
  <c r="S75" i="385"/>
  <c r="S76" i="385" s="1"/>
  <c r="N75" i="385"/>
  <c r="N76" i="385" s="1"/>
  <c r="J75" i="385"/>
  <c r="J76" i="385" s="1"/>
  <c r="D75" i="385"/>
  <c r="F75" i="385" s="1"/>
  <c r="F76" i="385" s="1"/>
  <c r="S16" i="385"/>
  <c r="J16" i="385"/>
  <c r="K16" i="385" s="1"/>
  <c r="L16" i="385" s="1"/>
  <c r="F16" i="385"/>
  <c r="S15" i="385"/>
  <c r="N15" i="385"/>
  <c r="K15" i="385"/>
  <c r="F15" i="385"/>
  <c r="E72" i="384"/>
  <c r="F72" i="384"/>
  <c r="G72" i="384"/>
  <c r="H72" i="384"/>
  <c r="I72" i="384"/>
  <c r="J72" i="384"/>
  <c r="N72" i="384"/>
  <c r="Q72" i="384"/>
  <c r="R72" i="384"/>
  <c r="W72" i="384"/>
  <c r="X72" i="384"/>
  <c r="Y72" i="384"/>
  <c r="Z72" i="384"/>
  <c r="AA72" i="384"/>
  <c r="D72" i="384"/>
  <c r="E69" i="384"/>
  <c r="C10" i="97" s="1"/>
  <c r="G69" i="384"/>
  <c r="H69" i="384"/>
  <c r="I69" i="384"/>
  <c r="J69" i="384"/>
  <c r="H10" i="97" s="1"/>
  <c r="Q69" i="384"/>
  <c r="O10" i="97" s="1"/>
  <c r="R69" i="384"/>
  <c r="W69" i="384"/>
  <c r="X69" i="384"/>
  <c r="Y69" i="384"/>
  <c r="Z69" i="384"/>
  <c r="AA69" i="384"/>
  <c r="Y10" i="97" s="1"/>
  <c r="D69" i="384"/>
  <c r="E66" i="384"/>
  <c r="H66" i="384"/>
  <c r="J66" i="384"/>
  <c r="Q66" i="384"/>
  <c r="R66" i="384"/>
  <c r="P8" i="97" s="1"/>
  <c r="W66" i="384"/>
  <c r="X66" i="384"/>
  <c r="Y66" i="384"/>
  <c r="Z66" i="384"/>
  <c r="AA66" i="384"/>
  <c r="Y8" i="97" s="1"/>
  <c r="E37" i="384"/>
  <c r="C7" i="97" s="1"/>
  <c r="G37" i="384"/>
  <c r="H37" i="384"/>
  <c r="Q37" i="384"/>
  <c r="O7" i="97" s="1"/>
  <c r="R37" i="384"/>
  <c r="P7" i="97" s="1"/>
  <c r="W37" i="384"/>
  <c r="X37" i="384"/>
  <c r="Y37" i="384"/>
  <c r="Z37" i="384"/>
  <c r="X7" i="97" s="1"/>
  <c r="AA37" i="384"/>
  <c r="S36" i="384"/>
  <c r="N36" i="384"/>
  <c r="K36" i="384"/>
  <c r="L36" i="384" s="1"/>
  <c r="D36" i="384"/>
  <c r="F36" i="384" s="1"/>
  <c r="S61" i="384"/>
  <c r="N61" i="384"/>
  <c r="K61" i="384"/>
  <c r="L61" i="384" s="1"/>
  <c r="P61" i="384" s="1"/>
  <c r="D61" i="384"/>
  <c r="F61" i="384" s="1"/>
  <c r="S60" i="384"/>
  <c r="N60" i="384"/>
  <c r="L60" i="384"/>
  <c r="K60" i="384"/>
  <c r="D60" i="384"/>
  <c r="F60" i="384" s="1"/>
  <c r="S59" i="384"/>
  <c r="N59" i="384"/>
  <c r="K59" i="384"/>
  <c r="L59" i="384" s="1"/>
  <c r="P59" i="384" s="1"/>
  <c r="D59" i="384"/>
  <c r="S71" i="384"/>
  <c r="S72" i="384" s="1"/>
  <c r="K71" i="384"/>
  <c r="L71" i="384" s="1"/>
  <c r="L72" i="384" s="1"/>
  <c r="F71" i="384"/>
  <c r="S35" i="384"/>
  <c r="N35" i="384"/>
  <c r="K35" i="384"/>
  <c r="L35" i="384" s="1"/>
  <c r="P35" i="384" s="1"/>
  <c r="D35" i="384"/>
  <c r="S34" i="384"/>
  <c r="N34" i="384"/>
  <c r="K34" i="384"/>
  <c r="L34" i="384" s="1"/>
  <c r="F34" i="384"/>
  <c r="S33" i="384"/>
  <c r="N33" i="384"/>
  <c r="K33" i="384"/>
  <c r="L33" i="384" s="1"/>
  <c r="F33" i="384"/>
  <c r="S58" i="384"/>
  <c r="K58" i="384"/>
  <c r="L58" i="384" s="1"/>
  <c r="F58" i="384"/>
  <c r="S32" i="384"/>
  <c r="N32" i="384"/>
  <c r="K32" i="384"/>
  <c r="L32" i="384" s="1"/>
  <c r="F32" i="384"/>
  <c r="S57" i="384"/>
  <c r="N57" i="384"/>
  <c r="K57" i="384"/>
  <c r="L57" i="384" s="1"/>
  <c r="F57" i="384"/>
  <c r="S31" i="384"/>
  <c r="N31" i="384"/>
  <c r="K31" i="384"/>
  <c r="L31" i="384" s="1"/>
  <c r="F31" i="384"/>
  <c r="S65" i="384"/>
  <c r="K65" i="384"/>
  <c r="L65" i="384" s="1"/>
  <c r="F65" i="384"/>
  <c r="S64" i="384"/>
  <c r="K64" i="384"/>
  <c r="L64" i="384" s="1"/>
  <c r="P64" i="384" s="1"/>
  <c r="F64" i="384"/>
  <c r="S63" i="384"/>
  <c r="K63" i="384"/>
  <c r="L63" i="384" s="1"/>
  <c r="F63" i="384"/>
  <c r="S56" i="384"/>
  <c r="N56" i="384"/>
  <c r="K56" i="384"/>
  <c r="L56" i="384" s="1"/>
  <c r="J56" i="384"/>
  <c r="G56" i="384"/>
  <c r="G66" i="384" s="1"/>
  <c r="F56" i="384"/>
  <c r="S55" i="384"/>
  <c r="N55" i="384"/>
  <c r="K55" i="384"/>
  <c r="L55" i="384" s="1"/>
  <c r="F55" i="384"/>
  <c r="S30" i="384"/>
  <c r="N30" i="384"/>
  <c r="K30" i="384"/>
  <c r="L30" i="384" s="1"/>
  <c r="P30" i="384" s="1"/>
  <c r="F30" i="384"/>
  <c r="S29" i="384"/>
  <c r="N29" i="384"/>
  <c r="K29" i="384"/>
  <c r="L29" i="384" s="1"/>
  <c r="F29" i="384"/>
  <c r="S28" i="384"/>
  <c r="N28" i="384"/>
  <c r="K28" i="384"/>
  <c r="L28" i="384" s="1"/>
  <c r="F28" i="384"/>
  <c r="S54" i="384"/>
  <c r="N54" i="384"/>
  <c r="K54" i="384"/>
  <c r="L54" i="384" s="1"/>
  <c r="F54" i="384"/>
  <c r="S53" i="384"/>
  <c r="N53" i="384"/>
  <c r="K53" i="384"/>
  <c r="L53" i="384" s="1"/>
  <c r="F53" i="384"/>
  <c r="S52" i="384"/>
  <c r="K52" i="384"/>
  <c r="L52" i="384" s="1"/>
  <c r="D52" i="384"/>
  <c r="F52" i="384" s="1"/>
  <c r="S27" i="384"/>
  <c r="K27" i="384"/>
  <c r="L27" i="384" s="1"/>
  <c r="P27" i="384" s="1"/>
  <c r="F27" i="384"/>
  <c r="S51" i="384"/>
  <c r="K51" i="384"/>
  <c r="L51" i="384" s="1"/>
  <c r="D51" i="384"/>
  <c r="F51" i="384" s="1"/>
  <c r="S50" i="384"/>
  <c r="N50" i="384"/>
  <c r="K50" i="384"/>
  <c r="L50" i="384" s="1"/>
  <c r="P50" i="384" s="1"/>
  <c r="F50" i="384"/>
  <c r="S26" i="384"/>
  <c r="N26" i="384"/>
  <c r="K26" i="384"/>
  <c r="L26" i="384" s="1"/>
  <c r="F26" i="384"/>
  <c r="S25" i="384"/>
  <c r="K25" i="384"/>
  <c r="L25" i="384" s="1"/>
  <c r="P25" i="384" s="1"/>
  <c r="D25" i="384"/>
  <c r="F25" i="384" s="1"/>
  <c r="S24" i="384"/>
  <c r="N24" i="384"/>
  <c r="K24" i="384"/>
  <c r="L24" i="384" s="1"/>
  <c r="F24" i="384"/>
  <c r="S23" i="384"/>
  <c r="K23" i="384"/>
  <c r="L23" i="384" s="1"/>
  <c r="P23" i="384" s="1"/>
  <c r="F23" i="384"/>
  <c r="S49" i="384"/>
  <c r="N49" i="384"/>
  <c r="K49" i="384"/>
  <c r="L49" i="384" s="1"/>
  <c r="F49" i="384"/>
  <c r="S22" i="384"/>
  <c r="N22" i="384"/>
  <c r="I22" i="384"/>
  <c r="K22" i="384" s="1"/>
  <c r="L22" i="384" s="1"/>
  <c r="D22" i="384"/>
  <c r="F22" i="384" s="1"/>
  <c r="S21" i="384"/>
  <c r="K21" i="384"/>
  <c r="L21" i="384" s="1"/>
  <c r="P21" i="384" s="1"/>
  <c r="F21" i="384"/>
  <c r="S20" i="384"/>
  <c r="N20" i="384"/>
  <c r="K20" i="384"/>
  <c r="L20" i="384" s="1"/>
  <c r="F20" i="384"/>
  <c r="S48" i="384"/>
  <c r="N48" i="384"/>
  <c r="K48" i="384"/>
  <c r="L48" i="384" s="1"/>
  <c r="P48" i="384" s="1"/>
  <c r="F48" i="384"/>
  <c r="S47" i="384"/>
  <c r="N47" i="384"/>
  <c r="I47" i="384"/>
  <c r="K47" i="384" s="1"/>
  <c r="L47" i="384" s="1"/>
  <c r="P47" i="384" s="1"/>
  <c r="D47" i="384"/>
  <c r="F47" i="384" s="1"/>
  <c r="S19" i="384"/>
  <c r="N19" i="384"/>
  <c r="K19" i="384"/>
  <c r="L19" i="384" s="1"/>
  <c r="P19" i="384" s="1"/>
  <c r="F19" i="384"/>
  <c r="S18" i="384"/>
  <c r="K18" i="384"/>
  <c r="L18" i="384" s="1"/>
  <c r="F18" i="384"/>
  <c r="S17" i="384"/>
  <c r="N17" i="384"/>
  <c r="I17" i="384"/>
  <c r="F17" i="384"/>
  <c r="S46" i="384"/>
  <c r="K46" i="384"/>
  <c r="L46" i="384" s="1"/>
  <c r="F46" i="384"/>
  <c r="S45" i="384"/>
  <c r="N45" i="384"/>
  <c r="K45" i="384"/>
  <c r="L45" i="384" s="1"/>
  <c r="P45" i="384" s="1"/>
  <c r="F45" i="384"/>
  <c r="S16" i="384"/>
  <c r="N16" i="384"/>
  <c r="K16" i="384"/>
  <c r="L16" i="384" s="1"/>
  <c r="P16" i="384" s="1"/>
  <c r="F16" i="384"/>
  <c r="S15" i="384"/>
  <c r="N15" i="384"/>
  <c r="K15" i="384"/>
  <c r="L15" i="384" s="1"/>
  <c r="P15" i="384" s="1"/>
  <c r="F15" i="384"/>
  <c r="S68" i="384"/>
  <c r="S69" i="384" s="1"/>
  <c r="N68" i="384"/>
  <c r="N69" i="384" s="1"/>
  <c r="K68" i="384"/>
  <c r="L68" i="384" s="1"/>
  <c r="P68" i="384" s="1"/>
  <c r="P69" i="384" s="1"/>
  <c r="F68" i="384"/>
  <c r="F69" i="384" s="1"/>
  <c r="S14" i="384"/>
  <c r="N14" i="384"/>
  <c r="K14" i="384"/>
  <c r="L14" i="384" s="1"/>
  <c r="P14" i="384" s="1"/>
  <c r="F14" i="384"/>
  <c r="S13" i="384"/>
  <c r="N13" i="384"/>
  <c r="J13" i="384"/>
  <c r="K13" i="384" s="1"/>
  <c r="L13" i="384" s="1"/>
  <c r="P13" i="384" s="1"/>
  <c r="F13" i="384"/>
  <c r="S12" i="384"/>
  <c r="N12" i="384"/>
  <c r="K12" i="384"/>
  <c r="L12" i="384" s="1"/>
  <c r="P12" i="384" s="1"/>
  <c r="F12" i="384"/>
  <c r="S11" i="384"/>
  <c r="N11" i="384"/>
  <c r="J11" i="384"/>
  <c r="K11" i="384" s="1"/>
  <c r="L11" i="384" s="1"/>
  <c r="D11" i="384"/>
  <c r="F11" i="384" s="1"/>
  <c r="S10" i="384"/>
  <c r="K10" i="384"/>
  <c r="L10" i="384" s="1"/>
  <c r="P10" i="384" s="1"/>
  <c r="F10" i="384"/>
  <c r="S44" i="384"/>
  <c r="N44" i="384"/>
  <c r="K44" i="384"/>
  <c r="L44" i="384" s="1"/>
  <c r="P44" i="384" s="1"/>
  <c r="D44" i="384"/>
  <c r="F44" i="384" s="1"/>
  <c r="S9" i="384"/>
  <c r="N9" i="384"/>
  <c r="J9" i="384"/>
  <c r="K9" i="384" s="1"/>
  <c r="L9" i="384" s="1"/>
  <c r="P9" i="384" s="1"/>
  <c r="D9" i="384"/>
  <c r="F9" i="384" s="1"/>
  <c r="S43" i="384"/>
  <c r="N43" i="384"/>
  <c r="J43" i="384"/>
  <c r="K43" i="384" s="1"/>
  <c r="L43" i="384" s="1"/>
  <c r="P43" i="384" s="1"/>
  <c r="D43" i="384"/>
  <c r="S8" i="384"/>
  <c r="K8" i="384"/>
  <c r="L8" i="384" s="1"/>
  <c r="P8" i="384" s="1"/>
  <c r="F8" i="384"/>
  <c r="S42" i="384"/>
  <c r="K42" i="384"/>
  <c r="L42" i="384" s="1"/>
  <c r="F42" i="384"/>
  <c r="S41" i="384"/>
  <c r="K41" i="384"/>
  <c r="L41" i="384" s="1"/>
  <c r="F41" i="384"/>
  <c r="S7" i="384"/>
  <c r="N7" i="384"/>
  <c r="J7" i="384"/>
  <c r="K7" i="384" s="1"/>
  <c r="L7" i="384" s="1"/>
  <c r="F7" i="384"/>
  <c r="S62" i="384"/>
  <c r="N62" i="384"/>
  <c r="J62" i="384"/>
  <c r="K62" i="384" s="1"/>
  <c r="L62" i="384" s="1"/>
  <c r="D62" i="384"/>
  <c r="F62" i="384" s="1"/>
  <c r="S40" i="384"/>
  <c r="N40" i="384"/>
  <c r="J40" i="384"/>
  <c r="F40" i="384"/>
  <c r="S39" i="384"/>
  <c r="S66" i="384" s="1"/>
  <c r="N39" i="384"/>
  <c r="K39" i="384"/>
  <c r="L39" i="384" s="1"/>
  <c r="P39" i="384" s="1"/>
  <c r="D39" i="384"/>
  <c r="S6" i="384"/>
  <c r="K6" i="384"/>
  <c r="F6" i="384"/>
  <c r="E11" i="163"/>
  <c r="F25" i="390" l="1"/>
  <c r="J141" i="386"/>
  <c r="F101" i="386"/>
  <c r="AA73" i="384"/>
  <c r="Y15" i="97"/>
  <c r="L137" i="385"/>
  <c r="L138" i="385" s="1"/>
  <c r="K138" i="385"/>
  <c r="I16" i="97" s="1"/>
  <c r="V18" i="97"/>
  <c r="X151" i="385"/>
  <c r="L66" i="386"/>
  <c r="K67" i="386"/>
  <c r="I17" i="97" s="1"/>
  <c r="L120" i="386"/>
  <c r="K122" i="386"/>
  <c r="L45" i="386"/>
  <c r="K61" i="386"/>
  <c r="L9" i="386"/>
  <c r="K14" i="386"/>
  <c r="Q10" i="97"/>
  <c r="B15" i="97"/>
  <c r="X15" i="97"/>
  <c r="Z73" i="384"/>
  <c r="G131" i="385"/>
  <c r="E12" i="97" s="1"/>
  <c r="Y18" i="97"/>
  <c r="AA151" i="385"/>
  <c r="F131" i="386"/>
  <c r="F140" i="386" s="1"/>
  <c r="D140" i="386"/>
  <c r="L103" i="386"/>
  <c r="L112" i="386" s="1"/>
  <c r="K112" i="386"/>
  <c r="J140" i="386"/>
  <c r="H18" i="97" s="1"/>
  <c r="K138" i="386"/>
  <c r="L138" i="386" s="1"/>
  <c r="P138" i="386" s="1"/>
  <c r="L20" i="391"/>
  <c r="K23" i="391"/>
  <c r="L15" i="391"/>
  <c r="K28" i="391"/>
  <c r="K29" i="391" s="1"/>
  <c r="O43" i="397"/>
  <c r="T43" i="397"/>
  <c r="U43" i="397" s="1"/>
  <c r="W43" i="397" s="1"/>
  <c r="D66" i="384"/>
  <c r="W7" i="97"/>
  <c r="F8" i="97"/>
  <c r="X10" i="97"/>
  <c r="P15" i="97"/>
  <c r="R73" i="384"/>
  <c r="E15" i="97"/>
  <c r="G73" i="384"/>
  <c r="S43" i="386"/>
  <c r="N112" i="386"/>
  <c r="K31" i="386"/>
  <c r="L31" i="386" s="1"/>
  <c r="P31" i="386" s="1"/>
  <c r="M31" i="386" s="1"/>
  <c r="D6" i="97"/>
  <c r="Q141" i="386"/>
  <c r="K16" i="388"/>
  <c r="F7" i="389"/>
  <c r="F8" i="389" s="1"/>
  <c r="D8" i="389"/>
  <c r="S25" i="390"/>
  <c r="U8" i="390"/>
  <c r="V8" i="390" s="1"/>
  <c r="O8" i="390"/>
  <c r="N10" i="390"/>
  <c r="N25" i="390" s="1"/>
  <c r="P19" i="391"/>
  <c r="L23" i="391"/>
  <c r="L28" i="391"/>
  <c r="L7" i="391"/>
  <c r="K15" i="391"/>
  <c r="O24" i="395"/>
  <c r="T24" i="395"/>
  <c r="U24" i="395" s="1"/>
  <c r="V24" i="395" s="1"/>
  <c r="T114" i="397"/>
  <c r="U114" i="397" s="1"/>
  <c r="W114" i="397" s="1"/>
  <c r="O114" i="397"/>
  <c r="W73" i="384"/>
  <c r="B18" i="97"/>
  <c r="E18" i="97"/>
  <c r="G151" i="385"/>
  <c r="Q6" i="97"/>
  <c r="J118" i="386"/>
  <c r="H16" i="97" s="1"/>
  <c r="O18" i="397"/>
  <c r="T18" i="397"/>
  <c r="U18" i="397" s="1"/>
  <c r="W18" i="397" s="1"/>
  <c r="V8" i="97"/>
  <c r="G10" i="97"/>
  <c r="D68" i="385"/>
  <c r="D13" i="385"/>
  <c r="G11" i="97"/>
  <c r="F12" i="97"/>
  <c r="W151" i="385"/>
  <c r="C18" i="97"/>
  <c r="E151" i="385"/>
  <c r="L6" i="97"/>
  <c r="N141" i="386"/>
  <c r="S17" i="387"/>
  <c r="K14" i="387"/>
  <c r="L14" i="387" s="1"/>
  <c r="P14" i="387" s="1"/>
  <c r="J17" i="387"/>
  <c r="H29" i="391"/>
  <c r="L30" i="391" s="1"/>
  <c r="P30" i="391" s="1"/>
  <c r="P10" i="97"/>
  <c r="K72" i="384"/>
  <c r="F19" i="386"/>
  <c r="D43" i="386"/>
  <c r="Q73" i="384"/>
  <c r="O15" i="97"/>
  <c r="L131" i="386"/>
  <c r="K140" i="386"/>
  <c r="S129" i="386"/>
  <c r="Q15" i="97" s="1"/>
  <c r="K74" i="386"/>
  <c r="L74" i="386" s="1"/>
  <c r="P74" i="386" s="1"/>
  <c r="J101" i="386"/>
  <c r="H11" i="97" s="1"/>
  <c r="N129" i="386"/>
  <c r="L6" i="386"/>
  <c r="K7" i="386"/>
  <c r="F52" i="386"/>
  <c r="D61" i="386"/>
  <c r="L114" i="386"/>
  <c r="L118" i="386" s="1"/>
  <c r="K118" i="386"/>
  <c r="F95" i="386"/>
  <c r="E101" i="386"/>
  <c r="E141" i="386" s="1"/>
  <c r="F112" i="386"/>
  <c r="G6" i="97"/>
  <c r="I141" i="386"/>
  <c r="D118" i="386"/>
  <c r="B16" i="97" s="1"/>
  <c r="Z141" i="386"/>
  <c r="R29" i="391"/>
  <c r="D20" i="392"/>
  <c r="F16" i="392"/>
  <c r="F20" i="392" s="1"/>
  <c r="O28" i="395"/>
  <c r="T13" i="395"/>
  <c r="U13" i="395" s="1"/>
  <c r="V13" i="395" s="1"/>
  <c r="O13" i="395"/>
  <c r="O66" i="397"/>
  <c r="T66" i="397"/>
  <c r="U66" i="397" s="1"/>
  <c r="W66" i="397" s="1"/>
  <c r="O60" i="397"/>
  <c r="T60" i="397"/>
  <c r="U60" i="397" s="1"/>
  <c r="W60" i="397" s="1"/>
  <c r="Q29" i="394"/>
  <c r="V7" i="97"/>
  <c r="F7" i="97"/>
  <c r="X8" i="97"/>
  <c r="C8" i="97"/>
  <c r="W10" i="97"/>
  <c r="Y73" i="384"/>
  <c r="W15" i="97"/>
  <c r="H15" i="97"/>
  <c r="P33" i="385"/>
  <c r="M33" i="385" s="1"/>
  <c r="O33" i="385" s="1"/>
  <c r="Q131" i="385"/>
  <c r="O12" i="97" s="1"/>
  <c r="F144" i="385"/>
  <c r="D14" i="97" s="1"/>
  <c r="P87" i="385"/>
  <c r="M87" i="385" s="1"/>
  <c r="T87" i="385" s="1"/>
  <c r="U87" i="385" s="1"/>
  <c r="V87" i="385" s="1"/>
  <c r="M10" i="385"/>
  <c r="T10" i="385" s="1"/>
  <c r="U10" i="385" s="1"/>
  <c r="V10" i="385" s="1"/>
  <c r="L69" i="386"/>
  <c r="K101" i="386"/>
  <c r="L19" i="386"/>
  <c r="K43" i="386"/>
  <c r="N118" i="386"/>
  <c r="L16" i="97" s="1"/>
  <c r="V6" i="97"/>
  <c r="X141" i="386"/>
  <c r="P6" i="97"/>
  <c r="R141" i="386"/>
  <c r="F6" i="97"/>
  <c r="H141" i="386"/>
  <c r="D101" i="386"/>
  <c r="D112" i="386"/>
  <c r="N23" i="391"/>
  <c r="N29" i="391" s="1"/>
  <c r="S29" i="391"/>
  <c r="AA29" i="391"/>
  <c r="P14" i="393"/>
  <c r="P19" i="393" s="1"/>
  <c r="L19" i="393"/>
  <c r="L20" i="393" s="1"/>
  <c r="N19" i="97"/>
  <c r="O20" i="395"/>
  <c r="T20" i="395"/>
  <c r="U20" i="395" s="1"/>
  <c r="V20" i="395" s="1"/>
  <c r="O17" i="395"/>
  <c r="T17" i="395"/>
  <c r="U17" i="395" s="1"/>
  <c r="V17" i="395" s="1"/>
  <c r="O20" i="397"/>
  <c r="T20" i="397"/>
  <c r="U20" i="397" s="1"/>
  <c r="W20" i="397" s="1"/>
  <c r="T85" i="397"/>
  <c r="U85" i="397" s="1"/>
  <c r="W85" i="397" s="1"/>
  <c r="O85" i="397"/>
  <c r="J19" i="97"/>
  <c r="K69" i="384"/>
  <c r="I10" i="97" s="1"/>
  <c r="E10" i="97"/>
  <c r="L15" i="97"/>
  <c r="G15" i="97"/>
  <c r="E73" i="384"/>
  <c r="C15" i="97"/>
  <c r="H9" i="97"/>
  <c r="M24" i="385"/>
  <c r="M6" i="385"/>
  <c r="T6" i="385" s="1"/>
  <c r="M28" i="385"/>
  <c r="T28" i="385" s="1"/>
  <c r="U28" i="385" s="1"/>
  <c r="V28" i="385" s="1"/>
  <c r="M101" i="385"/>
  <c r="O101" i="385" s="1"/>
  <c r="M103" i="385"/>
  <c r="W9" i="97"/>
  <c r="O9" i="97"/>
  <c r="C9" i="97"/>
  <c r="P11" i="97"/>
  <c r="X14" i="97"/>
  <c r="P14" i="97"/>
  <c r="F14" i="97"/>
  <c r="W18" i="97"/>
  <c r="Y151" i="385"/>
  <c r="O18" i="97"/>
  <c r="F18" i="97"/>
  <c r="H151" i="385"/>
  <c r="S101" i="386"/>
  <c r="L124" i="386"/>
  <c r="K129" i="386"/>
  <c r="L63" i="386"/>
  <c r="L64" i="386" s="1"/>
  <c r="K64" i="386"/>
  <c r="S61" i="386"/>
  <c r="M132" i="386"/>
  <c r="T132" i="386" s="1"/>
  <c r="U132" i="386" s="1"/>
  <c r="W132" i="386" s="1"/>
  <c r="M48" i="386"/>
  <c r="T48" i="386" s="1"/>
  <c r="U48" i="386" s="1"/>
  <c r="W48" i="386" s="1"/>
  <c r="S14" i="386"/>
  <c r="S141" i="386" s="1"/>
  <c r="S118" i="386"/>
  <c r="Q16" i="97" s="1"/>
  <c r="T6" i="97"/>
  <c r="D141" i="386"/>
  <c r="N17" i="387"/>
  <c r="S16" i="388"/>
  <c r="F12" i="389"/>
  <c r="L6" i="389"/>
  <c r="L8" i="389" s="1"/>
  <c r="L12" i="389" s="1"/>
  <c r="K8" i="389"/>
  <c r="I25" i="390"/>
  <c r="F18" i="391"/>
  <c r="F23" i="391" s="1"/>
  <c r="D23" i="391"/>
  <c r="Z29" i="391"/>
  <c r="O21" i="397"/>
  <c r="M22" i="397"/>
  <c r="O22" i="397" s="1"/>
  <c r="T22" i="397"/>
  <c r="U22" i="397" s="1"/>
  <c r="W22" i="397" s="1"/>
  <c r="N29" i="394"/>
  <c r="L7" i="394"/>
  <c r="P6" i="394"/>
  <c r="P7" i="394" s="1"/>
  <c r="M11" i="393"/>
  <c r="P12" i="393"/>
  <c r="T38" i="395"/>
  <c r="U38" i="395" s="1"/>
  <c r="V38" i="395" s="1"/>
  <c r="O38" i="395"/>
  <c r="O42" i="395"/>
  <c r="T42" i="395"/>
  <c r="U42" i="395" s="1"/>
  <c r="V42" i="395" s="1"/>
  <c r="T8" i="395"/>
  <c r="U8" i="395" s="1"/>
  <c r="V8" i="395" s="1"/>
  <c r="O8" i="395"/>
  <c r="O56" i="397"/>
  <c r="T56" i="397"/>
  <c r="U56" i="397" s="1"/>
  <c r="W56" i="397" s="1"/>
  <c r="N66" i="384"/>
  <c r="M10" i="384"/>
  <c r="O10" i="384" s="1"/>
  <c r="L10" i="97"/>
  <c r="M23" i="384"/>
  <c r="Y7" i="97"/>
  <c r="E7" i="97"/>
  <c r="W8" i="97"/>
  <c r="V10" i="97"/>
  <c r="F10" i="97"/>
  <c r="X73" i="384"/>
  <c r="V15" i="97"/>
  <c r="H73" i="384"/>
  <c r="F15" i="97"/>
  <c r="H12" i="97"/>
  <c r="L9" i="97"/>
  <c r="C12" i="97"/>
  <c r="M124" i="385"/>
  <c r="O124" i="385" s="1"/>
  <c r="L133" i="385"/>
  <c r="L135" i="385" s="1"/>
  <c r="J13" i="97" s="1"/>
  <c r="K135" i="385"/>
  <c r="I13" i="97" s="1"/>
  <c r="D16" i="97"/>
  <c r="X9" i="97"/>
  <c r="P9" i="97"/>
  <c r="F11" i="97"/>
  <c r="V12" i="97"/>
  <c r="X18" i="97"/>
  <c r="Z151" i="385"/>
  <c r="P18" i="97"/>
  <c r="R151" i="385"/>
  <c r="G18" i="97"/>
  <c r="S122" i="386"/>
  <c r="S140" i="386"/>
  <c r="Q18" i="97" s="1"/>
  <c r="F45" i="386"/>
  <c r="F61" i="386" s="1"/>
  <c r="M42" i="386"/>
  <c r="S112" i="386"/>
  <c r="M100" i="386"/>
  <c r="O100" i="386" s="1"/>
  <c r="M136" i="386"/>
  <c r="Y6" i="97"/>
  <c r="E6" i="97"/>
  <c r="G141" i="386"/>
  <c r="N16" i="388"/>
  <c r="D12" i="389"/>
  <c r="K11" i="389"/>
  <c r="K12" i="389" s="1"/>
  <c r="M7" i="390"/>
  <c r="P12" i="390"/>
  <c r="P14" i="390" s="1"/>
  <c r="L14" i="390"/>
  <c r="L22" i="390"/>
  <c r="L24" i="390" s="1"/>
  <c r="K24" i="390"/>
  <c r="D25" i="390"/>
  <c r="Z25" i="390"/>
  <c r="J25" i="390"/>
  <c r="O22" i="395"/>
  <c r="T22" i="395"/>
  <c r="U22" i="395" s="1"/>
  <c r="V22" i="395" s="1"/>
  <c r="O6" i="395"/>
  <c r="T6" i="395"/>
  <c r="U6" i="395" s="1"/>
  <c r="V6" i="395" s="1"/>
  <c r="P9" i="393"/>
  <c r="M7" i="393"/>
  <c r="K26" i="394"/>
  <c r="K29" i="394" s="1"/>
  <c r="I19" i="97"/>
  <c r="H12" i="389"/>
  <c r="K10" i="390"/>
  <c r="L6" i="390"/>
  <c r="K14" i="390"/>
  <c r="R25" i="390"/>
  <c r="H25" i="390"/>
  <c r="D15" i="391"/>
  <c r="F9" i="393"/>
  <c r="F20" i="393" s="1"/>
  <c r="F21" i="393" s="1"/>
  <c r="D19" i="97"/>
  <c r="F26" i="394"/>
  <c r="O11" i="395"/>
  <c r="T11" i="395"/>
  <c r="U11" i="395" s="1"/>
  <c r="V11" i="395" s="1"/>
  <c r="O55" i="397"/>
  <c r="T55" i="397"/>
  <c r="U55" i="397" s="1"/>
  <c r="W55" i="397" s="1"/>
  <c r="O11" i="397"/>
  <c r="T11" i="397"/>
  <c r="U11" i="397" s="1"/>
  <c r="W11" i="397" s="1"/>
  <c r="T61" i="397"/>
  <c r="U61" i="397" s="1"/>
  <c r="W61" i="397" s="1"/>
  <c r="O61" i="397"/>
  <c r="S18" i="394"/>
  <c r="S26" i="394" s="1"/>
  <c r="S29" i="394" s="1"/>
  <c r="M17" i="394"/>
  <c r="T17" i="394" s="1"/>
  <c r="U17" i="394" s="1"/>
  <c r="V17" i="394" s="1"/>
  <c r="S20" i="392"/>
  <c r="N20" i="392"/>
  <c r="L18" i="97" s="1"/>
  <c r="L9" i="394"/>
  <c r="K14" i="394"/>
  <c r="D133" i="396"/>
  <c r="A26" i="398"/>
  <c r="A28" i="398" s="1"/>
  <c r="A32" i="398" s="1"/>
  <c r="H32" i="398"/>
  <c r="T30" i="396"/>
  <c r="U30" i="396" s="1"/>
  <c r="V30" i="396" s="1"/>
  <c r="T57" i="396"/>
  <c r="U57" i="396" s="1"/>
  <c r="V57" i="396" s="1"/>
  <c r="T129" i="396"/>
  <c r="U129" i="396" s="1"/>
  <c r="V129" i="396" s="1"/>
  <c r="O16" i="396"/>
  <c r="O45" i="396"/>
  <c r="O65" i="396"/>
  <c r="T74" i="396"/>
  <c r="U74" i="396" s="1"/>
  <c r="V74" i="396" s="1"/>
  <c r="T44" i="396"/>
  <c r="U44" i="396" s="1"/>
  <c r="V44" i="396" s="1"/>
  <c r="T38" i="396"/>
  <c r="U38" i="396" s="1"/>
  <c r="V38" i="396" s="1"/>
  <c r="S117" i="396"/>
  <c r="S133" i="396" s="1"/>
  <c r="T90" i="396"/>
  <c r="U90" i="396" s="1"/>
  <c r="V90" i="396" s="1"/>
  <c r="K117" i="396"/>
  <c r="T93" i="396"/>
  <c r="U93" i="396" s="1"/>
  <c r="V93" i="396" s="1"/>
  <c r="T41" i="396"/>
  <c r="U41" i="396" s="1"/>
  <c r="V41" i="396" s="1"/>
  <c r="F117" i="396"/>
  <c r="F133" i="396" s="1"/>
  <c r="O51" i="396"/>
  <c r="T28" i="396"/>
  <c r="U28" i="396" s="1"/>
  <c r="V28" i="396" s="1"/>
  <c r="M10" i="396"/>
  <c r="T10" i="396" s="1"/>
  <c r="U10" i="396" s="1"/>
  <c r="V10" i="396" s="1"/>
  <c r="O69" i="396"/>
  <c r="O26" i="396"/>
  <c r="T92" i="396"/>
  <c r="U92" i="396" s="1"/>
  <c r="V92" i="396" s="1"/>
  <c r="T68" i="396"/>
  <c r="U68" i="396" s="1"/>
  <c r="V68" i="396" s="1"/>
  <c r="T94" i="396"/>
  <c r="U94" i="396" s="1"/>
  <c r="V94" i="396" s="1"/>
  <c r="M36" i="396"/>
  <c r="O36" i="396" s="1"/>
  <c r="V50" i="396"/>
  <c r="O80" i="397"/>
  <c r="T41" i="397"/>
  <c r="U41" i="397" s="1"/>
  <c r="W41" i="397" s="1"/>
  <c r="L117" i="397"/>
  <c r="O67" i="397"/>
  <c r="T37" i="397"/>
  <c r="U37" i="397" s="1"/>
  <c r="W37" i="397" s="1"/>
  <c r="M35" i="397"/>
  <c r="O35" i="397" s="1"/>
  <c r="M13" i="397"/>
  <c r="O13" i="397" s="1"/>
  <c r="T13" i="397"/>
  <c r="U13" i="397" s="1"/>
  <c r="W13" i="397" s="1"/>
  <c r="T16" i="397"/>
  <c r="U16" i="397" s="1"/>
  <c r="W16" i="397" s="1"/>
  <c r="M10" i="397"/>
  <c r="O10" i="397" s="1"/>
  <c r="M112" i="397"/>
  <c r="O112" i="397" s="1"/>
  <c r="T52" i="397"/>
  <c r="U52" i="397" s="1"/>
  <c r="W52" i="397" s="1"/>
  <c r="T100" i="397"/>
  <c r="U100" i="397" s="1"/>
  <c r="W100" i="397" s="1"/>
  <c r="T93" i="397"/>
  <c r="U93" i="397" s="1"/>
  <c r="W93" i="397" s="1"/>
  <c r="M62" i="397"/>
  <c r="O62" i="397" s="1"/>
  <c r="T70" i="397"/>
  <c r="U70" i="397" s="1"/>
  <c r="W70" i="397" s="1"/>
  <c r="T77" i="397"/>
  <c r="U77" i="397" s="1"/>
  <c r="W77" i="397" s="1"/>
  <c r="M77" i="397"/>
  <c r="O77" i="397" s="1"/>
  <c r="A115" i="397"/>
  <c r="M33" i="397"/>
  <c r="O33" i="397" s="1"/>
  <c r="T8" i="397"/>
  <c r="U8" i="397" s="1"/>
  <c r="W8" i="397" s="1"/>
  <c r="M36" i="397"/>
  <c r="O36" i="397" s="1"/>
  <c r="T92" i="397"/>
  <c r="U92" i="397" s="1"/>
  <c r="W92" i="397" s="1"/>
  <c r="M71" i="397"/>
  <c r="O71" i="397" s="1"/>
  <c r="F115" i="397"/>
  <c r="T44" i="397"/>
  <c r="U44" i="397" s="1"/>
  <c r="W44" i="397" s="1"/>
  <c r="M65" i="397"/>
  <c r="O65" i="397" s="1"/>
  <c r="T59" i="397"/>
  <c r="U59" i="397" s="1"/>
  <c r="W59" i="397" s="1"/>
  <c r="M45" i="397"/>
  <c r="O45" i="397" s="1"/>
  <c r="M103" i="397"/>
  <c r="O103" i="397" s="1"/>
  <c r="T68" i="397"/>
  <c r="U68" i="397" s="1"/>
  <c r="W68" i="397" s="1"/>
  <c r="M94" i="397"/>
  <c r="O94" i="397" s="1"/>
  <c r="T31" i="397"/>
  <c r="U31" i="397" s="1"/>
  <c r="W31" i="397" s="1"/>
  <c r="M26" i="397"/>
  <c r="O26" i="397" s="1"/>
  <c r="M106" i="397"/>
  <c r="O106" i="397" s="1"/>
  <c r="M101" i="397"/>
  <c r="O101" i="397" s="1"/>
  <c r="M47" i="397"/>
  <c r="O47" i="397" s="1"/>
  <c r="M17" i="397"/>
  <c r="O17" i="397" s="1"/>
  <c r="M12" i="397"/>
  <c r="O12" i="397" s="1"/>
  <c r="M24" i="397"/>
  <c r="O24" i="397" s="1"/>
  <c r="T24" i="397"/>
  <c r="U24" i="397" s="1"/>
  <c r="W24" i="397" s="1"/>
  <c r="T75" i="397"/>
  <c r="U75" i="397" s="1"/>
  <c r="W75" i="397" s="1"/>
  <c r="M89" i="397"/>
  <c r="O89" i="397" s="1"/>
  <c r="M108" i="397"/>
  <c r="O108" i="397" s="1"/>
  <c r="M32" i="397"/>
  <c r="O32" i="397" s="1"/>
  <c r="O113" i="397"/>
  <c r="O105" i="397"/>
  <c r="M69" i="397"/>
  <c r="O69" i="397" s="1"/>
  <c r="M110" i="397"/>
  <c r="O110" i="397" s="1"/>
  <c r="T91" i="397"/>
  <c r="U91" i="397" s="1"/>
  <c r="W91" i="397" s="1"/>
  <c r="M63" i="397"/>
  <c r="O63" i="397" s="1"/>
  <c r="M42" i="397"/>
  <c r="O42" i="397" s="1"/>
  <c r="T23" i="397"/>
  <c r="U23" i="397" s="1"/>
  <c r="W23" i="397" s="1"/>
  <c r="M39" i="397"/>
  <c r="O39" i="397" s="1"/>
  <c r="M27" i="397"/>
  <c r="O27" i="397" s="1"/>
  <c r="M38" i="397"/>
  <c r="O38" i="397" s="1"/>
  <c r="M48" i="397"/>
  <c r="O48" i="397" s="1"/>
  <c r="F116" i="397"/>
  <c r="M90" i="397"/>
  <c r="O90" i="397" s="1"/>
  <c r="T90" i="397"/>
  <c r="U90" i="397" s="1"/>
  <c r="W90" i="397" s="1"/>
  <c r="M97" i="397"/>
  <c r="O97" i="397" s="1"/>
  <c r="M54" i="397"/>
  <c r="O54" i="397" s="1"/>
  <c r="M88" i="397"/>
  <c r="O88" i="397" s="1"/>
  <c r="M15" i="397"/>
  <c r="O15" i="397" s="1"/>
  <c r="M6" i="397"/>
  <c r="O6" i="397" s="1"/>
  <c r="M57" i="397"/>
  <c r="O57" i="397" s="1"/>
  <c r="M102" i="397"/>
  <c r="O102" i="397" s="1"/>
  <c r="P115" i="397"/>
  <c r="P117" i="397" s="1"/>
  <c r="M5" i="397"/>
  <c r="M95" i="397"/>
  <c r="O95" i="397" s="1"/>
  <c r="M72" i="397"/>
  <c r="O72" i="397" s="1"/>
  <c r="M50" i="397"/>
  <c r="O50" i="397" s="1"/>
  <c r="M25" i="397"/>
  <c r="O25" i="397" s="1"/>
  <c r="M34" i="397"/>
  <c r="O34" i="397" s="1"/>
  <c r="M7" i="397"/>
  <c r="O7" i="397" s="1"/>
  <c r="T7" i="397"/>
  <c r="U7" i="397" s="1"/>
  <c r="W7" i="397" s="1"/>
  <c r="T103" i="396"/>
  <c r="U103" i="396" s="1"/>
  <c r="V103" i="396" s="1"/>
  <c r="O103" i="396"/>
  <c r="M99" i="396"/>
  <c r="O99" i="396" s="1"/>
  <c r="M131" i="396"/>
  <c r="O131" i="396" s="1"/>
  <c r="T81" i="396"/>
  <c r="U81" i="396" s="1"/>
  <c r="V81" i="396" s="1"/>
  <c r="O86" i="396"/>
  <c r="P120" i="396"/>
  <c r="L132" i="396"/>
  <c r="T39" i="396"/>
  <c r="U39" i="396" s="1"/>
  <c r="V39" i="396" s="1"/>
  <c r="T121" i="396"/>
  <c r="U121" i="396" s="1"/>
  <c r="V121" i="396" s="1"/>
  <c r="T96" i="396"/>
  <c r="U96" i="396" s="1"/>
  <c r="V96" i="396" s="1"/>
  <c r="M77" i="396"/>
  <c r="O77" i="396" s="1"/>
  <c r="M82" i="396"/>
  <c r="O82" i="396" s="1"/>
  <c r="M58" i="396"/>
  <c r="O58" i="396" s="1"/>
  <c r="P6" i="396"/>
  <c r="M83" i="396"/>
  <c r="O83" i="396" s="1"/>
  <c r="T54" i="396"/>
  <c r="U54" i="396" s="1"/>
  <c r="V54" i="396" s="1"/>
  <c r="O8" i="396"/>
  <c r="M14" i="396"/>
  <c r="O14" i="396" s="1"/>
  <c r="T14" i="396"/>
  <c r="U14" i="396" s="1"/>
  <c r="V14" i="396" s="1"/>
  <c r="M19" i="396"/>
  <c r="O19" i="396" s="1"/>
  <c r="M7" i="396"/>
  <c r="O7" i="396" s="1"/>
  <c r="M5" i="396"/>
  <c r="M105" i="396"/>
  <c r="O105" i="396" s="1"/>
  <c r="M59" i="396"/>
  <c r="O59" i="396" s="1"/>
  <c r="P21" i="396"/>
  <c r="O123" i="396"/>
  <c r="L117" i="396"/>
  <c r="M11" i="396"/>
  <c r="O11" i="396" s="1"/>
  <c r="T11" i="396"/>
  <c r="U11" i="396" s="1"/>
  <c r="V11" i="396" s="1"/>
  <c r="T24" i="396"/>
  <c r="U24" i="396" s="1"/>
  <c r="V24" i="396" s="1"/>
  <c r="M24" i="396"/>
  <c r="O24" i="396" s="1"/>
  <c r="M47" i="396"/>
  <c r="O47" i="396" s="1"/>
  <c r="M71" i="396"/>
  <c r="O71" i="396" s="1"/>
  <c r="M23" i="396"/>
  <c r="O23" i="396" s="1"/>
  <c r="M15" i="396"/>
  <c r="O15" i="396" s="1"/>
  <c r="T15" i="396"/>
  <c r="U15" i="396" s="1"/>
  <c r="V15" i="396" s="1"/>
  <c r="M89" i="396"/>
  <c r="O89" i="396" s="1"/>
  <c r="M80" i="396"/>
  <c r="O80" i="396" s="1"/>
  <c r="M88" i="396"/>
  <c r="O88" i="396" s="1"/>
  <c r="M37" i="396"/>
  <c r="O37" i="396" s="1"/>
  <c r="M110" i="396"/>
  <c r="O110" i="396" s="1"/>
  <c r="M73" i="396"/>
  <c r="O73" i="396" s="1"/>
  <c r="T97" i="396"/>
  <c r="U97" i="396" s="1"/>
  <c r="V97" i="396" s="1"/>
  <c r="G133" i="396"/>
  <c r="M72" i="396"/>
  <c r="O72" i="396" s="1"/>
  <c r="M48" i="396"/>
  <c r="O48" i="396" s="1"/>
  <c r="O62" i="396"/>
  <c r="T9" i="396"/>
  <c r="U9" i="396" s="1"/>
  <c r="V9" i="396" s="1"/>
  <c r="M35" i="396"/>
  <c r="O35" i="396" s="1"/>
  <c r="M130" i="396"/>
  <c r="O130" i="396" s="1"/>
  <c r="O100" i="396"/>
  <c r="M111" i="396"/>
  <c r="O111" i="396" s="1"/>
  <c r="M128" i="396"/>
  <c r="O128" i="396" s="1"/>
  <c r="M12" i="396"/>
  <c r="O12" i="396" s="1"/>
  <c r="T106" i="396"/>
  <c r="U106" i="396" s="1"/>
  <c r="V106" i="396" s="1"/>
  <c r="M126" i="396"/>
  <c r="O126" i="396" s="1"/>
  <c r="M101" i="396"/>
  <c r="O101" i="396" s="1"/>
  <c r="O43" i="396"/>
  <c r="M25" i="396"/>
  <c r="O25" i="396" s="1"/>
  <c r="T25" i="396"/>
  <c r="U25" i="396" s="1"/>
  <c r="V25" i="396" s="1"/>
  <c r="M52" i="396"/>
  <c r="O52" i="396" s="1"/>
  <c r="M17" i="396"/>
  <c r="O17" i="396" s="1"/>
  <c r="M112" i="396"/>
  <c r="O112" i="396" s="1"/>
  <c r="M85" i="396"/>
  <c r="O85" i="396" s="1"/>
  <c r="F134" i="396"/>
  <c r="M108" i="396"/>
  <c r="O108" i="396" s="1"/>
  <c r="M84" i="396"/>
  <c r="O84" i="396" s="1"/>
  <c r="T84" i="396"/>
  <c r="U84" i="396" s="1"/>
  <c r="V84" i="396" s="1"/>
  <c r="M70" i="396"/>
  <c r="O70" i="396" s="1"/>
  <c r="M91" i="396"/>
  <c r="O91" i="396" s="1"/>
  <c r="M33" i="396"/>
  <c r="O33" i="396" s="1"/>
  <c r="M79" i="396"/>
  <c r="O79" i="396" s="1"/>
  <c r="M67" i="396"/>
  <c r="O67" i="396" s="1"/>
  <c r="M124" i="396"/>
  <c r="O124" i="396" s="1"/>
  <c r="T95" i="396"/>
  <c r="U95" i="396" s="1"/>
  <c r="V95" i="396" s="1"/>
  <c r="M75" i="396"/>
  <c r="O75" i="396" s="1"/>
  <c r="T75" i="396"/>
  <c r="U75" i="396" s="1"/>
  <c r="V75" i="396" s="1"/>
  <c r="T107" i="396"/>
  <c r="U107" i="396" s="1"/>
  <c r="V107" i="396" s="1"/>
  <c r="M31" i="396"/>
  <c r="O31" i="396" s="1"/>
  <c r="M13" i="396"/>
  <c r="O13" i="396" s="1"/>
  <c r="M87" i="396"/>
  <c r="O87" i="396" s="1"/>
  <c r="M122" i="396"/>
  <c r="O122" i="396" s="1"/>
  <c r="M98" i="396"/>
  <c r="O98" i="396" s="1"/>
  <c r="M104" i="396"/>
  <c r="O104" i="396" s="1"/>
  <c r="M78" i="396"/>
  <c r="O78" i="396" s="1"/>
  <c r="A121" i="396"/>
  <c r="A122" i="396" s="1"/>
  <c r="A123" i="396" s="1"/>
  <c r="A124" i="396" s="1"/>
  <c r="A125" i="396" s="1"/>
  <c r="A126" i="396" s="1"/>
  <c r="A127" i="396" s="1"/>
  <c r="A128" i="396" s="1"/>
  <c r="A129" i="396" s="1"/>
  <c r="A130" i="396" s="1"/>
  <c r="A131" i="396" s="1"/>
  <c r="A133" i="396" s="1"/>
  <c r="K133" i="396"/>
  <c r="L134" i="396" s="1"/>
  <c r="M49" i="396"/>
  <c r="O49" i="396" s="1"/>
  <c r="M63" i="396"/>
  <c r="O63" i="396" s="1"/>
  <c r="M109" i="396"/>
  <c r="O109" i="396" s="1"/>
  <c r="T109" i="396"/>
  <c r="U109" i="396" s="1"/>
  <c r="V109" i="396" s="1"/>
  <c r="M18" i="396"/>
  <c r="O18" i="396" s="1"/>
  <c r="M46" i="396"/>
  <c r="O46" i="396" s="1"/>
  <c r="M21" i="395"/>
  <c r="O21" i="395" s="1"/>
  <c r="T21" i="395"/>
  <c r="U21" i="395" s="1"/>
  <c r="V21" i="395" s="1"/>
  <c r="M57" i="395"/>
  <c r="O57" i="395" s="1"/>
  <c r="T57" i="395"/>
  <c r="U57" i="395" s="1"/>
  <c r="V57" i="395" s="1"/>
  <c r="T48" i="395"/>
  <c r="U48" i="395" s="1"/>
  <c r="V48" i="395" s="1"/>
  <c r="M23" i="395"/>
  <c r="O23" i="395" s="1"/>
  <c r="T23" i="395"/>
  <c r="U23" i="395" s="1"/>
  <c r="V23" i="395" s="1"/>
  <c r="O29" i="395"/>
  <c r="O54" i="395"/>
  <c r="M19" i="395"/>
  <c r="O19" i="395" s="1"/>
  <c r="M47" i="395"/>
  <c r="O47" i="395" s="1"/>
  <c r="T47" i="395"/>
  <c r="U47" i="395" s="1"/>
  <c r="V47" i="395" s="1"/>
  <c r="M10" i="395"/>
  <c r="O10" i="395" s="1"/>
  <c r="T10" i="395"/>
  <c r="U10" i="395" s="1"/>
  <c r="V10" i="395" s="1"/>
  <c r="O18" i="395"/>
  <c r="M12" i="395"/>
  <c r="O12" i="395" s="1"/>
  <c r="O52" i="395"/>
  <c r="P7" i="395"/>
  <c r="T58" i="395"/>
  <c r="U58" i="395" s="1"/>
  <c r="V58" i="395" s="1"/>
  <c r="T46" i="395"/>
  <c r="U46" i="395" s="1"/>
  <c r="V46" i="395" s="1"/>
  <c r="T44" i="395"/>
  <c r="U44" i="395" s="1"/>
  <c r="V44" i="395" s="1"/>
  <c r="M16" i="395"/>
  <c r="O16" i="395" s="1"/>
  <c r="T16" i="395"/>
  <c r="U16" i="395" s="1"/>
  <c r="V16" i="395" s="1"/>
  <c r="M27" i="395"/>
  <c r="O27" i="395" s="1"/>
  <c r="T33" i="395"/>
  <c r="U33" i="395" s="1"/>
  <c r="V33" i="395" s="1"/>
  <c r="T62" i="395"/>
  <c r="U62" i="395" s="1"/>
  <c r="V62" i="395" s="1"/>
  <c r="L65" i="395"/>
  <c r="P5" i="395"/>
  <c r="M50" i="395"/>
  <c r="O50" i="395" s="1"/>
  <c r="T49" i="395"/>
  <c r="U49" i="395" s="1"/>
  <c r="V49" i="395" s="1"/>
  <c r="T64" i="395"/>
  <c r="U64" i="395" s="1"/>
  <c r="V64" i="395" s="1"/>
  <c r="T9" i="395"/>
  <c r="U9" i="395" s="1"/>
  <c r="V9" i="395" s="1"/>
  <c r="T56" i="395"/>
  <c r="U56" i="395" s="1"/>
  <c r="V56" i="395" s="1"/>
  <c r="K65" i="395"/>
  <c r="L66" i="395" s="1"/>
  <c r="P66" i="395" s="1"/>
  <c r="M34" i="395"/>
  <c r="O34" i="395" s="1"/>
  <c r="M55" i="395"/>
  <c r="O55" i="395" s="1"/>
  <c r="T55" i="395"/>
  <c r="U55" i="395" s="1"/>
  <c r="V55" i="395" s="1"/>
  <c r="M25" i="395"/>
  <c r="O25" i="395" s="1"/>
  <c r="T25" i="395"/>
  <c r="U25" i="395" s="1"/>
  <c r="V25" i="395" s="1"/>
  <c r="M45" i="395"/>
  <c r="O45" i="395" s="1"/>
  <c r="M43" i="395"/>
  <c r="O43" i="395" s="1"/>
  <c r="F66" i="395"/>
  <c r="M53" i="395"/>
  <c r="O53" i="395" s="1"/>
  <c r="F27" i="394"/>
  <c r="L27" i="394"/>
  <c r="P27" i="394" s="1"/>
  <c r="O17" i="394"/>
  <c r="O24" i="394"/>
  <c r="T10" i="394"/>
  <c r="U10" i="394" s="1"/>
  <c r="V10" i="394" s="1"/>
  <c r="M23" i="394"/>
  <c r="M6" i="394"/>
  <c r="M20" i="394"/>
  <c r="M16" i="394"/>
  <c r="M12" i="394"/>
  <c r="O12" i="394" s="1"/>
  <c r="M13" i="394"/>
  <c r="O13" i="394" s="1"/>
  <c r="T13" i="394"/>
  <c r="U13" i="394" s="1"/>
  <c r="V13" i="394" s="1"/>
  <c r="M11" i="394"/>
  <c r="O11" i="394" s="1"/>
  <c r="O15" i="393"/>
  <c r="M18" i="393"/>
  <c r="O18" i="393" s="1"/>
  <c r="M17" i="393"/>
  <c r="O17" i="393" s="1"/>
  <c r="M16" i="393"/>
  <c r="O16" i="393" s="1"/>
  <c r="M14" i="393"/>
  <c r="M6" i="392"/>
  <c r="O6" i="392" s="1"/>
  <c r="T6" i="392"/>
  <c r="U6" i="392" s="1"/>
  <c r="V6" i="392" s="1"/>
  <c r="P8" i="392"/>
  <c r="P10" i="392"/>
  <c r="P15" i="392"/>
  <c r="M19" i="392"/>
  <c r="O19" i="392" s="1"/>
  <c r="P17" i="392"/>
  <c r="P5" i="392"/>
  <c r="L20" i="392"/>
  <c r="M13" i="392"/>
  <c r="O13" i="392" s="1"/>
  <c r="T13" i="392"/>
  <c r="U13" i="392" s="1"/>
  <c r="V13" i="392" s="1"/>
  <c r="F21" i="392"/>
  <c r="P7" i="392"/>
  <c r="P9" i="392"/>
  <c r="T11" i="392"/>
  <c r="U11" i="392" s="1"/>
  <c r="V11" i="392" s="1"/>
  <c r="M11" i="392"/>
  <c r="P18" i="392"/>
  <c r="P12" i="392"/>
  <c r="P14" i="392"/>
  <c r="M16" i="392"/>
  <c r="O16" i="392" s="1"/>
  <c r="A8" i="392"/>
  <c r="A9" i="392" s="1"/>
  <c r="A10" i="392" s="1"/>
  <c r="A11" i="392" s="1"/>
  <c r="A12" i="392" s="1"/>
  <c r="A13" i="392" s="1"/>
  <c r="A14" i="392" s="1"/>
  <c r="A15" i="392" s="1"/>
  <c r="A16" i="392" s="1"/>
  <c r="A17" i="392" s="1"/>
  <c r="A18" i="392" s="1"/>
  <c r="A19" i="392" s="1"/>
  <c r="O11" i="392"/>
  <c r="A20" i="392"/>
  <c r="K20" i="392"/>
  <c r="L21" i="392" s="1"/>
  <c r="P21" i="392" s="1"/>
  <c r="M19" i="391"/>
  <c r="T19" i="391" s="1"/>
  <c r="U19" i="391" s="1"/>
  <c r="W19" i="391" s="1"/>
  <c r="P25" i="391"/>
  <c r="M8" i="391"/>
  <c r="O8" i="391" s="1"/>
  <c r="T8" i="391"/>
  <c r="U8" i="391" s="1"/>
  <c r="W8" i="391" s="1"/>
  <c r="M11" i="391"/>
  <c r="M12" i="391" s="1"/>
  <c r="P22" i="391"/>
  <c r="T22" i="391" s="1"/>
  <c r="U22" i="391" s="1"/>
  <c r="V22" i="391" s="1"/>
  <c r="V23" i="391" s="1"/>
  <c r="O22" i="391"/>
  <c r="P26" i="391"/>
  <c r="M14" i="391"/>
  <c r="M6" i="391"/>
  <c r="P20" i="391"/>
  <c r="P27" i="391"/>
  <c r="P17" i="391"/>
  <c r="M18" i="391"/>
  <c r="O18" i="391" s="1"/>
  <c r="M21" i="391"/>
  <c r="O21" i="391" s="1"/>
  <c r="F11" i="391"/>
  <c r="F12" i="391" s="1"/>
  <c r="F29" i="391" s="1"/>
  <c r="O19" i="391"/>
  <c r="M23" i="390"/>
  <c r="T23" i="390" s="1"/>
  <c r="U23" i="390" s="1"/>
  <c r="V23" i="390" s="1"/>
  <c r="P22" i="390"/>
  <c r="P24" i="390" s="1"/>
  <c r="P13" i="390"/>
  <c r="O7" i="390"/>
  <c r="L16" i="390"/>
  <c r="L17" i="390" s="1"/>
  <c r="U19" i="390"/>
  <c r="T7" i="390"/>
  <c r="U7" i="390" s="1"/>
  <c r="V7" i="390" s="1"/>
  <c r="A12" i="389"/>
  <c r="A134" i="389" s="1"/>
  <c r="A137" i="389" s="1"/>
  <c r="F13" i="389"/>
  <c r="L13" i="389"/>
  <c r="P13" i="389" s="1"/>
  <c r="P7" i="389"/>
  <c r="P10" i="389"/>
  <c r="P11" i="389" s="1"/>
  <c r="P7" i="388"/>
  <c r="M15" i="388"/>
  <c r="T15" i="388" s="1"/>
  <c r="U15" i="388" s="1"/>
  <c r="V15" i="388" s="1"/>
  <c r="M11" i="388"/>
  <c r="O11" i="388" s="1"/>
  <c r="M13" i="388"/>
  <c r="T13" i="388" s="1"/>
  <c r="U13" i="388" s="1"/>
  <c r="V13" i="388" s="1"/>
  <c r="O6" i="388"/>
  <c r="M6" i="388"/>
  <c r="T6" i="388"/>
  <c r="U6" i="388" s="1"/>
  <c r="W6" i="388" s="1"/>
  <c r="O8" i="388"/>
  <c r="M12" i="388"/>
  <c r="T12" i="388" s="1"/>
  <c r="U12" i="388" s="1"/>
  <c r="W12" i="388" s="1"/>
  <c r="M8" i="388"/>
  <c r="T8" i="388"/>
  <c r="U8" i="388" s="1"/>
  <c r="W8" i="388" s="1"/>
  <c r="P10" i="388"/>
  <c r="P14" i="388"/>
  <c r="L17" i="388"/>
  <c r="P17" i="388" s="1"/>
  <c r="L9" i="388"/>
  <c r="P9" i="388" s="1"/>
  <c r="F8" i="388"/>
  <c r="D16" i="388"/>
  <c r="F6" i="388"/>
  <c r="O13" i="388"/>
  <c r="O15" i="388"/>
  <c r="A9" i="388"/>
  <c r="A10" i="388" s="1"/>
  <c r="A11" i="388" s="1"/>
  <c r="A12" i="388" s="1"/>
  <c r="A13" i="388" s="1"/>
  <c r="A14" i="388" s="1"/>
  <c r="A15" i="388" s="1"/>
  <c r="M5" i="388"/>
  <c r="T5" i="388" s="1"/>
  <c r="L5" i="387"/>
  <c r="K17" i="387"/>
  <c r="M8" i="387"/>
  <c r="O8" i="387" s="1"/>
  <c r="T8" i="387"/>
  <c r="U8" i="387" s="1"/>
  <c r="W8" i="387" s="1"/>
  <c r="M6" i="387"/>
  <c r="O6" i="387" s="1"/>
  <c r="M16" i="387"/>
  <c r="O16" i="387" s="1"/>
  <c r="M12" i="387"/>
  <c r="O12" i="387" s="1"/>
  <c r="O13" i="387"/>
  <c r="T13" i="387"/>
  <c r="U13" i="387" s="1"/>
  <c r="W13" i="387" s="1"/>
  <c r="O9" i="387"/>
  <c r="M10" i="387"/>
  <c r="O10" i="387" s="1"/>
  <c r="M7" i="387"/>
  <c r="O7" i="387" s="1"/>
  <c r="M14" i="387"/>
  <c r="O14" i="387" s="1"/>
  <c r="L18" i="387"/>
  <c r="P18" i="387" s="1"/>
  <c r="M11" i="387"/>
  <c r="O11" i="387" s="1"/>
  <c r="T11" i="387"/>
  <c r="U11" i="387" s="1"/>
  <c r="W11" i="387" s="1"/>
  <c r="F7" i="387"/>
  <c r="F9" i="387"/>
  <c r="T9" i="387"/>
  <c r="U9" i="387" s="1"/>
  <c r="W9" i="387" s="1"/>
  <c r="T15" i="387"/>
  <c r="U15" i="387" s="1"/>
  <c r="W15" i="387" s="1"/>
  <c r="A17" i="387"/>
  <c r="A129" i="387" s="1"/>
  <c r="A132" i="387" s="1"/>
  <c r="D17" i="387"/>
  <c r="F5" i="387"/>
  <c r="M35" i="386"/>
  <c r="O35" i="386" s="1"/>
  <c r="M79" i="386"/>
  <c r="T79" i="386" s="1"/>
  <c r="U79" i="386" s="1"/>
  <c r="W79" i="386" s="1"/>
  <c r="M51" i="386"/>
  <c r="T51" i="386" s="1"/>
  <c r="U51" i="386" s="1"/>
  <c r="W51" i="386" s="1"/>
  <c r="M74" i="386"/>
  <c r="T74" i="386" s="1"/>
  <c r="U74" i="386" s="1"/>
  <c r="W74" i="386" s="1"/>
  <c r="O80" i="386"/>
  <c r="T56" i="386"/>
  <c r="U56" i="386" s="1"/>
  <c r="W56" i="386" s="1"/>
  <c r="O139" i="386"/>
  <c r="T41" i="386"/>
  <c r="U41" i="386" s="1"/>
  <c r="W41" i="386" s="1"/>
  <c r="M108" i="386"/>
  <c r="T108" i="386" s="1"/>
  <c r="U108" i="386" s="1"/>
  <c r="W108" i="386" s="1"/>
  <c r="M11" i="386"/>
  <c r="M57" i="386"/>
  <c r="O57" i="386" s="1"/>
  <c r="M20" i="386"/>
  <c r="T20" i="386" s="1"/>
  <c r="U20" i="386" s="1"/>
  <c r="W20" i="386" s="1"/>
  <c r="P117" i="386"/>
  <c r="M21" i="386"/>
  <c r="T21" i="386"/>
  <c r="U21" i="386" s="1"/>
  <c r="W21" i="386" s="1"/>
  <c r="P71" i="386"/>
  <c r="M30" i="386"/>
  <c r="O30" i="386" s="1"/>
  <c r="P77" i="386"/>
  <c r="M47" i="386"/>
  <c r="T47" i="386"/>
  <c r="U47" i="386" s="1"/>
  <c r="W47" i="386" s="1"/>
  <c r="M116" i="386"/>
  <c r="T116" i="386" s="1"/>
  <c r="U116" i="386" s="1"/>
  <c r="W116" i="386" s="1"/>
  <c r="M40" i="386"/>
  <c r="O40" i="386" s="1"/>
  <c r="P78" i="386"/>
  <c r="P107" i="386"/>
  <c r="P133" i="386"/>
  <c r="M37" i="386"/>
  <c r="T37" i="386" s="1"/>
  <c r="U37" i="386" s="1"/>
  <c r="W37" i="386" s="1"/>
  <c r="P72" i="386"/>
  <c r="P121" i="386"/>
  <c r="M75" i="386"/>
  <c r="T75" i="386" s="1"/>
  <c r="U75" i="386" s="1"/>
  <c r="W75" i="386" s="1"/>
  <c r="M73" i="386"/>
  <c r="T73" i="386" s="1"/>
  <c r="U73" i="386" s="1"/>
  <c r="W73" i="386" s="1"/>
  <c r="P13" i="386"/>
  <c r="M125" i="386"/>
  <c r="T125" i="386" s="1"/>
  <c r="U125" i="386" s="1"/>
  <c r="W125" i="386" s="1"/>
  <c r="M46" i="386"/>
  <c r="T46" i="386" s="1"/>
  <c r="U46" i="386" s="1"/>
  <c r="W46" i="386" s="1"/>
  <c r="M127" i="386"/>
  <c r="O127" i="386" s="1"/>
  <c r="T127" i="386"/>
  <c r="U127" i="386" s="1"/>
  <c r="W127" i="386" s="1"/>
  <c r="P69" i="386"/>
  <c r="O21" i="386"/>
  <c r="M76" i="386"/>
  <c r="O76" i="386" s="1"/>
  <c r="P63" i="386"/>
  <c r="P64" i="386" s="1"/>
  <c r="P70" i="386"/>
  <c r="P36" i="386"/>
  <c r="M12" i="386"/>
  <c r="T12" i="386" s="1"/>
  <c r="U12" i="386" s="1"/>
  <c r="W12" i="386" s="1"/>
  <c r="M39" i="386"/>
  <c r="T39" i="386" s="1"/>
  <c r="U39" i="386" s="1"/>
  <c r="W39" i="386" s="1"/>
  <c r="P38" i="386"/>
  <c r="M83" i="386"/>
  <c r="T83" i="386" s="1"/>
  <c r="U83" i="386" s="1"/>
  <c r="W83" i="386" s="1"/>
  <c r="F42" i="386"/>
  <c r="O42" i="386"/>
  <c r="T86" i="386"/>
  <c r="U86" i="386" s="1"/>
  <c r="W86" i="386" s="1"/>
  <c r="M86" i="386"/>
  <c r="O86" i="386" s="1"/>
  <c r="P91" i="386"/>
  <c r="M24" i="386"/>
  <c r="T24" i="386" s="1"/>
  <c r="U24" i="386" s="1"/>
  <c r="W24" i="386" s="1"/>
  <c r="P106" i="386"/>
  <c r="T104" i="386"/>
  <c r="U104" i="386" s="1"/>
  <c r="W104" i="386" s="1"/>
  <c r="P82" i="386"/>
  <c r="O116" i="386"/>
  <c r="F40" i="386"/>
  <c r="F21" i="386"/>
  <c r="O48" i="386"/>
  <c r="M92" i="386"/>
  <c r="O92" i="386" s="1"/>
  <c r="M52" i="386"/>
  <c r="O52" i="386" s="1"/>
  <c r="P54" i="386"/>
  <c r="M28" i="386"/>
  <c r="T28" i="386" s="1"/>
  <c r="U28" i="386" s="1"/>
  <c r="W28" i="386" s="1"/>
  <c r="M22" i="386"/>
  <c r="T22" i="386" s="1"/>
  <c r="U22" i="386" s="1"/>
  <c r="W22" i="386" s="1"/>
  <c r="M85" i="386"/>
  <c r="O85" i="386" s="1"/>
  <c r="P23" i="386"/>
  <c r="P94" i="386"/>
  <c r="T11" i="386"/>
  <c r="U11" i="386" s="1"/>
  <c r="W11" i="386" s="1"/>
  <c r="F26" i="386"/>
  <c r="P134" i="386"/>
  <c r="T31" i="386"/>
  <c r="U31" i="386" s="1"/>
  <c r="W31" i="386" s="1"/>
  <c r="M32" i="386"/>
  <c r="T32" i="386" s="1"/>
  <c r="U32" i="386" s="1"/>
  <c r="W32" i="386" s="1"/>
  <c r="P135" i="386"/>
  <c r="T136" i="386"/>
  <c r="U136" i="386" s="1"/>
  <c r="W136" i="386" s="1"/>
  <c r="P33" i="386"/>
  <c r="M126" i="386"/>
  <c r="O126" i="386" s="1"/>
  <c r="M115" i="386"/>
  <c r="O115" i="386" s="1"/>
  <c r="O20" i="386"/>
  <c r="O125" i="386"/>
  <c r="M88" i="386"/>
  <c r="O88" i="386" s="1"/>
  <c r="M50" i="386"/>
  <c r="T50" i="386" s="1"/>
  <c r="U50" i="386" s="1"/>
  <c r="W50" i="386" s="1"/>
  <c r="M109" i="386"/>
  <c r="O109" i="386" s="1"/>
  <c r="P96" i="386"/>
  <c r="F128" i="386"/>
  <c r="F129" i="386" s="1"/>
  <c r="D15" i="97" s="1"/>
  <c r="M137" i="386"/>
  <c r="O137" i="386" s="1"/>
  <c r="M105" i="386"/>
  <c r="T105" i="386" s="1"/>
  <c r="U105" i="386" s="1"/>
  <c r="W105" i="386" s="1"/>
  <c r="P60" i="386"/>
  <c r="K16" i="386"/>
  <c r="L81" i="386"/>
  <c r="P81" i="386" s="1"/>
  <c r="T42" i="386"/>
  <c r="U42" i="386" s="1"/>
  <c r="W42" i="386" s="1"/>
  <c r="O11" i="386"/>
  <c r="M53" i="386"/>
  <c r="O53" i="386" s="1"/>
  <c r="M26" i="386"/>
  <c r="T26" i="386" s="1"/>
  <c r="U26" i="386" s="1"/>
  <c r="W26" i="386" s="1"/>
  <c r="P59" i="386"/>
  <c r="T139" i="386"/>
  <c r="U139" i="386" s="1"/>
  <c r="W139" i="386" s="1"/>
  <c r="M58" i="386"/>
  <c r="O58" i="386" s="1"/>
  <c r="O73" i="386"/>
  <c r="O47" i="386"/>
  <c r="M84" i="386"/>
  <c r="O84" i="386" s="1"/>
  <c r="P90" i="386"/>
  <c r="P10" i="386"/>
  <c r="P55" i="386"/>
  <c r="T95" i="386"/>
  <c r="U95" i="386" s="1"/>
  <c r="W95" i="386" s="1"/>
  <c r="P98" i="386"/>
  <c r="M128" i="386"/>
  <c r="O128" i="386" s="1"/>
  <c r="M27" i="386"/>
  <c r="T27" i="386"/>
  <c r="P34" i="386"/>
  <c r="O105" i="386"/>
  <c r="P89" i="386"/>
  <c r="F12" i="386"/>
  <c r="F14" i="386" s="1"/>
  <c r="O83" i="386"/>
  <c r="M49" i="386"/>
  <c r="T49" i="386" s="1"/>
  <c r="U49" i="386" s="1"/>
  <c r="W49" i="386" s="1"/>
  <c r="M87" i="386"/>
  <c r="O87" i="386" s="1"/>
  <c r="M93" i="386"/>
  <c r="O93" i="386" s="1"/>
  <c r="P25" i="386"/>
  <c r="O95" i="386"/>
  <c r="P97" i="386"/>
  <c r="M110" i="386"/>
  <c r="O110" i="386" s="1"/>
  <c r="P99" i="386"/>
  <c r="P111" i="386"/>
  <c r="U27" i="386"/>
  <c r="W27" i="386" s="1"/>
  <c r="M29" i="386"/>
  <c r="T29" i="386"/>
  <c r="U29" i="386" s="1"/>
  <c r="W29" i="386" s="1"/>
  <c r="O104" i="386"/>
  <c r="O136" i="386"/>
  <c r="O27" i="386"/>
  <c r="O29" i="386"/>
  <c r="O31" i="386"/>
  <c r="O41" i="386"/>
  <c r="O51" i="386"/>
  <c r="O56" i="386"/>
  <c r="L110" i="385"/>
  <c r="N13" i="385"/>
  <c r="G110" i="385"/>
  <c r="E11" i="97" s="1"/>
  <c r="S114" i="385"/>
  <c r="D110" i="385"/>
  <c r="S129" i="385"/>
  <c r="S13" i="385"/>
  <c r="N131" i="385"/>
  <c r="L12" i="97" s="1"/>
  <c r="M31" i="385"/>
  <c r="T31" i="385" s="1"/>
  <c r="U31" i="385" s="1"/>
  <c r="V31" i="385" s="1"/>
  <c r="P115" i="385"/>
  <c r="M115" i="385" s="1"/>
  <c r="T115" i="385" s="1"/>
  <c r="U115" i="385" s="1"/>
  <c r="V115" i="385" s="1"/>
  <c r="P92" i="385"/>
  <c r="O55" i="385"/>
  <c r="N68" i="385"/>
  <c r="N110" i="385"/>
  <c r="L11" i="97" s="1"/>
  <c r="G68" i="385"/>
  <c r="E8" i="97" s="1"/>
  <c r="M99" i="385"/>
  <c r="X2" i="385"/>
  <c r="S68" i="385"/>
  <c r="Q8" i="97" s="1"/>
  <c r="K75" i="385"/>
  <c r="L75" i="385" s="1"/>
  <c r="L76" i="385" s="1"/>
  <c r="L13" i="385"/>
  <c r="S110" i="385"/>
  <c r="Q11" i="97" s="1"/>
  <c r="N144" i="385"/>
  <c r="L14" i="97" s="1"/>
  <c r="L146" i="385"/>
  <c r="L147" i="385" s="1"/>
  <c r="M50" i="385"/>
  <c r="D73" i="385"/>
  <c r="B9" i="97" s="1"/>
  <c r="D144" i="385"/>
  <c r="B14" i="97" s="1"/>
  <c r="K118" i="385"/>
  <c r="L118" i="385" s="1"/>
  <c r="P118" i="385" s="1"/>
  <c r="M118" i="385" s="1"/>
  <c r="O118" i="385" s="1"/>
  <c r="S73" i="385"/>
  <c r="Q9" i="97" s="1"/>
  <c r="P61" i="385"/>
  <c r="M61" i="385" s="1"/>
  <c r="T61" i="385" s="1"/>
  <c r="U61" i="385" s="1"/>
  <c r="V61" i="385" s="1"/>
  <c r="F112" i="385"/>
  <c r="F131" i="385" s="1"/>
  <c r="AA110" i="385"/>
  <c r="Y11" i="97" s="1"/>
  <c r="S144" i="385"/>
  <c r="J68" i="385"/>
  <c r="H8" i="97" s="1"/>
  <c r="M82" i="385"/>
  <c r="O82" i="385" s="1"/>
  <c r="O65" i="385"/>
  <c r="K68" i="385"/>
  <c r="F73" i="385"/>
  <c r="D9" i="97" s="1"/>
  <c r="S131" i="385"/>
  <c r="Q12" i="97" s="1"/>
  <c r="P141" i="385"/>
  <c r="M141" i="385" s="1"/>
  <c r="L144" i="385"/>
  <c r="P114" i="385"/>
  <c r="D131" i="385"/>
  <c r="B12" i="97" s="1"/>
  <c r="K70" i="385"/>
  <c r="P78" i="385"/>
  <c r="M78" i="385" s="1"/>
  <c r="F10" i="385"/>
  <c r="O54" i="385"/>
  <c r="K13" i="385"/>
  <c r="K76" i="385"/>
  <c r="K110" i="385"/>
  <c r="K144" i="385"/>
  <c r="I14" i="97" s="1"/>
  <c r="K150" i="385"/>
  <c r="M140" i="385"/>
  <c r="O140" i="385" s="1"/>
  <c r="S133" i="385"/>
  <c r="S135" i="385" s="1"/>
  <c r="Q13" i="97" s="1"/>
  <c r="J13" i="385"/>
  <c r="J151" i="385" s="1"/>
  <c r="O102" i="385"/>
  <c r="I13" i="385"/>
  <c r="I151" i="385" s="1"/>
  <c r="Q68" i="385"/>
  <c r="O8" i="97" s="1"/>
  <c r="Q110" i="385"/>
  <c r="O11" i="97" s="1"/>
  <c r="AA133" i="385"/>
  <c r="AA135" i="385" s="1"/>
  <c r="Y13" i="97" s="1"/>
  <c r="F65" i="385"/>
  <c r="P112" i="385"/>
  <c r="M112" i="385" s="1"/>
  <c r="M120" i="385"/>
  <c r="O120" i="385" s="1"/>
  <c r="F61" i="385"/>
  <c r="M119" i="385"/>
  <c r="O119" i="385" s="1"/>
  <c r="M35" i="385"/>
  <c r="O35" i="385" s="1"/>
  <c r="P133" i="385"/>
  <c r="P106" i="385"/>
  <c r="M106" i="385" s="1"/>
  <c r="T106" i="385" s="1"/>
  <c r="U106" i="385" s="1"/>
  <c r="V106" i="385" s="1"/>
  <c r="U6" i="385"/>
  <c r="O46" i="385"/>
  <c r="O60" i="385"/>
  <c r="T124" i="385"/>
  <c r="U124" i="385" s="1"/>
  <c r="V124" i="385" s="1"/>
  <c r="P107" i="385"/>
  <c r="O28" i="385"/>
  <c r="M123" i="385"/>
  <c r="T123" i="385" s="1"/>
  <c r="U123" i="385" s="1"/>
  <c r="V123" i="385" s="1"/>
  <c r="P90" i="385"/>
  <c r="M90" i="385" s="1"/>
  <c r="O90" i="385" s="1"/>
  <c r="P83" i="385"/>
  <c r="P128" i="385"/>
  <c r="M128" i="385" s="1"/>
  <c r="M39" i="385"/>
  <c r="O39" i="385" s="1"/>
  <c r="M125" i="385"/>
  <c r="T125" i="385" s="1"/>
  <c r="U125" i="385" s="1"/>
  <c r="V125" i="385" s="1"/>
  <c r="P17" i="385"/>
  <c r="M26" i="385"/>
  <c r="T26" i="385" s="1"/>
  <c r="U26" i="385" s="1"/>
  <c r="V26" i="385" s="1"/>
  <c r="M83" i="385"/>
  <c r="O83" i="385" s="1"/>
  <c r="P41" i="385"/>
  <c r="P21" i="385"/>
  <c r="P8" i="385"/>
  <c r="M34" i="385"/>
  <c r="O34" i="385" s="1"/>
  <c r="P81" i="385"/>
  <c r="M63" i="385"/>
  <c r="O63" i="385" s="1"/>
  <c r="P23" i="385"/>
  <c r="M114" i="385"/>
  <c r="O114" i="385" s="1"/>
  <c r="M37" i="385"/>
  <c r="T37" i="385" s="1"/>
  <c r="U37" i="385" s="1"/>
  <c r="V37" i="385" s="1"/>
  <c r="P71" i="385"/>
  <c r="P18" i="385"/>
  <c r="P22" i="385"/>
  <c r="P137" i="385"/>
  <c r="P138" i="385" s="1"/>
  <c r="M85" i="385"/>
  <c r="O85" i="385" s="1"/>
  <c r="P44" i="385"/>
  <c r="M20" i="385"/>
  <c r="T20" i="385" s="1"/>
  <c r="U20" i="385" s="1"/>
  <c r="V20" i="385" s="1"/>
  <c r="P7" i="385"/>
  <c r="M9" i="385"/>
  <c r="T9" i="385" s="1"/>
  <c r="U9" i="385" s="1"/>
  <c r="V9" i="385" s="1"/>
  <c r="M40" i="385"/>
  <c r="T40" i="385" s="1"/>
  <c r="U40" i="385" s="1"/>
  <c r="V40" i="385" s="1"/>
  <c r="P16" i="385"/>
  <c r="P122" i="385"/>
  <c r="M79" i="385"/>
  <c r="T79" i="385" s="1"/>
  <c r="U79" i="385" s="1"/>
  <c r="V79" i="385" s="1"/>
  <c r="P43" i="385"/>
  <c r="P19" i="385"/>
  <c r="P121" i="385"/>
  <c r="M30" i="385"/>
  <c r="T30" i="385" s="1"/>
  <c r="U30" i="385" s="1"/>
  <c r="V30" i="385" s="1"/>
  <c r="M36" i="385"/>
  <c r="T36" i="385" s="1"/>
  <c r="U36" i="385" s="1"/>
  <c r="V36" i="385" s="1"/>
  <c r="O25" i="385"/>
  <c r="T25" i="385"/>
  <c r="U25" i="385" s="1"/>
  <c r="V25" i="385" s="1"/>
  <c r="T27" i="385"/>
  <c r="U27" i="385" s="1"/>
  <c r="V27" i="385" s="1"/>
  <c r="F30" i="385"/>
  <c r="M38" i="385"/>
  <c r="O38" i="385" s="1"/>
  <c r="P47" i="385"/>
  <c r="L56" i="385"/>
  <c r="P89" i="385"/>
  <c r="P93" i="385"/>
  <c r="M96" i="385"/>
  <c r="O96" i="385" s="1"/>
  <c r="M105" i="385"/>
  <c r="T105" i="385" s="1"/>
  <c r="U105" i="385" s="1"/>
  <c r="V105" i="385" s="1"/>
  <c r="F26" i="385"/>
  <c r="O29" i="385"/>
  <c r="M62" i="385"/>
  <c r="T62" i="385" s="1"/>
  <c r="U62" i="385" s="1"/>
  <c r="V62" i="385" s="1"/>
  <c r="F85" i="385"/>
  <c r="M64" i="385"/>
  <c r="T64" i="385" s="1"/>
  <c r="U64" i="385" s="1"/>
  <c r="V64" i="385" s="1"/>
  <c r="P57" i="385"/>
  <c r="O24" i="385"/>
  <c r="O6" i="385"/>
  <c r="T120" i="385"/>
  <c r="U120" i="385" s="1"/>
  <c r="V120" i="385" s="1"/>
  <c r="P32" i="385"/>
  <c r="F34" i="385"/>
  <c r="T39" i="385"/>
  <c r="U39" i="385" s="1"/>
  <c r="V39" i="385" s="1"/>
  <c r="P88" i="385"/>
  <c r="P53" i="385"/>
  <c r="M104" i="385"/>
  <c r="T104" i="385" s="1"/>
  <c r="U104" i="385" s="1"/>
  <c r="V104" i="385" s="1"/>
  <c r="T82" i="385"/>
  <c r="U82" i="385" s="1"/>
  <c r="V82" i="385" s="1"/>
  <c r="P113" i="385"/>
  <c r="L15" i="385"/>
  <c r="L68" i="385" s="1"/>
  <c r="T24" i="385"/>
  <c r="U24" i="385" s="1"/>
  <c r="V24" i="385" s="1"/>
  <c r="F86" i="385"/>
  <c r="F64" i="385"/>
  <c r="M59" i="385"/>
  <c r="T59" i="385" s="1"/>
  <c r="U59" i="385" s="1"/>
  <c r="V59" i="385" s="1"/>
  <c r="P12" i="385"/>
  <c r="P52" i="385"/>
  <c r="M108" i="385"/>
  <c r="O108" i="385" s="1"/>
  <c r="T119" i="385"/>
  <c r="U119" i="385" s="1"/>
  <c r="V119" i="385" s="1"/>
  <c r="M80" i="385"/>
  <c r="O80" i="385" s="1"/>
  <c r="O37" i="385"/>
  <c r="F37" i="385"/>
  <c r="P84" i="385"/>
  <c r="M86" i="385"/>
  <c r="T86" i="385" s="1"/>
  <c r="U86" i="385" s="1"/>
  <c r="V86" i="385" s="1"/>
  <c r="P45" i="385"/>
  <c r="M48" i="385"/>
  <c r="O48" i="385" s="1"/>
  <c r="M94" i="385"/>
  <c r="O94" i="385" s="1"/>
  <c r="T94" i="385"/>
  <c r="U94" i="385" s="1"/>
  <c r="V94" i="385" s="1"/>
  <c r="P11" i="385"/>
  <c r="P149" i="385"/>
  <c r="P150" i="385" s="1"/>
  <c r="O36" i="385"/>
  <c r="F9" i="385"/>
  <c r="F13" i="385" s="1"/>
  <c r="P42" i="385"/>
  <c r="T46" i="385"/>
  <c r="U46" i="385" s="1"/>
  <c r="V46" i="385" s="1"/>
  <c r="T141" i="385"/>
  <c r="U141" i="385" s="1"/>
  <c r="V141" i="385" s="1"/>
  <c r="P116" i="385"/>
  <c r="M142" i="385"/>
  <c r="O142" i="385" s="1"/>
  <c r="M98" i="385"/>
  <c r="T98" i="385" s="1"/>
  <c r="U98" i="385" s="1"/>
  <c r="V98" i="385" s="1"/>
  <c r="P129" i="385"/>
  <c r="M51" i="385"/>
  <c r="O51" i="385" s="1"/>
  <c r="P67" i="385"/>
  <c r="M109" i="385"/>
  <c r="O109" i="385" s="1"/>
  <c r="P126" i="385"/>
  <c r="M92" i="385"/>
  <c r="O92" i="385" s="1"/>
  <c r="M127" i="385"/>
  <c r="T127" i="385" s="1"/>
  <c r="U127" i="385" s="1"/>
  <c r="V127" i="385" s="1"/>
  <c r="P100" i="385"/>
  <c r="P134" i="385"/>
  <c r="O103" i="385"/>
  <c r="P95" i="385"/>
  <c r="P117" i="385"/>
  <c r="P72" i="385"/>
  <c r="P130" i="385"/>
  <c r="P66" i="385"/>
  <c r="P58" i="385"/>
  <c r="P49" i="385"/>
  <c r="P143" i="385"/>
  <c r="M91" i="385"/>
  <c r="O91" i="385" s="1"/>
  <c r="T50" i="385"/>
  <c r="U50" i="385" s="1"/>
  <c r="V50" i="385" s="1"/>
  <c r="M97" i="385"/>
  <c r="O97" i="385" s="1"/>
  <c r="T99" i="385"/>
  <c r="U99" i="385" s="1"/>
  <c r="V99" i="385" s="1"/>
  <c r="T60" i="385"/>
  <c r="U60" i="385" s="1"/>
  <c r="V60" i="385" s="1"/>
  <c r="O99" i="385"/>
  <c r="T103" i="385"/>
  <c r="U103" i="385" s="1"/>
  <c r="V103" i="385" s="1"/>
  <c r="O141" i="385"/>
  <c r="O50" i="385"/>
  <c r="F98" i="385"/>
  <c r="F103" i="385"/>
  <c r="O104" i="385"/>
  <c r="I66" i="384"/>
  <c r="G8" i="97" s="1"/>
  <c r="M13" i="384"/>
  <c r="M68" i="384"/>
  <c r="M69" i="384" s="1"/>
  <c r="M16" i="384"/>
  <c r="M44" i="384"/>
  <c r="T44" i="384" s="1"/>
  <c r="U44" i="384" s="1"/>
  <c r="V44" i="384" s="1"/>
  <c r="L69" i="384"/>
  <c r="M47" i="384"/>
  <c r="T47" i="384" s="1"/>
  <c r="U47" i="384" s="1"/>
  <c r="V47" i="384" s="1"/>
  <c r="N37" i="384"/>
  <c r="M9" i="384"/>
  <c r="O9" i="384" s="1"/>
  <c r="M19" i="384"/>
  <c r="T19" i="384" s="1"/>
  <c r="U19" i="384" s="1"/>
  <c r="V19" i="384" s="1"/>
  <c r="D37" i="384"/>
  <c r="S37" i="384"/>
  <c r="Q7" i="97" s="1"/>
  <c r="M25" i="384"/>
  <c r="O25" i="384" s="1"/>
  <c r="J37" i="384"/>
  <c r="I37" i="384"/>
  <c r="G7" i="97" s="1"/>
  <c r="P20" i="384"/>
  <c r="M43" i="384"/>
  <c r="T43" i="384" s="1"/>
  <c r="U43" i="384" s="1"/>
  <c r="V43" i="384" s="1"/>
  <c r="T23" i="384"/>
  <c r="U23" i="384" s="1"/>
  <c r="V23" i="384" s="1"/>
  <c r="P7" i="384"/>
  <c r="M8" i="384"/>
  <c r="T8" i="384" s="1"/>
  <c r="U8" i="384" s="1"/>
  <c r="V8" i="384" s="1"/>
  <c r="P62" i="384"/>
  <c r="F39" i="384"/>
  <c r="O68" i="384"/>
  <c r="O69" i="384" s="1"/>
  <c r="M45" i="384"/>
  <c r="T45" i="384" s="1"/>
  <c r="U45" i="384" s="1"/>
  <c r="V45" i="384" s="1"/>
  <c r="M30" i="384"/>
  <c r="T30" i="384" s="1"/>
  <c r="U30" i="384" s="1"/>
  <c r="V30" i="384" s="1"/>
  <c r="M61" i="384"/>
  <c r="O61" i="384" s="1"/>
  <c r="F43" i="384"/>
  <c r="M12" i="384"/>
  <c r="T12" i="384" s="1"/>
  <c r="U12" i="384" s="1"/>
  <c r="V12" i="384" s="1"/>
  <c r="O13" i="384"/>
  <c r="M15" i="384"/>
  <c r="O15" i="384" s="1"/>
  <c r="M48" i="384"/>
  <c r="O48" i="384" s="1"/>
  <c r="P49" i="384"/>
  <c r="O23" i="384"/>
  <c r="M27" i="384"/>
  <c r="T27" i="384" s="1"/>
  <c r="U27" i="384" s="1"/>
  <c r="V27" i="384" s="1"/>
  <c r="P29" i="384"/>
  <c r="P56" i="384"/>
  <c r="P65" i="384"/>
  <c r="P33" i="384"/>
  <c r="F35" i="384"/>
  <c r="F37" i="384" s="1"/>
  <c r="D7" i="97" s="1"/>
  <c r="P60" i="384"/>
  <c r="P41" i="384"/>
  <c r="M14" i="384"/>
  <c r="O14" i="384" s="1"/>
  <c r="T16" i="384"/>
  <c r="U16" i="384" s="1"/>
  <c r="V16" i="384" s="1"/>
  <c r="P18" i="384"/>
  <c r="O47" i="384"/>
  <c r="P53" i="384"/>
  <c r="P57" i="384"/>
  <c r="F59" i="384"/>
  <c r="P51" i="384"/>
  <c r="M35" i="384"/>
  <c r="O35" i="384" s="1"/>
  <c r="P52" i="384"/>
  <c r="M59" i="384"/>
  <c r="O59" i="384" s="1"/>
  <c r="M21" i="384"/>
  <c r="T21" i="384" s="1"/>
  <c r="U21" i="384" s="1"/>
  <c r="V21" i="384" s="1"/>
  <c r="P24" i="384"/>
  <c r="M50" i="384"/>
  <c r="O50" i="384" s="1"/>
  <c r="P28" i="384"/>
  <c r="M64" i="384"/>
  <c r="O64" i="384" s="1"/>
  <c r="P58" i="384"/>
  <c r="L6" i="384"/>
  <c r="T10" i="384"/>
  <c r="U10" i="384" s="1"/>
  <c r="V10" i="384" s="1"/>
  <c r="P46" i="384"/>
  <c r="P54" i="384"/>
  <c r="P34" i="384"/>
  <c r="P36" i="384"/>
  <c r="P11" i="384"/>
  <c r="T68" i="384"/>
  <c r="K40" i="384"/>
  <c r="T13" i="384"/>
  <c r="U13" i="384" s="1"/>
  <c r="V13" i="384" s="1"/>
  <c r="P22" i="384"/>
  <c r="P55" i="384"/>
  <c r="M39" i="384"/>
  <c r="T39" i="384" s="1"/>
  <c r="P42" i="384"/>
  <c r="O16" i="384"/>
  <c r="O19" i="384"/>
  <c r="P26" i="384"/>
  <c r="P63" i="384"/>
  <c r="P71" i="384"/>
  <c r="P72" i="384" s="1"/>
  <c r="O12" i="384"/>
  <c r="K17" i="384"/>
  <c r="L17" i="384" s="1"/>
  <c r="P31" i="384"/>
  <c r="P32" i="384"/>
  <c r="D10" i="97" l="1"/>
  <c r="D18" i="97"/>
  <c r="P135" i="385"/>
  <c r="N13" i="97" s="1"/>
  <c r="O12" i="388"/>
  <c r="V19" i="390"/>
  <c r="V20" i="390" s="1"/>
  <c r="U20" i="390"/>
  <c r="O11" i="391"/>
  <c r="O12" i="391" s="1"/>
  <c r="P6" i="390"/>
  <c r="L10" i="390"/>
  <c r="L25" i="390" s="1"/>
  <c r="O11" i="393"/>
  <c r="O12" i="393" s="1"/>
  <c r="M12" i="393"/>
  <c r="T11" i="393"/>
  <c r="D29" i="391"/>
  <c r="F30" i="391" s="1"/>
  <c r="P6" i="386"/>
  <c r="L7" i="386"/>
  <c r="T100" i="386"/>
  <c r="U100" i="386" s="1"/>
  <c r="W100" i="386" s="1"/>
  <c r="O108" i="386"/>
  <c r="P103" i="386"/>
  <c r="P112" i="386" s="1"/>
  <c r="T85" i="386"/>
  <c r="U85" i="386" s="1"/>
  <c r="W85" i="386" s="1"/>
  <c r="P16" i="388"/>
  <c r="P18" i="388" s="1"/>
  <c r="A16" i="388"/>
  <c r="A129" i="388" s="1"/>
  <c r="A132" i="388" s="1"/>
  <c r="T11" i="388"/>
  <c r="U11" i="388" s="1"/>
  <c r="W11" i="388" s="1"/>
  <c r="P28" i="391"/>
  <c r="O16" i="394"/>
  <c r="O18" i="394" s="1"/>
  <c r="M18" i="394"/>
  <c r="O23" i="394"/>
  <c r="O25" i="394" s="1"/>
  <c r="M25" i="394"/>
  <c r="T7" i="393"/>
  <c r="M9" i="393"/>
  <c r="P19" i="386"/>
  <c r="L43" i="386"/>
  <c r="B8" i="97"/>
  <c r="P45" i="386"/>
  <c r="L61" i="386"/>
  <c r="P66" i="386"/>
  <c r="L67" i="386"/>
  <c r="J17" i="97" s="1"/>
  <c r="B7" i="97"/>
  <c r="T101" i="385"/>
  <c r="U101" i="385" s="1"/>
  <c r="V101" i="385" s="1"/>
  <c r="O10" i="385"/>
  <c r="O26" i="385"/>
  <c r="O31" i="385"/>
  <c r="Q14" i="97"/>
  <c r="O24" i="386"/>
  <c r="O12" i="386"/>
  <c r="O79" i="386"/>
  <c r="T76" i="386"/>
  <c r="U76" i="386" s="1"/>
  <c r="W76" i="386" s="1"/>
  <c r="O132" i="386"/>
  <c r="P6" i="389"/>
  <c r="P8" i="389" s="1"/>
  <c r="P12" i="389" s="1"/>
  <c r="O6" i="391"/>
  <c r="T20" i="394"/>
  <c r="T21" i="394" s="1"/>
  <c r="M21" i="394"/>
  <c r="O10" i="396"/>
  <c r="T89" i="397"/>
  <c r="U89" i="397" s="1"/>
  <c r="W89" i="397" s="1"/>
  <c r="T10" i="397"/>
  <c r="U10" i="397" s="1"/>
  <c r="W10" i="397" s="1"/>
  <c r="P9" i="394"/>
  <c r="L14" i="394"/>
  <c r="L26" i="394" s="1"/>
  <c r="L29" i="394" s="1"/>
  <c r="K25" i="390"/>
  <c r="L26" i="390" s="1"/>
  <c r="P26" i="390" s="1"/>
  <c r="S151" i="385"/>
  <c r="L8" i="97"/>
  <c r="P124" i="386"/>
  <c r="L129" i="386"/>
  <c r="J15" i="97" s="1"/>
  <c r="Q151" i="385"/>
  <c r="C11" i="97"/>
  <c r="N73" i="384"/>
  <c r="P131" i="386"/>
  <c r="L140" i="386"/>
  <c r="J18" i="97" s="1"/>
  <c r="F43" i="386"/>
  <c r="F141" i="386" s="1"/>
  <c r="D73" i="384"/>
  <c r="N151" i="385"/>
  <c r="J16" i="97"/>
  <c r="L16" i="386"/>
  <c r="L17" i="386" s="1"/>
  <c r="K17" i="386"/>
  <c r="P101" i="386"/>
  <c r="O14" i="393"/>
  <c r="O19" i="393" s="1"/>
  <c r="M19" i="393"/>
  <c r="M20" i="393" s="1"/>
  <c r="T21" i="393" s="1"/>
  <c r="O6" i="394"/>
  <c r="O7" i="394" s="1"/>
  <c r="M7" i="394"/>
  <c r="I73" i="384"/>
  <c r="P7" i="391"/>
  <c r="L9" i="391"/>
  <c r="O30" i="384"/>
  <c r="L7" i="97"/>
  <c r="I11" i="97"/>
  <c r="B11" i="97"/>
  <c r="O37" i="386"/>
  <c r="T10" i="387"/>
  <c r="U10" i="387" s="1"/>
  <c r="W10" i="387" s="1"/>
  <c r="F16" i="388"/>
  <c r="D12" i="97" s="1"/>
  <c r="B10" i="97"/>
  <c r="L29" i="391"/>
  <c r="F66" i="384"/>
  <c r="H7" i="97"/>
  <c r="O9" i="385"/>
  <c r="I18" i="97"/>
  <c r="O49" i="386"/>
  <c r="P114" i="386"/>
  <c r="P118" i="386" s="1"/>
  <c r="N16" i="97" s="1"/>
  <c r="O50" i="386"/>
  <c r="M12" i="390"/>
  <c r="P23" i="391"/>
  <c r="O14" i="391"/>
  <c r="O15" i="391" s="1"/>
  <c r="M15" i="391"/>
  <c r="T11" i="391"/>
  <c r="O7" i="393"/>
  <c r="O9" i="393" s="1"/>
  <c r="T6" i="394"/>
  <c r="T53" i="395"/>
  <c r="U53" i="395" s="1"/>
  <c r="V53" i="395" s="1"/>
  <c r="T27" i="395"/>
  <c r="U27" i="395" s="1"/>
  <c r="V27" i="395" s="1"/>
  <c r="T48" i="396"/>
  <c r="U48" i="396" s="1"/>
  <c r="V48" i="396" s="1"/>
  <c r="T7" i="396"/>
  <c r="U7" i="396" s="1"/>
  <c r="V7" i="396" s="1"/>
  <c r="T95" i="397"/>
  <c r="U95" i="397" s="1"/>
  <c r="W95" i="397" s="1"/>
  <c r="T102" i="397"/>
  <c r="U102" i="397" s="1"/>
  <c r="W102" i="397" s="1"/>
  <c r="T15" i="397"/>
  <c r="U15" i="397" s="1"/>
  <c r="W15" i="397" s="1"/>
  <c r="T97" i="397"/>
  <c r="U97" i="397" s="1"/>
  <c r="W97" i="397" s="1"/>
  <c r="T39" i="397"/>
  <c r="U39" i="397" s="1"/>
  <c r="W39" i="397" s="1"/>
  <c r="T63" i="397"/>
  <c r="U63" i="397" s="1"/>
  <c r="W63" i="397" s="1"/>
  <c r="T108" i="397"/>
  <c r="U108" i="397" s="1"/>
  <c r="W108" i="397" s="1"/>
  <c r="T12" i="397"/>
  <c r="U12" i="397" s="1"/>
  <c r="W12" i="397" s="1"/>
  <c r="T65" i="397"/>
  <c r="U65" i="397" s="1"/>
  <c r="W65" i="397" s="1"/>
  <c r="T71" i="397"/>
  <c r="U71" i="397" s="1"/>
  <c r="W71" i="397" s="1"/>
  <c r="F29" i="394"/>
  <c r="J73" i="384"/>
  <c r="P20" i="393"/>
  <c r="L101" i="386"/>
  <c r="J11" i="97" s="1"/>
  <c r="I6" i="97"/>
  <c r="K141" i="386"/>
  <c r="I15" i="97"/>
  <c r="S73" i="384"/>
  <c r="D151" i="385"/>
  <c r="P9" i="386"/>
  <c r="L14" i="386"/>
  <c r="J10" i="97" s="1"/>
  <c r="P120" i="386"/>
  <c r="L122" i="386"/>
  <c r="J14" i="97" s="1"/>
  <c r="T46" i="396"/>
  <c r="U46" i="396" s="1"/>
  <c r="V46" i="396" s="1"/>
  <c r="T126" i="396"/>
  <c r="U126" i="396" s="1"/>
  <c r="V126" i="396" s="1"/>
  <c r="T130" i="396"/>
  <c r="U130" i="396" s="1"/>
  <c r="V130" i="396" s="1"/>
  <c r="P117" i="396"/>
  <c r="T104" i="396"/>
  <c r="U104" i="396" s="1"/>
  <c r="V104" i="396" s="1"/>
  <c r="T91" i="396"/>
  <c r="U91" i="396" s="1"/>
  <c r="V91" i="396" s="1"/>
  <c r="T79" i="396"/>
  <c r="U79" i="396" s="1"/>
  <c r="V79" i="396" s="1"/>
  <c r="T87" i="396"/>
  <c r="U87" i="396" s="1"/>
  <c r="V87" i="396" s="1"/>
  <c r="T78" i="396"/>
  <c r="U78" i="396" s="1"/>
  <c r="V78" i="396" s="1"/>
  <c r="T124" i="396"/>
  <c r="U124" i="396" s="1"/>
  <c r="V124" i="396" s="1"/>
  <c r="T17" i="396"/>
  <c r="U17" i="396" s="1"/>
  <c r="V17" i="396" s="1"/>
  <c r="T73" i="396"/>
  <c r="U73" i="396" s="1"/>
  <c r="V73" i="396" s="1"/>
  <c r="T13" i="396"/>
  <c r="U13" i="396" s="1"/>
  <c r="V13" i="396" s="1"/>
  <c r="T83" i="396"/>
  <c r="U83" i="396" s="1"/>
  <c r="V83" i="396" s="1"/>
  <c r="T98" i="396"/>
  <c r="U98" i="396" s="1"/>
  <c r="V98" i="396" s="1"/>
  <c r="T108" i="396"/>
  <c r="U108" i="396" s="1"/>
  <c r="V108" i="396" s="1"/>
  <c r="T36" i="396"/>
  <c r="U36" i="396" s="1"/>
  <c r="V36" i="396" s="1"/>
  <c r="A132" i="396"/>
  <c r="T72" i="396"/>
  <c r="U72" i="396" s="1"/>
  <c r="V72" i="396" s="1"/>
  <c r="T131" i="396"/>
  <c r="U131" i="396" s="1"/>
  <c r="V131" i="396" s="1"/>
  <c r="T72" i="397"/>
  <c r="U72" i="397" s="1"/>
  <c r="W72" i="397" s="1"/>
  <c r="T57" i="397"/>
  <c r="U57" i="397" s="1"/>
  <c r="W57" i="397" s="1"/>
  <c r="T54" i="397"/>
  <c r="U54" i="397" s="1"/>
  <c r="W54" i="397" s="1"/>
  <c r="T48" i="397"/>
  <c r="U48" i="397" s="1"/>
  <c r="W48" i="397" s="1"/>
  <c r="T69" i="397"/>
  <c r="U69" i="397" s="1"/>
  <c r="W69" i="397" s="1"/>
  <c r="T17" i="397"/>
  <c r="U17" i="397" s="1"/>
  <c r="W17" i="397" s="1"/>
  <c r="T26" i="397"/>
  <c r="U26" i="397" s="1"/>
  <c r="W26" i="397" s="1"/>
  <c r="T45" i="397"/>
  <c r="U45" i="397" s="1"/>
  <c r="W45" i="397" s="1"/>
  <c r="T35" i="397"/>
  <c r="U35" i="397" s="1"/>
  <c r="W35" i="397" s="1"/>
  <c r="T34" i="397"/>
  <c r="U34" i="397" s="1"/>
  <c r="W34" i="397" s="1"/>
  <c r="T42" i="397"/>
  <c r="U42" i="397" s="1"/>
  <c r="W42" i="397" s="1"/>
  <c r="T47" i="397"/>
  <c r="U47" i="397" s="1"/>
  <c r="W47" i="397" s="1"/>
  <c r="T112" i="397"/>
  <c r="U112" i="397" s="1"/>
  <c r="W112" i="397" s="1"/>
  <c r="M115" i="397"/>
  <c r="O5" i="397"/>
  <c r="O115" i="397" s="1"/>
  <c r="T6" i="397"/>
  <c r="U6" i="397" s="1"/>
  <c r="W6" i="397" s="1"/>
  <c r="T38" i="397"/>
  <c r="U38" i="397" s="1"/>
  <c r="W38" i="397" s="1"/>
  <c r="T36" i="397"/>
  <c r="U36" i="397" s="1"/>
  <c r="W36" i="397" s="1"/>
  <c r="T25" i="397"/>
  <c r="U25" i="397" s="1"/>
  <c r="W25" i="397" s="1"/>
  <c r="T5" i="397"/>
  <c r="T101" i="397"/>
  <c r="U101" i="397" s="1"/>
  <c r="W101" i="397" s="1"/>
  <c r="T94" i="397"/>
  <c r="U94" i="397" s="1"/>
  <c r="W94" i="397" s="1"/>
  <c r="T62" i="397"/>
  <c r="U62" i="397" s="1"/>
  <c r="W62" i="397" s="1"/>
  <c r="T50" i="397"/>
  <c r="U50" i="397" s="1"/>
  <c r="W50" i="397" s="1"/>
  <c r="T27" i="397"/>
  <c r="U27" i="397" s="1"/>
  <c r="W27" i="397" s="1"/>
  <c r="T32" i="397"/>
  <c r="U32" i="397" s="1"/>
  <c r="W32" i="397" s="1"/>
  <c r="T33" i="397"/>
  <c r="U33" i="397" s="1"/>
  <c r="W33" i="397" s="1"/>
  <c r="T88" i="397"/>
  <c r="U88" i="397" s="1"/>
  <c r="W88" i="397" s="1"/>
  <c r="T110" i="397"/>
  <c r="U110" i="397" s="1"/>
  <c r="W110" i="397" s="1"/>
  <c r="T106" i="397"/>
  <c r="U106" i="397" s="1"/>
  <c r="W106" i="397" s="1"/>
  <c r="T103" i="397"/>
  <c r="U103" i="397" s="1"/>
  <c r="W103" i="397" s="1"/>
  <c r="P132" i="396"/>
  <c r="P133" i="396" s="1"/>
  <c r="M120" i="396"/>
  <c r="T120" i="396" s="1"/>
  <c r="T18" i="396"/>
  <c r="U18" i="396" s="1"/>
  <c r="V18" i="396" s="1"/>
  <c r="T31" i="396"/>
  <c r="U31" i="396" s="1"/>
  <c r="V31" i="396" s="1"/>
  <c r="T67" i="396"/>
  <c r="U67" i="396" s="1"/>
  <c r="V67" i="396" s="1"/>
  <c r="T70" i="396"/>
  <c r="U70" i="396" s="1"/>
  <c r="V70" i="396" s="1"/>
  <c r="T85" i="396"/>
  <c r="U85" i="396" s="1"/>
  <c r="V85" i="396" s="1"/>
  <c r="T12" i="396"/>
  <c r="U12" i="396" s="1"/>
  <c r="V12" i="396" s="1"/>
  <c r="T35" i="396"/>
  <c r="U35" i="396" s="1"/>
  <c r="V35" i="396" s="1"/>
  <c r="P134" i="396"/>
  <c r="T88" i="396"/>
  <c r="U88" i="396" s="1"/>
  <c r="V88" i="396" s="1"/>
  <c r="T77" i="396"/>
  <c r="U77" i="396" s="1"/>
  <c r="V77" i="396" s="1"/>
  <c r="T122" i="396"/>
  <c r="U122" i="396" s="1"/>
  <c r="V122" i="396" s="1"/>
  <c r="T112" i="396"/>
  <c r="U112" i="396" s="1"/>
  <c r="V112" i="396" s="1"/>
  <c r="T59" i="396"/>
  <c r="U59" i="396" s="1"/>
  <c r="V59" i="396" s="1"/>
  <c r="T128" i="396"/>
  <c r="U128" i="396" s="1"/>
  <c r="V128" i="396" s="1"/>
  <c r="T23" i="396"/>
  <c r="U23" i="396" s="1"/>
  <c r="V23" i="396" s="1"/>
  <c r="T33" i="396"/>
  <c r="U33" i="396" s="1"/>
  <c r="V33" i="396" s="1"/>
  <c r="T101" i="396"/>
  <c r="U101" i="396" s="1"/>
  <c r="V101" i="396" s="1"/>
  <c r="T111" i="396"/>
  <c r="U111" i="396" s="1"/>
  <c r="V111" i="396" s="1"/>
  <c r="T80" i="396"/>
  <c r="U80" i="396" s="1"/>
  <c r="V80" i="396" s="1"/>
  <c r="T71" i="396"/>
  <c r="U71" i="396" s="1"/>
  <c r="V71" i="396" s="1"/>
  <c r="T105" i="396"/>
  <c r="U105" i="396" s="1"/>
  <c r="V105" i="396" s="1"/>
  <c r="T19" i="396"/>
  <c r="U19" i="396" s="1"/>
  <c r="V19" i="396" s="1"/>
  <c r="M6" i="396"/>
  <c r="O6" i="396" s="1"/>
  <c r="T63" i="396"/>
  <c r="U63" i="396" s="1"/>
  <c r="V63" i="396" s="1"/>
  <c r="T52" i="396"/>
  <c r="U52" i="396" s="1"/>
  <c r="V52" i="396" s="1"/>
  <c r="T110" i="396"/>
  <c r="U110" i="396" s="1"/>
  <c r="V110" i="396" s="1"/>
  <c r="T89" i="396"/>
  <c r="U89" i="396" s="1"/>
  <c r="V89" i="396" s="1"/>
  <c r="O5" i="396"/>
  <c r="T58" i="396"/>
  <c r="U58" i="396" s="1"/>
  <c r="V58" i="396" s="1"/>
  <c r="L133" i="396"/>
  <c r="T99" i="396"/>
  <c r="U99" i="396" s="1"/>
  <c r="V99" i="396" s="1"/>
  <c r="T49" i="396"/>
  <c r="U49" i="396" s="1"/>
  <c r="V49" i="396" s="1"/>
  <c r="T37" i="396"/>
  <c r="U37" i="396" s="1"/>
  <c r="V37" i="396" s="1"/>
  <c r="T47" i="396"/>
  <c r="U47" i="396" s="1"/>
  <c r="V47" i="396" s="1"/>
  <c r="M21" i="396"/>
  <c r="O21" i="396" s="1"/>
  <c r="T5" i="396"/>
  <c r="T82" i="396"/>
  <c r="U82" i="396" s="1"/>
  <c r="V82" i="396" s="1"/>
  <c r="M7" i="395"/>
  <c r="O7" i="395" s="1"/>
  <c r="T43" i="395"/>
  <c r="U43" i="395" s="1"/>
  <c r="V43" i="395" s="1"/>
  <c r="T34" i="395"/>
  <c r="U34" i="395" s="1"/>
  <c r="V34" i="395" s="1"/>
  <c r="T50" i="395"/>
  <c r="U50" i="395" s="1"/>
  <c r="V50" i="395" s="1"/>
  <c r="T19" i="395"/>
  <c r="U19" i="395" s="1"/>
  <c r="V19" i="395" s="1"/>
  <c r="L67" i="395"/>
  <c r="T45" i="395"/>
  <c r="U45" i="395" s="1"/>
  <c r="V45" i="395" s="1"/>
  <c r="M5" i="395"/>
  <c r="T5" i="395" s="1"/>
  <c r="P65" i="395"/>
  <c r="P67" i="395" s="1"/>
  <c r="T12" i="395"/>
  <c r="U12" i="395" s="1"/>
  <c r="V12" i="395" s="1"/>
  <c r="T23" i="394"/>
  <c r="T16" i="394"/>
  <c r="O20" i="394"/>
  <c r="O21" i="394" s="1"/>
  <c r="U20" i="394"/>
  <c r="U21" i="394" s="1"/>
  <c r="T12" i="394"/>
  <c r="U12" i="394" s="1"/>
  <c r="V12" i="394" s="1"/>
  <c r="T11" i="394"/>
  <c r="U11" i="394" s="1"/>
  <c r="V11" i="394" s="1"/>
  <c r="T17" i="393"/>
  <c r="U17" i="393" s="1"/>
  <c r="V17" i="393" s="1"/>
  <c r="T14" i="393"/>
  <c r="T16" i="393"/>
  <c r="T18" i="393"/>
  <c r="U18" i="393" s="1"/>
  <c r="V18" i="393" s="1"/>
  <c r="M9" i="392"/>
  <c r="O9" i="392" s="1"/>
  <c r="L22" i="392"/>
  <c r="M15" i="392"/>
  <c r="O15" i="392" s="1"/>
  <c r="M18" i="392"/>
  <c r="O18" i="392" s="1"/>
  <c r="T18" i="392"/>
  <c r="U18" i="392" s="1"/>
  <c r="V18" i="392" s="1"/>
  <c r="T16" i="392"/>
  <c r="U16" i="392" s="1"/>
  <c r="V16" i="392" s="1"/>
  <c r="M10" i="392"/>
  <c r="O10" i="392" s="1"/>
  <c r="M12" i="392"/>
  <c r="O12" i="392" s="1"/>
  <c r="T19" i="392"/>
  <c r="U19" i="392" s="1"/>
  <c r="V19" i="392" s="1"/>
  <c r="M7" i="392"/>
  <c r="O7" i="392" s="1"/>
  <c r="P20" i="392"/>
  <c r="P22" i="392" s="1"/>
  <c r="M5" i="392"/>
  <c r="T5" i="392" s="1"/>
  <c r="M17" i="392"/>
  <c r="O17" i="392" s="1"/>
  <c r="M14" i="392"/>
  <c r="O14" i="392" s="1"/>
  <c r="A128" i="392"/>
  <c r="A131" i="392" s="1"/>
  <c r="M8" i="392"/>
  <c r="O8" i="392" s="1"/>
  <c r="T18" i="391"/>
  <c r="U18" i="391" s="1"/>
  <c r="W18" i="391" s="1"/>
  <c r="T14" i="391"/>
  <c r="T21" i="391"/>
  <c r="U21" i="391" s="1"/>
  <c r="W21" i="391" s="1"/>
  <c r="T6" i="391"/>
  <c r="M25" i="391"/>
  <c r="L31" i="391"/>
  <c r="M26" i="391"/>
  <c r="O26" i="391" s="1"/>
  <c r="M17" i="391"/>
  <c r="M27" i="391"/>
  <c r="O27" i="391" s="1"/>
  <c r="M20" i="391"/>
  <c r="O20" i="391" s="1"/>
  <c r="T20" i="391"/>
  <c r="U20" i="391" s="1"/>
  <c r="W20" i="391" s="1"/>
  <c r="F26" i="390"/>
  <c r="M13" i="390"/>
  <c r="O13" i="390" s="1"/>
  <c r="T13" i="390"/>
  <c r="U13" i="390" s="1"/>
  <c r="V13" i="390" s="1"/>
  <c r="T12" i="390"/>
  <c r="M22" i="390"/>
  <c r="T22" i="390" s="1"/>
  <c r="O23" i="390"/>
  <c r="P16" i="390"/>
  <c r="P17" i="390" s="1"/>
  <c r="M10" i="389"/>
  <c r="M11" i="389" s="1"/>
  <c r="M7" i="389"/>
  <c r="O7" i="389" s="1"/>
  <c r="M6" i="389"/>
  <c r="M14" i="388"/>
  <c r="O14" i="388" s="1"/>
  <c r="T14" i="388"/>
  <c r="U14" i="388" s="1"/>
  <c r="V14" i="388" s="1"/>
  <c r="V16" i="388" s="1"/>
  <c r="T7" i="388"/>
  <c r="U7" i="388" s="1"/>
  <c r="W7" i="388" s="1"/>
  <c r="M7" i="388"/>
  <c r="O7" i="388" s="1"/>
  <c r="O5" i="388"/>
  <c r="F17" i="388"/>
  <c r="M10" i="388"/>
  <c r="O10" i="388" s="1"/>
  <c r="M9" i="388"/>
  <c r="O9" i="388" s="1"/>
  <c r="U5" i="388"/>
  <c r="L16" i="388"/>
  <c r="T14" i="387"/>
  <c r="U14" i="387" s="1"/>
  <c r="W14" i="387" s="1"/>
  <c r="F17" i="387"/>
  <c r="F18" i="387"/>
  <c r="T7" i="387"/>
  <c r="U7" i="387" s="1"/>
  <c r="W7" i="387" s="1"/>
  <c r="T6" i="387"/>
  <c r="U6" i="387" s="1"/>
  <c r="W6" i="387" s="1"/>
  <c r="T12" i="387"/>
  <c r="U12" i="387" s="1"/>
  <c r="W12" i="387" s="1"/>
  <c r="T16" i="387"/>
  <c r="U16" i="387" s="1"/>
  <c r="W16" i="387" s="1"/>
  <c r="P5" i="387"/>
  <c r="L17" i="387"/>
  <c r="L142" i="386"/>
  <c r="P142" i="386" s="1"/>
  <c r="O22" i="386"/>
  <c r="O74" i="386"/>
  <c r="T35" i="386"/>
  <c r="U35" i="386" s="1"/>
  <c r="W35" i="386" s="1"/>
  <c r="T128" i="386"/>
  <c r="U128" i="386" s="1"/>
  <c r="W128" i="386" s="1"/>
  <c r="T52" i="386"/>
  <c r="U52" i="386" s="1"/>
  <c r="W52" i="386" s="1"/>
  <c r="T40" i="386"/>
  <c r="U40" i="386" s="1"/>
  <c r="W40" i="386" s="1"/>
  <c r="T93" i="386"/>
  <c r="U93" i="386" s="1"/>
  <c r="W93" i="386" s="1"/>
  <c r="O39" i="386"/>
  <c r="T57" i="386"/>
  <c r="U57" i="386" s="1"/>
  <c r="W57" i="386" s="1"/>
  <c r="T88" i="386"/>
  <c r="U88" i="386" s="1"/>
  <c r="W88" i="386" s="1"/>
  <c r="O32" i="386"/>
  <c r="T110" i="386"/>
  <c r="U110" i="386" s="1"/>
  <c r="W110" i="386" s="1"/>
  <c r="T58" i="386"/>
  <c r="U58" i="386" s="1"/>
  <c r="W58" i="386" s="1"/>
  <c r="O46" i="386"/>
  <c r="M81" i="386"/>
  <c r="O81" i="386" s="1"/>
  <c r="M96" i="386"/>
  <c r="O96" i="386" s="1"/>
  <c r="M99" i="386"/>
  <c r="O99" i="386" s="1"/>
  <c r="M25" i="386"/>
  <c r="O25" i="386" s="1"/>
  <c r="M98" i="386"/>
  <c r="O98" i="386" s="1"/>
  <c r="M90" i="386"/>
  <c r="O90" i="386" s="1"/>
  <c r="T53" i="386"/>
  <c r="U53" i="386" s="1"/>
  <c r="W53" i="386" s="1"/>
  <c r="P16" i="386"/>
  <c r="P17" i="386" s="1"/>
  <c r="T137" i="386"/>
  <c r="U137" i="386" s="1"/>
  <c r="W137" i="386" s="1"/>
  <c r="T109" i="386"/>
  <c r="U109" i="386" s="1"/>
  <c r="W109" i="386" s="1"/>
  <c r="T115" i="386"/>
  <c r="U115" i="386" s="1"/>
  <c r="W115" i="386" s="1"/>
  <c r="O26" i="386"/>
  <c r="M23" i="386"/>
  <c r="O23" i="386" s="1"/>
  <c r="M77" i="386"/>
  <c r="O77" i="386" s="1"/>
  <c r="T77" i="386"/>
  <c r="U77" i="386" s="1"/>
  <c r="W77" i="386" s="1"/>
  <c r="F142" i="386"/>
  <c r="M135" i="386"/>
  <c r="O135" i="386" s="1"/>
  <c r="T135" i="386"/>
  <c r="U135" i="386" s="1"/>
  <c r="W135" i="386" s="1"/>
  <c r="M72" i="386"/>
  <c r="O72" i="386" s="1"/>
  <c r="T30" i="386"/>
  <c r="U30" i="386" s="1"/>
  <c r="W30" i="386" s="1"/>
  <c r="M121" i="386"/>
  <c r="O121" i="386" s="1"/>
  <c r="T87" i="386"/>
  <c r="U87" i="386" s="1"/>
  <c r="W87" i="386" s="1"/>
  <c r="M55" i="386"/>
  <c r="O55" i="386" s="1"/>
  <c r="T126" i="386"/>
  <c r="U126" i="386" s="1"/>
  <c r="W126" i="386" s="1"/>
  <c r="M114" i="386"/>
  <c r="M54" i="386"/>
  <c r="O54" i="386" s="1"/>
  <c r="O75" i="386"/>
  <c r="M70" i="386"/>
  <c r="O70" i="386" s="1"/>
  <c r="T70" i="386"/>
  <c r="U70" i="386" s="1"/>
  <c r="W70" i="386" s="1"/>
  <c r="M69" i="386"/>
  <c r="M13" i="386"/>
  <c r="O13" i="386" s="1"/>
  <c r="M107" i="386"/>
  <c r="O107" i="386" s="1"/>
  <c r="M82" i="386"/>
  <c r="O82" i="386" s="1"/>
  <c r="O28" i="386"/>
  <c r="M117" i="386"/>
  <c r="O117" i="386" s="1"/>
  <c r="T117" i="386"/>
  <c r="U117" i="386" s="1"/>
  <c r="W117" i="386" s="1"/>
  <c r="M60" i="386"/>
  <c r="O60" i="386" s="1"/>
  <c r="M97" i="386"/>
  <c r="O97" i="386" s="1"/>
  <c r="M89" i="386"/>
  <c r="O89" i="386" s="1"/>
  <c r="M103" i="386"/>
  <c r="T92" i="386"/>
  <c r="U92" i="386" s="1"/>
  <c r="W92" i="386" s="1"/>
  <c r="M91" i="386"/>
  <c r="O91" i="386" s="1"/>
  <c r="M63" i="386"/>
  <c r="T63" i="386"/>
  <c r="M78" i="386"/>
  <c r="O78" i="386" s="1"/>
  <c r="M34" i="386"/>
  <c r="O34" i="386" s="1"/>
  <c r="M106" i="386"/>
  <c r="O106" i="386" s="1"/>
  <c r="M36" i="386"/>
  <c r="O36" i="386" s="1"/>
  <c r="T36" i="386"/>
  <c r="U36" i="386" s="1"/>
  <c r="W36" i="386" s="1"/>
  <c r="M133" i="386"/>
  <c r="O133" i="386" s="1"/>
  <c r="M59" i="386"/>
  <c r="O59" i="386" s="1"/>
  <c r="M111" i="386"/>
  <c r="O111" i="386" s="1"/>
  <c r="M10" i="386"/>
  <c r="O10" i="386" s="1"/>
  <c r="T84" i="386"/>
  <c r="U84" i="386" s="1"/>
  <c r="W84" i="386" s="1"/>
  <c r="M134" i="386"/>
  <c r="O134" i="386" s="1"/>
  <c r="M94" i="386"/>
  <c r="O94" i="386" s="1"/>
  <c r="T94" i="386"/>
  <c r="U94" i="386" s="1"/>
  <c r="W94" i="386" s="1"/>
  <c r="M138" i="386"/>
  <c r="O138" i="386" s="1"/>
  <c r="M71" i="386"/>
  <c r="O71" i="386" s="1"/>
  <c r="M33" i="386"/>
  <c r="O33" i="386" s="1"/>
  <c r="M38" i="386"/>
  <c r="O38" i="386" s="1"/>
  <c r="T38" i="386"/>
  <c r="U38" i="386" s="1"/>
  <c r="W38" i="386" s="1"/>
  <c r="O105" i="385"/>
  <c r="P146" i="385"/>
  <c r="P147" i="385" s="1"/>
  <c r="L131" i="385"/>
  <c r="K131" i="385"/>
  <c r="I12" i="97" s="1"/>
  <c r="O86" i="385"/>
  <c r="T78" i="385"/>
  <c r="U78" i="385" s="1"/>
  <c r="P13" i="385"/>
  <c r="P75" i="385"/>
  <c r="P76" i="385" s="1"/>
  <c r="F110" i="385"/>
  <c r="F151" i="385" s="1"/>
  <c r="T92" i="385"/>
  <c r="U92" i="385" s="1"/>
  <c r="V92" i="385" s="1"/>
  <c r="F68" i="385"/>
  <c r="T114" i="385"/>
  <c r="U114" i="385" s="1"/>
  <c r="V114" i="385" s="1"/>
  <c r="T97" i="385"/>
  <c r="U97" i="385" s="1"/>
  <c r="V97" i="385" s="1"/>
  <c r="T108" i="385"/>
  <c r="U108" i="385" s="1"/>
  <c r="V108" i="385" s="1"/>
  <c r="M133" i="385"/>
  <c r="O115" i="385"/>
  <c r="P110" i="385"/>
  <c r="O123" i="385"/>
  <c r="L70" i="385"/>
  <c r="K73" i="385"/>
  <c r="I9" i="97" s="1"/>
  <c r="O112" i="385"/>
  <c r="O61" i="385"/>
  <c r="O64" i="385"/>
  <c r="T35" i="385"/>
  <c r="U35" i="385" s="1"/>
  <c r="V35" i="385" s="1"/>
  <c r="O78" i="385"/>
  <c r="O125" i="385"/>
  <c r="P131" i="385"/>
  <c r="T140" i="385"/>
  <c r="V6" i="385"/>
  <c r="P144" i="385"/>
  <c r="T128" i="385"/>
  <c r="U128" i="385" s="1"/>
  <c r="V128" i="385" s="1"/>
  <c r="O128" i="385"/>
  <c r="F152" i="385"/>
  <c r="O40" i="385"/>
  <c r="T48" i="385"/>
  <c r="U48" i="385" s="1"/>
  <c r="V48" i="385" s="1"/>
  <c r="M107" i="385"/>
  <c r="O107" i="385" s="1"/>
  <c r="T90" i="385"/>
  <c r="U90" i="385" s="1"/>
  <c r="V90" i="385" s="1"/>
  <c r="T109" i="385"/>
  <c r="U109" i="385" s="1"/>
  <c r="V109" i="385" s="1"/>
  <c r="T80" i="385"/>
  <c r="U80" i="385" s="1"/>
  <c r="V80" i="385" s="1"/>
  <c r="T91" i="385"/>
  <c r="U91" i="385" s="1"/>
  <c r="V91" i="385" s="1"/>
  <c r="O20" i="385"/>
  <c r="M117" i="385"/>
  <c r="O117" i="385" s="1"/>
  <c r="M84" i="385"/>
  <c r="O84" i="385" s="1"/>
  <c r="O106" i="385"/>
  <c r="M66" i="385"/>
  <c r="O66" i="385" s="1"/>
  <c r="M134" i="385"/>
  <c r="O134" i="385" s="1"/>
  <c r="M67" i="385"/>
  <c r="O67" i="385" s="1"/>
  <c r="T142" i="385"/>
  <c r="U142" i="385" s="1"/>
  <c r="V142" i="385" s="1"/>
  <c r="M113" i="385"/>
  <c r="O113" i="385" s="1"/>
  <c r="O62" i="385"/>
  <c r="T96" i="385"/>
  <c r="U96" i="385" s="1"/>
  <c r="V96" i="385" s="1"/>
  <c r="P56" i="385"/>
  <c r="M121" i="385"/>
  <c r="O121" i="385" s="1"/>
  <c r="T38" i="385"/>
  <c r="U38" i="385" s="1"/>
  <c r="V38" i="385" s="1"/>
  <c r="M23" i="385"/>
  <c r="O23" i="385" s="1"/>
  <c r="T34" i="385"/>
  <c r="U34" i="385" s="1"/>
  <c r="V34" i="385" s="1"/>
  <c r="M41" i="385"/>
  <c r="O41" i="385" s="1"/>
  <c r="M116" i="385"/>
  <c r="O116" i="385" s="1"/>
  <c r="M146" i="385"/>
  <c r="T112" i="385"/>
  <c r="T83" i="385"/>
  <c r="U83" i="385" s="1"/>
  <c r="V83" i="385" s="1"/>
  <c r="M18" i="385"/>
  <c r="O18" i="385" s="1"/>
  <c r="M8" i="385"/>
  <c r="O8" i="385" s="1"/>
  <c r="O59" i="385"/>
  <c r="M143" i="385"/>
  <c r="O143" i="385" s="1"/>
  <c r="O144" i="385" s="1"/>
  <c r="M100" i="385"/>
  <c r="O100" i="385" s="1"/>
  <c r="M45" i="385"/>
  <c r="O45" i="385" s="1"/>
  <c r="M93" i="385"/>
  <c r="O93" i="385" s="1"/>
  <c r="M19" i="385"/>
  <c r="O19" i="385" s="1"/>
  <c r="T85" i="385"/>
  <c r="U85" i="385" s="1"/>
  <c r="V85" i="385" s="1"/>
  <c r="M71" i="385"/>
  <c r="O71" i="385" s="1"/>
  <c r="M122" i="385"/>
  <c r="O122" i="385" s="1"/>
  <c r="M44" i="385"/>
  <c r="O44" i="385" s="1"/>
  <c r="M49" i="385"/>
  <c r="O49" i="385" s="1"/>
  <c r="M95" i="385"/>
  <c r="O95" i="385" s="1"/>
  <c r="M126" i="385"/>
  <c r="O126" i="385" s="1"/>
  <c r="M57" i="385"/>
  <c r="O57" i="385" s="1"/>
  <c r="T51" i="385"/>
  <c r="U51" i="385" s="1"/>
  <c r="V51" i="385" s="1"/>
  <c r="O79" i="385"/>
  <c r="O127" i="385"/>
  <c r="M58" i="385"/>
  <c r="O58" i="385" s="1"/>
  <c r="M129" i="385"/>
  <c r="O129" i="385" s="1"/>
  <c r="M11" i="385"/>
  <c r="O11" i="385" s="1"/>
  <c r="O87" i="385"/>
  <c r="M89" i="385"/>
  <c r="O89" i="385" s="1"/>
  <c r="O30" i="385"/>
  <c r="M7" i="385"/>
  <c r="T63" i="385"/>
  <c r="U63" i="385" s="1"/>
  <c r="V63" i="385" s="1"/>
  <c r="T118" i="385"/>
  <c r="U118" i="385" s="1"/>
  <c r="V118" i="385" s="1"/>
  <c r="M130" i="385"/>
  <c r="O130" i="385" s="1"/>
  <c r="O98" i="385"/>
  <c r="M72" i="385"/>
  <c r="O72" i="385" s="1"/>
  <c r="M52" i="385"/>
  <c r="O52" i="385" s="1"/>
  <c r="M53" i="385"/>
  <c r="O53" i="385" s="1"/>
  <c r="M47" i="385"/>
  <c r="O47" i="385" s="1"/>
  <c r="T33" i="385"/>
  <c r="U33" i="385" s="1"/>
  <c r="V33" i="385" s="1"/>
  <c r="M43" i="385"/>
  <c r="O43" i="385" s="1"/>
  <c r="M16" i="385"/>
  <c r="O16" i="385" s="1"/>
  <c r="M137" i="385"/>
  <c r="M149" i="385"/>
  <c r="T149" i="385" s="1"/>
  <c r="M81" i="385"/>
  <c r="O81" i="385" s="1"/>
  <c r="M21" i="385"/>
  <c r="O21" i="385" s="1"/>
  <c r="M42" i="385"/>
  <c r="O42" i="385" s="1"/>
  <c r="M12" i="385"/>
  <c r="O12" i="385" s="1"/>
  <c r="P15" i="385"/>
  <c r="M88" i="385"/>
  <c r="O88" i="385" s="1"/>
  <c r="M32" i="385"/>
  <c r="O32" i="385" s="1"/>
  <c r="M22" i="385"/>
  <c r="O22" i="385" s="1"/>
  <c r="M17" i="385"/>
  <c r="O17" i="385" s="1"/>
  <c r="U39" i="384"/>
  <c r="T9" i="384"/>
  <c r="U9" i="384" s="1"/>
  <c r="V9" i="384" s="1"/>
  <c r="U68" i="384"/>
  <c r="T69" i="384"/>
  <c r="O44" i="384"/>
  <c r="L40" i="384"/>
  <c r="L66" i="384" s="1"/>
  <c r="K66" i="384"/>
  <c r="I8" i="97" s="1"/>
  <c r="O39" i="384"/>
  <c r="O8" i="384"/>
  <c r="T48" i="384"/>
  <c r="U48" i="384" s="1"/>
  <c r="V48" i="384" s="1"/>
  <c r="T25" i="384"/>
  <c r="U25" i="384" s="1"/>
  <c r="V25" i="384" s="1"/>
  <c r="O27" i="384"/>
  <c r="L37" i="384"/>
  <c r="K37" i="384"/>
  <c r="T59" i="384"/>
  <c r="U59" i="384" s="1"/>
  <c r="V59" i="384" s="1"/>
  <c r="T15" i="384"/>
  <c r="U15" i="384" s="1"/>
  <c r="V15" i="384" s="1"/>
  <c r="M20" i="384"/>
  <c r="O20" i="384" s="1"/>
  <c r="T64" i="384"/>
  <c r="U64" i="384" s="1"/>
  <c r="V64" i="384" s="1"/>
  <c r="O43" i="384"/>
  <c r="T35" i="384"/>
  <c r="U35" i="384" s="1"/>
  <c r="V35" i="384" s="1"/>
  <c r="M31" i="384"/>
  <c r="O31" i="384" s="1"/>
  <c r="M11" i="384"/>
  <c r="O11" i="384" s="1"/>
  <c r="M54" i="384"/>
  <c r="O54" i="384" s="1"/>
  <c r="P17" i="384"/>
  <c r="O21" i="384"/>
  <c r="O45" i="384"/>
  <c r="M7" i="384"/>
  <c r="O7" i="384" s="1"/>
  <c r="M63" i="384"/>
  <c r="O63" i="384" s="1"/>
  <c r="M36" i="384"/>
  <c r="O36" i="384" s="1"/>
  <c r="M46" i="384"/>
  <c r="O46" i="384" s="1"/>
  <c r="M58" i="384"/>
  <c r="O58" i="384" s="1"/>
  <c r="M24" i="384"/>
  <c r="O24" i="384" s="1"/>
  <c r="M65" i="384"/>
  <c r="O65" i="384" s="1"/>
  <c r="M49" i="384"/>
  <c r="O49" i="384" s="1"/>
  <c r="M62" i="384"/>
  <c r="O62" i="384" s="1"/>
  <c r="M57" i="384"/>
  <c r="O57" i="384" s="1"/>
  <c r="M60" i="384"/>
  <c r="O60" i="384" s="1"/>
  <c r="M56" i="384"/>
  <c r="O56" i="384" s="1"/>
  <c r="M55" i="384"/>
  <c r="O55" i="384" s="1"/>
  <c r="M34" i="384"/>
  <c r="O34" i="384" s="1"/>
  <c r="T14" i="384"/>
  <c r="U14" i="384" s="1"/>
  <c r="V14" i="384" s="1"/>
  <c r="M26" i="384"/>
  <c r="O26" i="384" s="1"/>
  <c r="T26" i="384"/>
  <c r="U26" i="384" s="1"/>
  <c r="V26" i="384" s="1"/>
  <c r="P40" i="384"/>
  <c r="P66" i="384" s="1"/>
  <c r="M52" i="384"/>
  <c r="O52" i="384" s="1"/>
  <c r="M51" i="384"/>
  <c r="O51" i="384" s="1"/>
  <c r="M53" i="384"/>
  <c r="O53" i="384" s="1"/>
  <c r="M29" i="384"/>
  <c r="O29" i="384" s="1"/>
  <c r="T61" i="384"/>
  <c r="U61" i="384" s="1"/>
  <c r="V61" i="384" s="1"/>
  <c r="M42" i="384"/>
  <c r="O42" i="384" s="1"/>
  <c r="M71" i="384"/>
  <c r="M22" i="384"/>
  <c r="O22" i="384" s="1"/>
  <c r="M28" i="384"/>
  <c r="O28" i="384" s="1"/>
  <c r="M41" i="384"/>
  <c r="O41" i="384" s="1"/>
  <c r="M32" i="384"/>
  <c r="O32" i="384" s="1"/>
  <c r="P6" i="384"/>
  <c r="T50" i="384"/>
  <c r="U50" i="384" s="1"/>
  <c r="V50" i="384" s="1"/>
  <c r="M18" i="384"/>
  <c r="O18" i="384" s="1"/>
  <c r="M33" i="384"/>
  <c r="O33" i="384" s="1"/>
  <c r="F74" i="384"/>
  <c r="D9" i="352"/>
  <c r="D8" i="352"/>
  <c r="D7" i="352"/>
  <c r="D113" i="351"/>
  <c r="D31" i="351"/>
  <c r="D23" i="351"/>
  <c r="D76" i="351"/>
  <c r="U22" i="390" l="1"/>
  <c r="T24" i="390"/>
  <c r="P25" i="390"/>
  <c r="P27" i="390" s="1"/>
  <c r="O25" i="391"/>
  <c r="O28" i="391" s="1"/>
  <c r="M28" i="391"/>
  <c r="P9" i="391"/>
  <c r="P29" i="391" s="1"/>
  <c r="P31" i="391" s="1"/>
  <c r="M7" i="391"/>
  <c r="P67" i="386"/>
  <c r="N17" i="97" s="1"/>
  <c r="M66" i="386"/>
  <c r="T66" i="386" s="1"/>
  <c r="K19" i="97"/>
  <c r="M75" i="385"/>
  <c r="T75" i="385" s="1"/>
  <c r="O137" i="385"/>
  <c r="O138" i="385" s="1"/>
  <c r="M138" i="385"/>
  <c r="N12" i="97"/>
  <c r="T133" i="385"/>
  <c r="T135" i="385" s="1"/>
  <c r="R13" i="97" s="1"/>
  <c r="M135" i="385"/>
  <c r="K13" i="97" s="1"/>
  <c r="J12" i="97"/>
  <c r="T34" i="386"/>
  <c r="U34" i="386" s="1"/>
  <c r="W34" i="386" s="1"/>
  <c r="U63" i="386"/>
  <c r="T64" i="386"/>
  <c r="O103" i="386"/>
  <c r="O112" i="386" s="1"/>
  <c r="M112" i="386"/>
  <c r="O114" i="386"/>
  <c r="O118" i="386" s="1"/>
  <c r="M118" i="386"/>
  <c r="T9" i="388"/>
  <c r="U9" i="388" s="1"/>
  <c r="W9" i="388" s="1"/>
  <c r="U6" i="391"/>
  <c r="D21" i="393"/>
  <c r="D22" i="393" s="1"/>
  <c r="P14" i="386"/>
  <c r="M9" i="386"/>
  <c r="K73" i="384"/>
  <c r="U11" i="391"/>
  <c r="T12" i="391"/>
  <c r="O12" i="390"/>
  <c r="O14" i="390" s="1"/>
  <c r="M14" i="390"/>
  <c r="K151" i="385"/>
  <c r="L152" i="385" s="1"/>
  <c r="D8" i="97"/>
  <c r="F73" i="384"/>
  <c r="O20" i="393"/>
  <c r="P14" i="394"/>
  <c r="P26" i="394" s="1"/>
  <c r="P29" i="394" s="1"/>
  <c r="M9" i="394"/>
  <c r="P43" i="386"/>
  <c r="M19" i="386"/>
  <c r="T19" i="386"/>
  <c r="M19" i="97"/>
  <c r="U11" i="393"/>
  <c r="T12" i="393"/>
  <c r="P10" i="390"/>
  <c r="M6" i="390"/>
  <c r="O6" i="389"/>
  <c r="O8" i="389" s="1"/>
  <c r="M8" i="389"/>
  <c r="L74" i="384"/>
  <c r="P74" i="384" s="1"/>
  <c r="I7" i="97"/>
  <c r="J8" i="97"/>
  <c r="L73" i="384"/>
  <c r="L75" i="384" s="1"/>
  <c r="P68" i="385"/>
  <c r="T78" i="386"/>
  <c r="U78" i="386" s="1"/>
  <c r="W78" i="386" s="1"/>
  <c r="O63" i="386"/>
  <c r="O64" i="386" s="1"/>
  <c r="M64" i="386"/>
  <c r="T99" i="386"/>
  <c r="U99" i="386" s="1"/>
  <c r="W99" i="386" s="1"/>
  <c r="T10" i="388"/>
  <c r="U10" i="388" s="1"/>
  <c r="W10" i="388" s="1"/>
  <c r="M12" i="389"/>
  <c r="T8" i="392"/>
  <c r="U8" i="392" s="1"/>
  <c r="V8" i="392" s="1"/>
  <c r="T14" i="392"/>
  <c r="U14" i="392" s="1"/>
  <c r="V14" i="392" s="1"/>
  <c r="U16" i="394"/>
  <c r="T18" i="394"/>
  <c r="T7" i="395"/>
  <c r="U7" i="395" s="1"/>
  <c r="V7" i="395" s="1"/>
  <c r="P61" i="386"/>
  <c r="M45" i="386"/>
  <c r="J6" i="97"/>
  <c r="L141" i="386"/>
  <c r="N8" i="97"/>
  <c r="N10" i="97"/>
  <c r="O69" i="386"/>
  <c r="O101" i="386" s="1"/>
  <c r="M101" i="386"/>
  <c r="U12" i="390"/>
  <c r="T14" i="390"/>
  <c r="U14" i="391"/>
  <c r="T15" i="391"/>
  <c r="P129" i="386"/>
  <c r="N15" i="97" s="1"/>
  <c r="T124" i="386"/>
  <c r="M124" i="386"/>
  <c r="O71" i="384"/>
  <c r="O72" i="384" s="1"/>
  <c r="M72" i="384"/>
  <c r="J7" i="97"/>
  <c r="D11" i="97"/>
  <c r="T96" i="386"/>
  <c r="U96" i="386" s="1"/>
  <c r="W96" i="386" s="1"/>
  <c r="O22" i="390"/>
  <c r="O24" i="390" s="1"/>
  <c r="M24" i="390"/>
  <c r="T17" i="391"/>
  <c r="T23" i="391" s="1"/>
  <c r="M23" i="391"/>
  <c r="T25" i="391"/>
  <c r="T17" i="392"/>
  <c r="U17" i="392" s="1"/>
  <c r="V17" i="392" s="1"/>
  <c r="T15" i="392"/>
  <c r="U15" i="392" s="1"/>
  <c r="V15" i="392" s="1"/>
  <c r="U14" i="393"/>
  <c r="T19" i="393"/>
  <c r="U23" i="394"/>
  <c r="T25" i="394"/>
  <c r="P122" i="386"/>
  <c r="N14" i="97" s="1"/>
  <c r="M120" i="386"/>
  <c r="U6" i="394"/>
  <c r="T7" i="394"/>
  <c r="P140" i="386"/>
  <c r="N18" i="97" s="1"/>
  <c r="M131" i="386"/>
  <c r="T9" i="393"/>
  <c r="U7" i="393"/>
  <c r="M6" i="386"/>
  <c r="P7" i="386"/>
  <c r="T21" i="396"/>
  <c r="U21" i="396" s="1"/>
  <c r="V21" i="396" s="1"/>
  <c r="W115" i="397"/>
  <c r="T115" i="397"/>
  <c r="U5" i="397"/>
  <c r="D116" i="397"/>
  <c r="D117" i="397" s="1"/>
  <c r="T116" i="397"/>
  <c r="U116" i="397" s="1"/>
  <c r="P135" i="396"/>
  <c r="T132" i="396"/>
  <c r="U120" i="396"/>
  <c r="M117" i="396"/>
  <c r="L135" i="396"/>
  <c r="T6" i="396"/>
  <c r="U6" i="396" s="1"/>
  <c r="V6" i="396" s="1"/>
  <c r="U5" i="396"/>
  <c r="M132" i="396"/>
  <c r="O120" i="396"/>
  <c r="O132" i="396" s="1"/>
  <c r="O117" i="396"/>
  <c r="T65" i="395"/>
  <c r="U5" i="395"/>
  <c r="M65" i="395"/>
  <c r="O5" i="395"/>
  <c r="O65" i="395" s="1"/>
  <c r="V20" i="394"/>
  <c r="V21" i="394" s="1"/>
  <c r="U16" i="393"/>
  <c r="T7" i="392"/>
  <c r="U7" i="392" s="1"/>
  <c r="V7" i="392" s="1"/>
  <c r="T12" i="392"/>
  <c r="U12" i="392" s="1"/>
  <c r="V12" i="392" s="1"/>
  <c r="M20" i="392"/>
  <c r="O5" i="392"/>
  <c r="O20" i="392" s="1"/>
  <c r="T10" i="392"/>
  <c r="U10" i="392" s="1"/>
  <c r="V10" i="392" s="1"/>
  <c r="U5" i="392"/>
  <c r="T9" i="392"/>
  <c r="U9" i="392" s="1"/>
  <c r="V9" i="392" s="1"/>
  <c r="T27" i="391"/>
  <c r="U27" i="391" s="1"/>
  <c r="W27" i="391" s="1"/>
  <c r="O17" i="391"/>
  <c r="O23" i="391" s="1"/>
  <c r="U17" i="391"/>
  <c r="U23" i="391" s="1"/>
  <c r="T26" i="391"/>
  <c r="U26" i="391" s="1"/>
  <c r="W26" i="391" s="1"/>
  <c r="M16" i="390"/>
  <c r="L27" i="390"/>
  <c r="T7" i="389"/>
  <c r="U7" i="389" s="1"/>
  <c r="W7" i="389" s="1"/>
  <c r="O10" i="389"/>
  <c r="O11" i="389" s="1"/>
  <c r="O12" i="389" s="1"/>
  <c r="T10" i="389"/>
  <c r="T11" i="389" s="1"/>
  <c r="T6" i="389"/>
  <c r="T16" i="388"/>
  <c r="L18" i="388"/>
  <c r="O16" i="388"/>
  <c r="W5" i="388"/>
  <c r="W16" i="388" s="1"/>
  <c r="U16" i="388"/>
  <c r="M16" i="388"/>
  <c r="T17" i="388" s="1"/>
  <c r="U17" i="388" s="1"/>
  <c r="L19" i="387"/>
  <c r="P17" i="387"/>
  <c r="P19" i="387" s="1"/>
  <c r="M5" i="387"/>
  <c r="T5" i="387" s="1"/>
  <c r="T59" i="386"/>
  <c r="U59" i="386" s="1"/>
  <c r="W59" i="386" s="1"/>
  <c r="T97" i="386"/>
  <c r="U97" i="386" s="1"/>
  <c r="W97" i="386" s="1"/>
  <c r="T114" i="386"/>
  <c r="T23" i="386"/>
  <c r="U23" i="386" s="1"/>
  <c r="W23" i="386" s="1"/>
  <c r="T134" i="386"/>
  <c r="U134" i="386" s="1"/>
  <c r="W134" i="386" s="1"/>
  <c r="T98" i="386"/>
  <c r="U98" i="386" s="1"/>
  <c r="W98" i="386" s="1"/>
  <c r="T91" i="386"/>
  <c r="U91" i="386" s="1"/>
  <c r="W91" i="386" s="1"/>
  <c r="T121" i="386"/>
  <c r="U121" i="386" s="1"/>
  <c r="W121" i="386" s="1"/>
  <c r="T82" i="386"/>
  <c r="U82" i="386" s="1"/>
  <c r="W82" i="386" s="1"/>
  <c r="T33" i="386"/>
  <c r="U33" i="386" s="1"/>
  <c r="W33" i="386" s="1"/>
  <c r="T107" i="386"/>
  <c r="U107" i="386" s="1"/>
  <c r="W107" i="386" s="1"/>
  <c r="T55" i="386"/>
  <c r="U55" i="386" s="1"/>
  <c r="W55" i="386" s="1"/>
  <c r="T72" i="386"/>
  <c r="U72" i="386" s="1"/>
  <c r="W72" i="386" s="1"/>
  <c r="T25" i="386"/>
  <c r="U25" i="386" s="1"/>
  <c r="W25" i="386" s="1"/>
  <c r="T60" i="386"/>
  <c r="U60" i="386" s="1"/>
  <c r="W60" i="386" s="1"/>
  <c r="L143" i="386"/>
  <c r="M16" i="386"/>
  <c r="T133" i="386"/>
  <c r="U133" i="386" s="1"/>
  <c r="W133" i="386" s="1"/>
  <c r="T54" i="386"/>
  <c r="U54" i="386" s="1"/>
  <c r="W54" i="386" s="1"/>
  <c r="T111" i="386"/>
  <c r="U111" i="386" s="1"/>
  <c r="W111" i="386" s="1"/>
  <c r="T103" i="386"/>
  <c r="T13" i="386"/>
  <c r="U13" i="386" s="1"/>
  <c r="W13" i="386" s="1"/>
  <c r="T90" i="386"/>
  <c r="U90" i="386" s="1"/>
  <c r="W90" i="386" s="1"/>
  <c r="T106" i="386"/>
  <c r="U106" i="386" s="1"/>
  <c r="W106" i="386" s="1"/>
  <c r="T71" i="386"/>
  <c r="U71" i="386" s="1"/>
  <c r="W71" i="386" s="1"/>
  <c r="T138" i="386"/>
  <c r="U138" i="386" s="1"/>
  <c r="W138" i="386" s="1"/>
  <c r="T10" i="386"/>
  <c r="U10" i="386" s="1"/>
  <c r="W10" i="386" s="1"/>
  <c r="T89" i="386"/>
  <c r="U89" i="386" s="1"/>
  <c r="W89" i="386" s="1"/>
  <c r="T69" i="386"/>
  <c r="T81" i="386"/>
  <c r="U81" i="386" s="1"/>
  <c r="W81" i="386" s="1"/>
  <c r="T129" i="385"/>
  <c r="U129" i="385" s="1"/>
  <c r="V129" i="385" s="1"/>
  <c r="T126" i="385"/>
  <c r="U126" i="385" s="1"/>
  <c r="V126" i="385" s="1"/>
  <c r="U149" i="385"/>
  <c r="T150" i="385"/>
  <c r="T53" i="385"/>
  <c r="U53" i="385" s="1"/>
  <c r="V53" i="385" s="1"/>
  <c r="U140" i="385"/>
  <c r="O149" i="385"/>
  <c r="O150" i="385" s="1"/>
  <c r="M150" i="385"/>
  <c r="T52" i="385"/>
  <c r="U52" i="385" s="1"/>
  <c r="V52" i="385" s="1"/>
  <c r="O7" i="385"/>
  <c r="O13" i="385" s="1"/>
  <c r="M13" i="385"/>
  <c r="U112" i="385"/>
  <c r="V78" i="385"/>
  <c r="T88" i="385"/>
  <c r="U88" i="385" s="1"/>
  <c r="V88" i="385" s="1"/>
  <c r="T17" i="385"/>
  <c r="U17" i="385" s="1"/>
  <c r="V17" i="385" s="1"/>
  <c r="O146" i="385"/>
  <c r="O147" i="385" s="1"/>
  <c r="M147" i="385"/>
  <c r="M144" i="385"/>
  <c r="M76" i="385"/>
  <c r="T89" i="385"/>
  <c r="U89" i="385" s="1"/>
  <c r="V89" i="385" s="1"/>
  <c r="T44" i="385"/>
  <c r="U44" i="385" s="1"/>
  <c r="V44" i="385" s="1"/>
  <c r="T146" i="385"/>
  <c r="M110" i="385"/>
  <c r="M131" i="385"/>
  <c r="O133" i="385"/>
  <c r="O135" i="385" s="1"/>
  <c r="M13" i="97" s="1"/>
  <c r="T117" i="385"/>
  <c r="U117" i="385" s="1"/>
  <c r="V117" i="385" s="1"/>
  <c r="O110" i="385"/>
  <c r="O131" i="385"/>
  <c r="M12" i="97" s="1"/>
  <c r="T42" i="385"/>
  <c r="U42" i="385" s="1"/>
  <c r="V42" i="385" s="1"/>
  <c r="T18" i="385"/>
  <c r="U18" i="385" s="1"/>
  <c r="V18" i="385" s="1"/>
  <c r="P70" i="385"/>
  <c r="L73" i="385"/>
  <c r="J9" i="97" s="1"/>
  <c r="T57" i="385"/>
  <c r="U57" i="385" s="1"/>
  <c r="V57" i="385" s="1"/>
  <c r="T122" i="385"/>
  <c r="U122" i="385" s="1"/>
  <c r="V122" i="385" s="1"/>
  <c r="T58" i="385"/>
  <c r="U58" i="385" s="1"/>
  <c r="V58" i="385" s="1"/>
  <c r="P152" i="385"/>
  <c r="T49" i="385"/>
  <c r="U49" i="385" s="1"/>
  <c r="V49" i="385" s="1"/>
  <c r="T19" i="385"/>
  <c r="U19" i="385" s="1"/>
  <c r="V19" i="385" s="1"/>
  <c r="T43" i="385"/>
  <c r="U43" i="385" s="1"/>
  <c r="V43" i="385" s="1"/>
  <c r="T130" i="385"/>
  <c r="U130" i="385" s="1"/>
  <c r="V130" i="385" s="1"/>
  <c r="T11" i="385"/>
  <c r="U11" i="385" s="1"/>
  <c r="V11" i="385" s="1"/>
  <c r="T93" i="385"/>
  <c r="U93" i="385" s="1"/>
  <c r="V93" i="385" s="1"/>
  <c r="T107" i="385"/>
  <c r="U107" i="385" s="1"/>
  <c r="V107" i="385" s="1"/>
  <c r="T47" i="385"/>
  <c r="U47" i="385" s="1"/>
  <c r="V47" i="385" s="1"/>
  <c r="T45" i="385"/>
  <c r="U45" i="385" s="1"/>
  <c r="V45" i="385" s="1"/>
  <c r="T21" i="385"/>
  <c r="U21" i="385" s="1"/>
  <c r="V21" i="385" s="1"/>
  <c r="T137" i="385"/>
  <c r="T95" i="385"/>
  <c r="U95" i="385" s="1"/>
  <c r="V95" i="385" s="1"/>
  <c r="T71" i="385"/>
  <c r="U71" i="385" s="1"/>
  <c r="V71" i="385" s="1"/>
  <c r="T100" i="385"/>
  <c r="U100" i="385" s="1"/>
  <c r="V100" i="385" s="1"/>
  <c r="T41" i="385"/>
  <c r="U41" i="385" s="1"/>
  <c r="V41" i="385" s="1"/>
  <c r="T84" i="385"/>
  <c r="U84" i="385" s="1"/>
  <c r="V84" i="385" s="1"/>
  <c r="M56" i="385"/>
  <c r="T56" i="385" s="1"/>
  <c r="T22" i="385"/>
  <c r="U22" i="385" s="1"/>
  <c r="V22" i="385" s="1"/>
  <c r="T16" i="385"/>
  <c r="U16" i="385" s="1"/>
  <c r="V16" i="385" s="1"/>
  <c r="T67" i="385"/>
  <c r="U67" i="385" s="1"/>
  <c r="V67" i="385" s="1"/>
  <c r="M15" i="385"/>
  <c r="T15" i="385"/>
  <c r="T12" i="385"/>
  <c r="U12" i="385" s="1"/>
  <c r="V12" i="385" s="1"/>
  <c r="T81" i="385"/>
  <c r="U81" i="385" s="1"/>
  <c r="V81" i="385" s="1"/>
  <c r="T143" i="385"/>
  <c r="U143" i="385" s="1"/>
  <c r="V143" i="385" s="1"/>
  <c r="T23" i="385"/>
  <c r="U23" i="385" s="1"/>
  <c r="V23" i="385" s="1"/>
  <c r="T134" i="385"/>
  <c r="U134" i="385" s="1"/>
  <c r="V134" i="385" s="1"/>
  <c r="T32" i="385"/>
  <c r="U32" i="385" s="1"/>
  <c r="V32" i="385" s="1"/>
  <c r="T72" i="385"/>
  <c r="U72" i="385" s="1"/>
  <c r="V72" i="385" s="1"/>
  <c r="T7" i="385"/>
  <c r="T8" i="385"/>
  <c r="U8" i="385" s="1"/>
  <c r="V8" i="385" s="1"/>
  <c r="T116" i="385"/>
  <c r="U116" i="385" s="1"/>
  <c r="V116" i="385" s="1"/>
  <c r="T121" i="385"/>
  <c r="U121" i="385" s="1"/>
  <c r="V121" i="385" s="1"/>
  <c r="T113" i="385"/>
  <c r="U113" i="385" s="1"/>
  <c r="V113" i="385" s="1"/>
  <c r="T66" i="385"/>
  <c r="U66" i="385" s="1"/>
  <c r="V66" i="385" s="1"/>
  <c r="V68" i="384"/>
  <c r="V69" i="384" s="1"/>
  <c r="U69" i="384"/>
  <c r="V39" i="384"/>
  <c r="T24" i="384"/>
  <c r="U24" i="384" s="1"/>
  <c r="V24" i="384" s="1"/>
  <c r="P37" i="384"/>
  <c r="T58" i="384"/>
  <c r="U58" i="384" s="1"/>
  <c r="V58" i="384" s="1"/>
  <c r="T41" i="384"/>
  <c r="U41" i="384" s="1"/>
  <c r="V41" i="384" s="1"/>
  <c r="T18" i="384"/>
  <c r="U18" i="384" s="1"/>
  <c r="V18" i="384" s="1"/>
  <c r="T55" i="384"/>
  <c r="U55" i="384" s="1"/>
  <c r="V55" i="384" s="1"/>
  <c r="T49" i="384"/>
  <c r="U49" i="384" s="1"/>
  <c r="V49" i="384" s="1"/>
  <c r="T46" i="384"/>
  <c r="U46" i="384" s="1"/>
  <c r="V46" i="384" s="1"/>
  <c r="T56" i="384"/>
  <c r="U56" i="384" s="1"/>
  <c r="V56" i="384" s="1"/>
  <c r="T65" i="384"/>
  <c r="U65" i="384" s="1"/>
  <c r="V65" i="384" s="1"/>
  <c r="T63" i="384"/>
  <c r="U63" i="384" s="1"/>
  <c r="V63" i="384" s="1"/>
  <c r="T11" i="384"/>
  <c r="U11" i="384" s="1"/>
  <c r="V11" i="384" s="1"/>
  <c r="T20" i="384"/>
  <c r="U20" i="384" s="1"/>
  <c r="V20" i="384" s="1"/>
  <c r="T32" i="384"/>
  <c r="U32" i="384" s="1"/>
  <c r="V32" i="384" s="1"/>
  <c r="T60" i="384"/>
  <c r="U60" i="384" s="1"/>
  <c r="V60" i="384" s="1"/>
  <c r="T31" i="384"/>
  <c r="U31" i="384" s="1"/>
  <c r="V31" i="384" s="1"/>
  <c r="T51" i="384"/>
  <c r="U51" i="384" s="1"/>
  <c r="V51" i="384" s="1"/>
  <c r="M17" i="384"/>
  <c r="O17" i="384" s="1"/>
  <c r="T42" i="384"/>
  <c r="U42" i="384" s="1"/>
  <c r="V42" i="384" s="1"/>
  <c r="T57" i="384"/>
  <c r="U57" i="384" s="1"/>
  <c r="V57" i="384" s="1"/>
  <c r="T34" i="384"/>
  <c r="U34" i="384" s="1"/>
  <c r="V34" i="384" s="1"/>
  <c r="M6" i="384"/>
  <c r="T28" i="384"/>
  <c r="U28" i="384" s="1"/>
  <c r="V28" i="384" s="1"/>
  <c r="T52" i="384"/>
  <c r="U52" i="384" s="1"/>
  <c r="V52" i="384" s="1"/>
  <c r="T62" i="384"/>
  <c r="U62" i="384" s="1"/>
  <c r="V62" i="384" s="1"/>
  <c r="T7" i="384"/>
  <c r="U7" i="384" s="1"/>
  <c r="V7" i="384" s="1"/>
  <c r="T54" i="384"/>
  <c r="U54" i="384" s="1"/>
  <c r="V54" i="384" s="1"/>
  <c r="T33" i="384"/>
  <c r="U33" i="384" s="1"/>
  <c r="V33" i="384" s="1"/>
  <c r="T22" i="384"/>
  <c r="U22" i="384" s="1"/>
  <c r="V22" i="384" s="1"/>
  <c r="T29" i="384"/>
  <c r="U29" i="384" s="1"/>
  <c r="V29" i="384" s="1"/>
  <c r="M40" i="384"/>
  <c r="T71" i="384"/>
  <c r="T53" i="384"/>
  <c r="U53" i="384" s="1"/>
  <c r="V53" i="384" s="1"/>
  <c r="T36" i="384"/>
  <c r="U36" i="384" s="1"/>
  <c r="V36" i="384" s="1"/>
  <c r="E65" i="350"/>
  <c r="H65" i="350"/>
  <c r="Q65" i="350"/>
  <c r="R65" i="350"/>
  <c r="W65" i="350"/>
  <c r="E13" i="67" s="1"/>
  <c r="X65" i="350"/>
  <c r="Y65" i="350"/>
  <c r="Z65" i="350"/>
  <c r="AA65" i="350"/>
  <c r="C9" i="38"/>
  <c r="W13" i="358"/>
  <c r="D12" i="358"/>
  <c r="N14" i="358"/>
  <c r="N7" i="355"/>
  <c r="T67" i="386" l="1"/>
  <c r="R17" i="97" s="1"/>
  <c r="U66" i="386"/>
  <c r="U114" i="386"/>
  <c r="T118" i="386"/>
  <c r="V14" i="393"/>
  <c r="U19" i="393"/>
  <c r="O9" i="394"/>
  <c r="O14" i="394" s="1"/>
  <c r="O26" i="394" s="1"/>
  <c r="O29" i="394" s="1"/>
  <c r="M14" i="394"/>
  <c r="M26" i="394" s="1"/>
  <c r="U71" i="384"/>
  <c r="T72" i="384"/>
  <c r="U137" i="385"/>
  <c r="T138" i="385"/>
  <c r="R16" i="97" s="1"/>
  <c r="O75" i="385"/>
  <c r="O76" i="385" s="1"/>
  <c r="U69" i="386"/>
  <c r="T101" i="386"/>
  <c r="U103" i="386"/>
  <c r="T112" i="386"/>
  <c r="U9" i="393"/>
  <c r="V7" i="393"/>
  <c r="V9" i="393" s="1"/>
  <c r="R19" i="97"/>
  <c r="V12" i="390"/>
  <c r="V14" i="390" s="1"/>
  <c r="U14" i="390"/>
  <c r="O45" i="386"/>
  <c r="O61" i="386" s="1"/>
  <c r="M61" i="386"/>
  <c r="T45" i="386"/>
  <c r="V16" i="394"/>
  <c r="V18" i="394" s="1"/>
  <c r="U18" i="394"/>
  <c r="V11" i="393"/>
  <c r="V12" i="393" s="1"/>
  <c r="U12" i="393"/>
  <c r="M43" i="386"/>
  <c r="O19" i="386"/>
  <c r="O43" i="386" s="1"/>
  <c r="T9" i="394"/>
  <c r="L151" i="385"/>
  <c r="L153" i="385" s="1"/>
  <c r="K18" i="97"/>
  <c r="U6" i="389"/>
  <c r="T8" i="389"/>
  <c r="T12" i="389" s="1"/>
  <c r="O6" i="386"/>
  <c r="O7" i="386" s="1"/>
  <c r="M7" i="386"/>
  <c r="W6" i="391"/>
  <c r="M67" i="386"/>
  <c r="K17" i="97" s="1"/>
  <c r="O66" i="386"/>
  <c r="O67" i="386" s="1"/>
  <c r="M17" i="97" s="1"/>
  <c r="U133" i="385"/>
  <c r="U135" i="385" s="1"/>
  <c r="S13" i="97" s="1"/>
  <c r="T16" i="386"/>
  <c r="T17" i="386" s="1"/>
  <c r="M17" i="386"/>
  <c r="T6" i="386"/>
  <c r="V6" i="394"/>
  <c r="V7" i="394" s="1"/>
  <c r="U7" i="394"/>
  <c r="V23" i="394"/>
  <c r="V25" i="394" s="1"/>
  <c r="U25" i="394"/>
  <c r="N11" i="97"/>
  <c r="M10" i="390"/>
  <c r="T6" i="390"/>
  <c r="O6" i="390"/>
  <c r="O10" i="390" s="1"/>
  <c r="W11" i="391"/>
  <c r="W12" i="391" s="1"/>
  <c r="U12" i="391"/>
  <c r="K16" i="97"/>
  <c r="N7" i="97"/>
  <c r="K10" i="97"/>
  <c r="U124" i="386"/>
  <c r="T129" i="386"/>
  <c r="U19" i="386"/>
  <c r="T43" i="386"/>
  <c r="T9" i="386"/>
  <c r="M14" i="386"/>
  <c r="O9" i="386"/>
  <c r="O14" i="386" s="1"/>
  <c r="K12" i="97"/>
  <c r="T16" i="390"/>
  <c r="M17" i="390"/>
  <c r="M25" i="390" s="1"/>
  <c r="O133" i="396"/>
  <c r="N6" i="97"/>
  <c r="P141" i="386"/>
  <c r="P143" i="386" s="1"/>
  <c r="O131" i="386"/>
  <c r="O140" i="386" s="1"/>
  <c r="M18" i="97" s="1"/>
  <c r="M140" i="386"/>
  <c r="T131" i="386"/>
  <c r="O120" i="386"/>
  <c r="O122" i="386" s="1"/>
  <c r="M14" i="97" s="1"/>
  <c r="M122" i="386"/>
  <c r="K14" i="97" s="1"/>
  <c r="T120" i="386"/>
  <c r="T20" i="393"/>
  <c r="U21" i="393" s="1"/>
  <c r="U25" i="391"/>
  <c r="T28" i="391"/>
  <c r="M129" i="386"/>
  <c r="K15" i="97" s="1"/>
  <c r="O124" i="386"/>
  <c r="O129" i="386" s="1"/>
  <c r="M15" i="97" s="1"/>
  <c r="V14" i="391"/>
  <c r="V15" i="391" s="1"/>
  <c r="V29" i="391" s="1"/>
  <c r="U15" i="391"/>
  <c r="W63" i="386"/>
  <c r="W64" i="386" s="1"/>
  <c r="U64" i="386"/>
  <c r="M16" i="97"/>
  <c r="T7" i="391"/>
  <c r="O7" i="391"/>
  <c r="O9" i="391" s="1"/>
  <c r="O29" i="391" s="1"/>
  <c r="M9" i="391"/>
  <c r="M29" i="391" s="1"/>
  <c r="P73" i="384"/>
  <c r="P75" i="384" s="1"/>
  <c r="V22" i="390"/>
  <c r="V24" i="390" s="1"/>
  <c r="U24" i="390"/>
  <c r="T117" i="396"/>
  <c r="T133" i="396" s="1"/>
  <c r="U115" i="397"/>
  <c r="U117" i="397" s="1"/>
  <c r="AA5" i="397"/>
  <c r="AA115" i="397" s="1"/>
  <c r="T117" i="397"/>
  <c r="U117" i="396"/>
  <c r="V5" i="396"/>
  <c r="V117" i="396" s="1"/>
  <c r="M133" i="396"/>
  <c r="U132" i="396"/>
  <c r="V120" i="396"/>
  <c r="V132" i="396" s="1"/>
  <c r="T66" i="395"/>
  <c r="U66" i="395" s="1"/>
  <c r="D66" i="395"/>
  <c r="D67" i="395" s="1"/>
  <c r="U65" i="395"/>
  <c r="V5" i="395"/>
  <c r="V65" i="395" s="1"/>
  <c r="V16" i="393"/>
  <c r="U20" i="392"/>
  <c r="V5" i="392"/>
  <c r="V20" i="392" s="1"/>
  <c r="T20" i="392"/>
  <c r="D21" i="392"/>
  <c r="D22" i="392" s="1"/>
  <c r="T21" i="392"/>
  <c r="U21" i="392" s="1"/>
  <c r="W17" i="391"/>
  <c r="W23" i="391" s="1"/>
  <c r="O16" i="390"/>
  <c r="O17" i="390" s="1"/>
  <c r="O25" i="390" s="1"/>
  <c r="U10" i="389"/>
  <c r="U11" i="389" s="1"/>
  <c r="T13" i="389"/>
  <c r="U13" i="389" s="1"/>
  <c r="D13" i="389"/>
  <c r="U18" i="388"/>
  <c r="D17" i="388"/>
  <c r="D18" i="388" s="1"/>
  <c r="T18" i="388"/>
  <c r="T17" i="387"/>
  <c r="U5" i="387"/>
  <c r="M17" i="387"/>
  <c r="K11" i="97" s="1"/>
  <c r="O5" i="387"/>
  <c r="O17" i="387" s="1"/>
  <c r="M11" i="97" s="1"/>
  <c r="U16" i="386"/>
  <c r="U17" i="386" s="1"/>
  <c r="O16" i="386"/>
  <c r="O17" i="386" s="1"/>
  <c r="U146" i="385"/>
  <c r="T147" i="385"/>
  <c r="U75" i="385"/>
  <c r="T76" i="385"/>
  <c r="P73" i="385"/>
  <c r="M70" i="385"/>
  <c r="V110" i="385"/>
  <c r="T11" i="97" s="1"/>
  <c r="T110" i="385"/>
  <c r="R11" i="97" s="1"/>
  <c r="T131" i="385"/>
  <c r="R12" i="97" s="1"/>
  <c r="T144" i="385"/>
  <c r="U7" i="385"/>
  <c r="T13" i="385"/>
  <c r="V112" i="385"/>
  <c r="V131" i="385" s="1"/>
  <c r="T12" i="97" s="1"/>
  <c r="U131" i="385"/>
  <c r="V140" i="385"/>
  <c r="V144" i="385" s="1"/>
  <c r="T14" i="97" s="1"/>
  <c r="U144" i="385"/>
  <c r="U110" i="385"/>
  <c r="T68" i="385"/>
  <c r="M68" i="385"/>
  <c r="V149" i="385"/>
  <c r="V150" i="385" s="1"/>
  <c r="U150" i="385"/>
  <c r="U56" i="385"/>
  <c r="O15" i="385"/>
  <c r="U15" i="385"/>
  <c r="O56" i="385"/>
  <c r="O40" i="384"/>
  <c r="O66" i="384" s="1"/>
  <c r="M66" i="384"/>
  <c r="T6" i="384"/>
  <c r="M37" i="384"/>
  <c r="K7" i="97" s="1"/>
  <c r="T40" i="384"/>
  <c r="O6" i="384"/>
  <c r="T17" i="384"/>
  <c r="U17" i="384" s="1"/>
  <c r="V17" i="384" s="1"/>
  <c r="N5" i="44"/>
  <c r="K5" i="44"/>
  <c r="T30" i="391" l="1"/>
  <c r="U30" i="391" s="1"/>
  <c r="D30" i="391"/>
  <c r="D31" i="391" s="1"/>
  <c r="S11" i="97"/>
  <c r="U131" i="386"/>
  <c r="T140" i="386"/>
  <c r="R18" i="97" s="1"/>
  <c r="U9" i="386"/>
  <c r="T14" i="386"/>
  <c r="R10" i="97" s="1"/>
  <c r="S19" i="97"/>
  <c r="E15" i="61" s="1"/>
  <c r="W6" i="389"/>
  <c r="W8" i="389" s="1"/>
  <c r="U8" i="389"/>
  <c r="U45" i="386"/>
  <c r="T61" i="386"/>
  <c r="W114" i="386"/>
  <c r="W118" i="386" s="1"/>
  <c r="U16" i="97" s="1"/>
  <c r="U118" i="386"/>
  <c r="K8" i="97"/>
  <c r="T18" i="97"/>
  <c r="V133" i="385"/>
  <c r="V135" i="385" s="1"/>
  <c r="T13" i="97" s="1"/>
  <c r="N9" i="97"/>
  <c r="P151" i="385"/>
  <c r="P153" i="385" s="1"/>
  <c r="U12" i="389"/>
  <c r="U7" i="391"/>
  <c r="T9" i="391"/>
  <c r="T29" i="391" s="1"/>
  <c r="T31" i="391" s="1"/>
  <c r="U120" i="386"/>
  <c r="T122" i="386"/>
  <c r="T19" i="97"/>
  <c r="K6" i="97"/>
  <c r="M141" i="386"/>
  <c r="U9" i="394"/>
  <c r="T14" i="394"/>
  <c r="T26" i="394" s="1"/>
  <c r="T29" i="394" s="1"/>
  <c r="W103" i="386"/>
  <c r="W112" i="386" s="1"/>
  <c r="U112" i="386"/>
  <c r="R15" i="97"/>
  <c r="U20" i="393"/>
  <c r="W19" i="386"/>
  <c r="W43" i="386" s="1"/>
  <c r="U8" i="97" s="1"/>
  <c r="U43" i="386"/>
  <c r="T10" i="390"/>
  <c r="U6" i="390"/>
  <c r="M6" i="97"/>
  <c r="O141" i="386"/>
  <c r="D142" i="386" s="1"/>
  <c r="D143" i="386" s="1"/>
  <c r="M73" i="384"/>
  <c r="M10" i="97"/>
  <c r="V71" i="384"/>
  <c r="V72" i="384" s="1"/>
  <c r="U72" i="384"/>
  <c r="V19" i="393"/>
  <c r="V20" i="393" s="1"/>
  <c r="U67" i="386"/>
  <c r="S17" i="97" s="1"/>
  <c r="AA66" i="386"/>
  <c r="AA67" i="386" s="1"/>
  <c r="W124" i="386"/>
  <c r="W129" i="386" s="1"/>
  <c r="U15" i="97" s="1"/>
  <c r="U129" i="386"/>
  <c r="U6" i="386"/>
  <c r="T7" i="386"/>
  <c r="V137" i="385"/>
  <c r="V138" i="385" s="1"/>
  <c r="T16" i="97" s="1"/>
  <c r="U138" i="385"/>
  <c r="S16" i="97" s="1"/>
  <c r="S12" i="97"/>
  <c r="R14" i="97"/>
  <c r="W25" i="391"/>
  <c r="W28" i="391" s="1"/>
  <c r="U28" i="391"/>
  <c r="U16" i="390"/>
  <c r="T17" i="390"/>
  <c r="T25" i="390" s="1"/>
  <c r="W69" i="386"/>
  <c r="W101" i="386" s="1"/>
  <c r="U101" i="386"/>
  <c r="M29" i="394"/>
  <c r="T27" i="394"/>
  <c r="U27" i="394" s="1"/>
  <c r="T67" i="395"/>
  <c r="U67" i="395"/>
  <c r="V133" i="396"/>
  <c r="U133" i="396"/>
  <c r="D134" i="396"/>
  <c r="D135" i="396" s="1"/>
  <c r="T134" i="396"/>
  <c r="T22" i="392"/>
  <c r="U22" i="392"/>
  <c r="T26" i="390"/>
  <c r="U26" i="390" s="1"/>
  <c r="D26" i="390"/>
  <c r="D27" i="390" s="1"/>
  <c r="W10" i="389"/>
  <c r="W11" i="389" s="1"/>
  <c r="T18" i="387"/>
  <c r="U18" i="387" s="1"/>
  <c r="D18" i="387"/>
  <c r="D19" i="387" s="1"/>
  <c r="U17" i="387"/>
  <c r="W5" i="387"/>
  <c r="W17" i="387" s="1"/>
  <c r="T19" i="387"/>
  <c r="T142" i="386"/>
  <c r="U142" i="386" s="1"/>
  <c r="W16" i="386"/>
  <c r="W17" i="386" s="1"/>
  <c r="U7" i="97" s="1"/>
  <c r="U68" i="385"/>
  <c r="V7" i="385"/>
  <c r="V13" i="385" s="1"/>
  <c r="U13" i="385"/>
  <c r="V75" i="385"/>
  <c r="V76" i="385" s="1"/>
  <c r="T10" i="97" s="1"/>
  <c r="U76" i="385"/>
  <c r="T70" i="385"/>
  <c r="M73" i="385"/>
  <c r="O70" i="385"/>
  <c r="O73" i="385" s="1"/>
  <c r="O68" i="385"/>
  <c r="M8" i="97" s="1"/>
  <c r="V146" i="385"/>
  <c r="V147" i="385" s="1"/>
  <c r="U147" i="385"/>
  <c r="V56" i="385"/>
  <c r="V15" i="385"/>
  <c r="U40" i="384"/>
  <c r="T66" i="384"/>
  <c r="R8" i="97" s="1"/>
  <c r="O37" i="384"/>
  <c r="T37" i="384"/>
  <c r="R7" i="97" s="1"/>
  <c r="U6" i="384"/>
  <c r="U37" i="384" s="1"/>
  <c r="T74" i="384"/>
  <c r="U74" i="384" s="1"/>
  <c r="M9" i="97" l="1"/>
  <c r="O151" i="385"/>
  <c r="W12" i="389"/>
  <c r="V16" i="390"/>
  <c r="V17" i="390" s="1"/>
  <c r="U17" i="390"/>
  <c r="U25" i="390" s="1"/>
  <c r="W6" i="386"/>
  <c r="W7" i="386" s="1"/>
  <c r="U7" i="386"/>
  <c r="Y17" i="97"/>
  <c r="AA141" i="386"/>
  <c r="V73" i="384"/>
  <c r="T15" i="97"/>
  <c r="V9" i="394"/>
  <c r="V14" i="394" s="1"/>
  <c r="V26" i="394" s="1"/>
  <c r="V29" i="394" s="1"/>
  <c r="U14" i="394"/>
  <c r="U26" i="394" s="1"/>
  <c r="U29" i="394" s="1"/>
  <c r="W7" i="391"/>
  <c r="W9" i="391" s="1"/>
  <c r="U9" i="391"/>
  <c r="W9" i="386"/>
  <c r="W14" i="386" s="1"/>
  <c r="U10" i="97" s="1"/>
  <c r="U14" i="386"/>
  <c r="S10" i="97" s="1"/>
  <c r="V68" i="385"/>
  <c r="K9" i="97"/>
  <c r="M151" i="385"/>
  <c r="U19" i="387"/>
  <c r="U29" i="391"/>
  <c r="U31" i="391" s="1"/>
  <c r="U10" i="390"/>
  <c r="S7" i="97" s="1"/>
  <c r="V6" i="390"/>
  <c r="V10" i="390" s="1"/>
  <c r="W45" i="386"/>
  <c r="W61" i="386" s="1"/>
  <c r="U9" i="97" s="1"/>
  <c r="U61" i="386"/>
  <c r="R6" i="97"/>
  <c r="T141" i="386"/>
  <c r="S15" i="97"/>
  <c r="T73" i="384"/>
  <c r="D74" i="384"/>
  <c r="D75" i="384" s="1"/>
  <c r="M7" i="97"/>
  <c r="O73" i="384"/>
  <c r="U27" i="390"/>
  <c r="U11" i="97"/>
  <c r="W29" i="391"/>
  <c r="U12" i="97"/>
  <c r="W120" i="386"/>
  <c r="W122" i="386" s="1"/>
  <c r="U14" i="97" s="1"/>
  <c r="U122" i="386"/>
  <c r="S14" i="97" s="1"/>
  <c r="W131" i="386"/>
  <c r="W140" i="386" s="1"/>
  <c r="U18" i="97" s="1"/>
  <c r="U140" i="386"/>
  <c r="S18" i="97" s="1"/>
  <c r="U134" i="396"/>
  <c r="U135" i="396" s="1"/>
  <c r="T135" i="396"/>
  <c r="T27" i="390"/>
  <c r="T143" i="386"/>
  <c r="U70" i="385"/>
  <c r="T73" i="385"/>
  <c r="V40" i="384"/>
  <c r="V66" i="384" s="1"/>
  <c r="U66" i="384"/>
  <c r="S8" i="97" s="1"/>
  <c r="V6" i="384"/>
  <c r="V37" i="384"/>
  <c r="T7" i="97" s="1"/>
  <c r="T75" i="384"/>
  <c r="S7" i="355"/>
  <c r="K7" i="355"/>
  <c r="L7" i="355" s="1"/>
  <c r="F7" i="355"/>
  <c r="N9" i="355"/>
  <c r="N8" i="355"/>
  <c r="AA7" i="313"/>
  <c r="N7" i="313"/>
  <c r="T8" i="97" l="1"/>
  <c r="U73" i="384"/>
  <c r="U75" i="384" s="1"/>
  <c r="U6" i="97"/>
  <c r="W141" i="386"/>
  <c r="D152" i="385"/>
  <c r="D153" i="385" s="1"/>
  <c r="T152" i="385"/>
  <c r="U152" i="385" s="1"/>
  <c r="V25" i="390"/>
  <c r="R9" i="97"/>
  <c r="T151" i="385"/>
  <c r="T153" i="385" s="1"/>
  <c r="S6" i="97"/>
  <c r="U141" i="386"/>
  <c r="U143" i="386" s="1"/>
  <c r="V70" i="385"/>
  <c r="V73" i="385" s="1"/>
  <c r="U73" i="385"/>
  <c r="P7" i="355"/>
  <c r="D15" i="358"/>
  <c r="T9" i="97" l="1"/>
  <c r="V151" i="385"/>
  <c r="S9" i="97"/>
  <c r="U151" i="385"/>
  <c r="U153" i="385" s="1"/>
  <c r="M7" i="355"/>
  <c r="O7" i="355" s="1"/>
  <c r="T7" i="355" l="1"/>
  <c r="U7" i="355" s="1"/>
  <c r="V7" i="355" s="1"/>
  <c r="N11" i="351" l="1"/>
  <c r="S47" i="12" l="1"/>
  <c r="D11" i="352" l="1"/>
  <c r="H11" i="44"/>
  <c r="I26" i="350" l="1"/>
  <c r="D106" i="351" l="1"/>
  <c r="F106" i="351" s="1"/>
  <c r="D14" i="351"/>
  <c r="N14" i="351"/>
  <c r="E10" i="160" s="1"/>
  <c r="S106" i="351"/>
  <c r="K106" i="351"/>
  <c r="L106" i="351" s="1"/>
  <c r="P106" i="351" l="1"/>
  <c r="N40" i="351"/>
  <c r="D95" i="313"/>
  <c r="N67" i="313"/>
  <c r="N84" i="313"/>
  <c r="N60" i="313"/>
  <c r="N103" i="313"/>
  <c r="E12" i="99" s="1"/>
  <c r="M106" i="351" l="1"/>
  <c r="O106" i="351" s="1"/>
  <c r="D131" i="313"/>
  <c r="T106" i="351" l="1"/>
  <c r="U106" i="351" s="1"/>
  <c r="W106" i="351" s="1"/>
  <c r="N17" i="313"/>
  <c r="D41" i="313" l="1"/>
  <c r="D33" i="313"/>
  <c r="N7" i="358" l="1"/>
  <c r="J7" i="358"/>
  <c r="J6" i="358"/>
  <c r="N7" i="359"/>
  <c r="N9" i="357"/>
  <c r="N7" i="357"/>
  <c r="N8" i="357"/>
  <c r="N13" i="356"/>
  <c r="N8" i="356"/>
  <c r="N6" i="356"/>
  <c r="D12" i="353"/>
  <c r="N12" i="353"/>
  <c r="N10" i="353"/>
  <c r="N8" i="353"/>
  <c r="N7" i="353"/>
  <c r="N105" i="351"/>
  <c r="E8" i="160" s="1"/>
  <c r="J14" i="352"/>
  <c r="N5" i="352"/>
  <c r="J5" i="352"/>
  <c r="N103" i="351" l="1"/>
  <c r="J103" i="351"/>
  <c r="J89" i="351"/>
  <c r="N88" i="351"/>
  <c r="E11" i="160" s="1"/>
  <c r="J88" i="351"/>
  <c r="N85" i="351"/>
  <c r="N80" i="351"/>
  <c r="E9" i="160" s="1"/>
  <c r="J80" i="351"/>
  <c r="J75" i="351"/>
  <c r="J74" i="351"/>
  <c r="J72" i="351"/>
  <c r="N71" i="351"/>
  <c r="E17" i="160" s="1"/>
  <c r="N54" i="351" l="1"/>
  <c r="N49" i="351"/>
  <c r="N45" i="351"/>
  <c r="N37" i="351"/>
  <c r="E12" i="160" s="1"/>
  <c r="N35" i="313"/>
  <c r="J37" i="351"/>
  <c r="N33" i="351"/>
  <c r="J32" i="351"/>
  <c r="D27" i="351" l="1"/>
  <c r="J27" i="351"/>
  <c r="N26" i="351"/>
  <c r="N20" i="351"/>
  <c r="N19" i="351"/>
  <c r="N18" i="351"/>
  <c r="N17" i="351"/>
  <c r="J17" i="351"/>
  <c r="N16" i="351"/>
  <c r="N15" i="351"/>
  <c r="J14" i="351"/>
  <c r="J6" i="351"/>
  <c r="N12" i="351"/>
  <c r="E15" i="160" s="1"/>
  <c r="J12" i="351"/>
  <c r="N10" i="351"/>
  <c r="J10" i="351"/>
  <c r="N8" i="351"/>
  <c r="E14" i="160" s="1"/>
  <c r="J8" i="351"/>
  <c r="N7" i="351"/>
  <c r="N5" i="351"/>
  <c r="AA129" i="313" l="1"/>
  <c r="D129" i="313"/>
  <c r="D64" i="350"/>
  <c r="J49" i="350"/>
  <c r="N31" i="350"/>
  <c r="J17" i="350"/>
  <c r="N15" i="350"/>
  <c r="N14" i="350"/>
  <c r="J14" i="350"/>
  <c r="N9" i="350"/>
  <c r="E10" i="163" s="1"/>
  <c r="J9" i="350"/>
  <c r="J8" i="350"/>
  <c r="N87" i="313"/>
  <c r="N63" i="313"/>
  <c r="N45" i="313"/>
  <c r="N37" i="313"/>
  <c r="E11" i="99" s="1"/>
  <c r="N31" i="313"/>
  <c r="E10" i="99" s="1"/>
  <c r="N27" i="313"/>
  <c r="E22" i="99" s="1"/>
  <c r="N16" i="313"/>
  <c r="N5" i="313"/>
  <c r="E16" i="99" s="1"/>
  <c r="D17" i="356" l="1"/>
  <c r="D17" i="351"/>
  <c r="F17" i="351" s="1"/>
  <c r="D17" i="350"/>
  <c r="E16" i="358"/>
  <c r="G16" i="358"/>
  <c r="H16" i="358"/>
  <c r="I16" i="358"/>
  <c r="J16" i="358"/>
  <c r="R16" i="358"/>
  <c r="W16" i="358"/>
  <c r="X16" i="358"/>
  <c r="Y16" i="358"/>
  <c r="Z16" i="358"/>
  <c r="F17" i="357"/>
  <c r="K17" i="357"/>
  <c r="L17" i="357" s="1"/>
  <c r="S17" i="357"/>
  <c r="F17" i="356"/>
  <c r="K17" i="356"/>
  <c r="L17" i="356"/>
  <c r="P17" i="356" s="1"/>
  <c r="N17" i="356"/>
  <c r="S17" i="356"/>
  <c r="E16" i="353"/>
  <c r="G16" i="353"/>
  <c r="H16" i="353"/>
  <c r="I16" i="353"/>
  <c r="J16" i="353"/>
  <c r="Q16" i="353"/>
  <c r="R16" i="353"/>
  <c r="X16" i="353"/>
  <c r="Y16" i="353"/>
  <c r="Z16" i="353"/>
  <c r="K17" i="351"/>
  <c r="L17" i="351" s="1"/>
  <c r="S17" i="351"/>
  <c r="F17" i="313"/>
  <c r="J17" i="313"/>
  <c r="K17" i="313"/>
  <c r="L17" i="313" s="1"/>
  <c r="P17" i="313" s="1"/>
  <c r="S17" i="313"/>
  <c r="K17" i="350"/>
  <c r="L17" i="350" s="1"/>
  <c r="P17" i="350" s="1"/>
  <c r="N17" i="350"/>
  <c r="S17" i="350"/>
  <c r="M17" i="313" l="1"/>
  <c r="T17" i="313" s="1"/>
  <c r="U17" i="313" s="1"/>
  <c r="V17" i="313" s="1"/>
  <c r="M17" i="350"/>
  <c r="T17" i="350" s="1"/>
  <c r="U17" i="350" s="1"/>
  <c r="V17" i="350" s="1"/>
  <c r="S39" i="12"/>
  <c r="M17" i="356"/>
  <c r="O17" i="356" s="1"/>
  <c r="P17" i="351"/>
  <c r="M17" i="351" s="1"/>
  <c r="P17" i="357"/>
  <c r="M17" i="357" s="1"/>
  <c r="F17" i="350"/>
  <c r="D14" i="38"/>
  <c r="D13" i="38"/>
  <c r="N107" i="351"/>
  <c r="N9" i="351"/>
  <c r="T17" i="356" l="1"/>
  <c r="U17" i="356" s="1"/>
  <c r="W17" i="356" s="1"/>
  <c r="O17" i="350"/>
  <c r="O17" i="313"/>
  <c r="O17" i="351"/>
  <c r="T17" i="351"/>
  <c r="U17" i="351" s="1"/>
  <c r="W17" i="351" s="1"/>
  <c r="O17" i="357"/>
  <c r="T17" i="357"/>
  <c r="U17" i="357" s="1"/>
  <c r="V17" i="357" s="1"/>
  <c r="N55" i="350" l="1"/>
  <c r="N46" i="350"/>
  <c r="J19" i="350" l="1"/>
  <c r="J13" i="350" l="1"/>
  <c r="S48" i="12" l="1"/>
  <c r="N59" i="350" l="1"/>
  <c r="N30" i="351" l="1"/>
  <c r="F11" i="100" l="1"/>
  <c r="AA116" i="313"/>
  <c r="C19" i="38"/>
  <c r="D7" i="358" l="1"/>
  <c r="N6" i="358"/>
  <c r="N16" i="358" s="1"/>
  <c r="N5" i="359"/>
  <c r="D16" i="357"/>
  <c r="N16" i="357"/>
  <c r="N12" i="356"/>
  <c r="N9" i="356"/>
  <c r="N5" i="356"/>
  <c r="N7" i="354"/>
  <c r="N5" i="354"/>
  <c r="N16" i="352"/>
  <c r="N15" i="352"/>
  <c r="N14" i="352"/>
  <c r="N34" i="351"/>
  <c r="N112" i="351"/>
  <c r="N99" i="351"/>
  <c r="N92" i="351"/>
  <c r="N89" i="351"/>
  <c r="N79" i="351"/>
  <c r="N75" i="351"/>
  <c r="N74" i="351"/>
  <c r="N72" i="351"/>
  <c r="E16" i="160" s="1"/>
  <c r="N69" i="351"/>
  <c r="N58" i="351"/>
  <c r="N53" i="351"/>
  <c r="N35" i="351"/>
  <c r="N27" i="351"/>
  <c r="E13" i="160" s="1"/>
  <c r="N64" i="350"/>
  <c r="N63" i="350"/>
  <c r="N62" i="350"/>
  <c r="N61" i="350"/>
  <c r="N58" i="350"/>
  <c r="N57" i="350"/>
  <c r="N49" i="350"/>
  <c r="E9" i="163" s="1"/>
  <c r="N47" i="350"/>
  <c r="N45" i="350"/>
  <c r="N44" i="350"/>
  <c r="N39" i="350"/>
  <c r="N38" i="350"/>
  <c r="N36" i="350"/>
  <c r="N28" i="350"/>
  <c r="N26" i="350"/>
  <c r="N24" i="350"/>
  <c r="E8" i="163" s="1"/>
  <c r="N23" i="350"/>
  <c r="N22" i="350"/>
  <c r="N21" i="350"/>
  <c r="N20" i="350"/>
  <c r="N18" i="350"/>
  <c r="N13" i="350"/>
  <c r="N8" i="350"/>
  <c r="N120" i="313"/>
  <c r="N131" i="313"/>
  <c r="N128" i="313"/>
  <c r="N126" i="313"/>
  <c r="D125" i="313"/>
  <c r="N124" i="313"/>
  <c r="D123" i="313"/>
  <c r="N113" i="313"/>
  <c r="N112" i="313"/>
  <c r="N110" i="313"/>
  <c r="N108" i="313"/>
  <c r="E21" i="99" s="1"/>
  <c r="N107" i="313"/>
  <c r="N102" i="313"/>
  <c r="N101" i="313" l="1"/>
  <c r="D100" i="313"/>
  <c r="D99" i="313" l="1"/>
  <c r="N98" i="313"/>
  <c r="E19" i="99" s="1"/>
  <c r="N97" i="313"/>
  <c r="N96" i="313"/>
  <c r="N92" i="313"/>
  <c r="N90" i="313"/>
  <c r="N89" i="313"/>
  <c r="N86" i="313"/>
  <c r="D83" i="313"/>
  <c r="N82" i="313"/>
  <c r="E17" i="99" s="1"/>
  <c r="N81" i="313"/>
  <c r="N80" i="313"/>
  <c r="N78" i="313"/>
  <c r="E13" i="99" s="1"/>
  <c r="N71" i="313"/>
  <c r="N70" i="313"/>
  <c r="N69" i="313"/>
  <c r="N68" i="313"/>
  <c r="N66" i="313"/>
  <c r="N64" i="313"/>
  <c r="N62" i="313" l="1"/>
  <c r="N52" i="313"/>
  <c r="N50" i="313"/>
  <c r="E20" i="99" s="1"/>
  <c r="N49" i="313"/>
  <c r="N48" i="313"/>
  <c r="E15" i="99" s="1"/>
  <c r="N47" i="313"/>
  <c r="N46" i="313"/>
  <c r="D44" i="313"/>
  <c r="N43" i="313"/>
  <c r="D40" i="313"/>
  <c r="N40" i="313"/>
  <c r="N39" i="313"/>
  <c r="N38" i="313"/>
  <c r="N36" i="313"/>
  <c r="N33" i="313"/>
  <c r="E18" i="99" s="1"/>
  <c r="D32" i="313"/>
  <c r="N30" i="313"/>
  <c r="N29" i="313"/>
  <c r="N26" i="313"/>
  <c r="J22" i="313"/>
  <c r="N21" i="313"/>
  <c r="N20" i="313"/>
  <c r="J19" i="313"/>
  <c r="N18" i="313"/>
  <c r="J16" i="313"/>
  <c r="N11" i="313"/>
  <c r="N8" i="313"/>
  <c r="J15" i="313" l="1"/>
  <c r="J14" i="313"/>
  <c r="N13" i="313"/>
  <c r="J12" i="313"/>
  <c r="J11" i="313"/>
  <c r="N10" i="313"/>
  <c r="J10" i="313"/>
  <c r="J8" i="313"/>
  <c r="J7" i="313"/>
  <c r="J6" i="313"/>
  <c r="Y105" i="351" l="1"/>
  <c r="E105" i="351"/>
  <c r="D105" i="351"/>
  <c r="D40" i="350" l="1"/>
  <c r="D29" i="350" l="1"/>
  <c r="D14" i="350" l="1"/>
  <c r="D8" i="350"/>
  <c r="D33" i="350" l="1"/>
  <c r="I33" i="350"/>
  <c r="D26" i="313" l="1"/>
  <c r="D10" i="353" l="1"/>
  <c r="N114" i="351"/>
  <c r="D114" i="351"/>
  <c r="D107" i="351"/>
  <c r="F107" i="351" s="1"/>
  <c r="K107" i="351"/>
  <c r="L107" i="351"/>
  <c r="S107" i="351"/>
  <c r="P107" i="351" l="1"/>
  <c r="M107" i="351" l="1"/>
  <c r="O107" i="351" s="1"/>
  <c r="T107" i="351" l="1"/>
  <c r="U107" i="351" s="1"/>
  <c r="W107" i="351" s="1"/>
  <c r="AA80" i="351" l="1"/>
  <c r="D101" i="313" l="1"/>
  <c r="D93" i="313"/>
  <c r="D65" i="313"/>
  <c r="D45" i="313" l="1"/>
  <c r="D78" i="313" l="1"/>
  <c r="AA27" i="313" l="1"/>
  <c r="AA39" i="313"/>
  <c r="W50" i="313" l="1"/>
  <c r="X2" i="313" l="1"/>
  <c r="AA126" i="313"/>
  <c r="AA124" i="313"/>
  <c r="D10" i="358" l="1"/>
  <c r="AA98" i="313" l="1"/>
  <c r="D86" i="351"/>
  <c r="D83" i="351"/>
  <c r="D60" i="351"/>
  <c r="N15" i="353" l="1"/>
  <c r="D15" i="353"/>
  <c r="N13" i="353"/>
  <c r="N5" i="353"/>
  <c r="N9" i="352"/>
  <c r="N108" i="351"/>
  <c r="N76" i="351"/>
  <c r="AA32" i="351" l="1"/>
  <c r="D6" i="44" s="1"/>
  <c r="N116" i="313"/>
  <c r="N115" i="313"/>
  <c r="D62" i="313"/>
  <c r="N106" i="313"/>
  <c r="E14" i="99" s="1"/>
  <c r="N94" i="313"/>
  <c r="N88" i="313"/>
  <c r="N79" i="313"/>
  <c r="N76" i="313"/>
  <c r="N73" i="313"/>
  <c r="N65" i="313"/>
  <c r="N55" i="313"/>
  <c r="N28" i="313"/>
  <c r="N15" i="313"/>
  <c r="N48" i="350"/>
  <c r="N34" i="350"/>
  <c r="A143" i="12" l="1"/>
  <c r="A146" i="12" s="1"/>
  <c r="U115" i="313"/>
  <c r="V115" i="313" s="1"/>
  <c r="O115" i="313"/>
  <c r="F115" i="313"/>
  <c r="C10" i="38" l="1"/>
  <c r="S114" i="351" l="1"/>
  <c r="K114" i="351"/>
  <c r="L114" i="351" s="1"/>
  <c r="F114" i="351"/>
  <c r="D104" i="351"/>
  <c r="N104" i="351"/>
  <c r="P114" i="351" l="1"/>
  <c r="M114" i="351" l="1"/>
  <c r="O114" i="351" s="1"/>
  <c r="D37" i="350"/>
  <c r="T114" i="351" l="1"/>
  <c r="U114" i="351" s="1"/>
  <c r="D6" i="358" l="1"/>
  <c r="AA12" i="353" l="1"/>
  <c r="D32" i="351"/>
  <c r="D9" i="38" l="1"/>
  <c r="AA106" i="313" l="1"/>
  <c r="B5" i="44" s="1"/>
  <c r="S51" i="351" l="1"/>
  <c r="K51" i="351"/>
  <c r="L51" i="351" s="1"/>
  <c r="P51" i="351" s="1"/>
  <c r="F51" i="351"/>
  <c r="D7" i="44"/>
  <c r="S42" i="351"/>
  <c r="K42" i="351"/>
  <c r="H42" i="351"/>
  <c r="F42" i="351"/>
  <c r="L42" i="351" l="1"/>
  <c r="P42" i="351" s="1"/>
  <c r="M42" i="351" s="1"/>
  <c r="O42" i="351" s="1"/>
  <c r="M51" i="351"/>
  <c r="O51" i="351" s="1"/>
  <c r="S12" i="356"/>
  <c r="K12" i="356"/>
  <c r="L12" i="356" s="1"/>
  <c r="D12" i="356"/>
  <c r="F12" i="356" s="1"/>
  <c r="T51" i="351" l="1"/>
  <c r="U51" i="351" s="1"/>
  <c r="W51" i="351" s="1"/>
  <c r="T42" i="351"/>
  <c r="U42" i="351" s="1"/>
  <c r="W42" i="351" s="1"/>
  <c r="P12" i="356"/>
  <c r="M12" i="356" l="1"/>
  <c r="O12" i="356" s="1"/>
  <c r="T12" i="356"/>
  <c r="U12" i="356" s="1"/>
  <c r="V12" i="356" s="1"/>
  <c r="N29" i="350" l="1"/>
  <c r="I29" i="350"/>
  <c r="I65" i="350" s="1"/>
  <c r="H117" i="313" l="1"/>
  <c r="X117" i="313"/>
  <c r="Y117" i="313"/>
  <c r="Z117" i="313"/>
  <c r="U116" i="313"/>
  <c r="V116" i="313" s="1"/>
  <c r="O116" i="313"/>
  <c r="F116" i="313"/>
  <c r="N114" i="313"/>
  <c r="U114" i="313" s="1"/>
  <c r="V114" i="313" s="1"/>
  <c r="D114" i="313"/>
  <c r="F114" i="313" s="1"/>
  <c r="U113" i="313"/>
  <c r="V113" i="313" s="1"/>
  <c r="O113" i="313"/>
  <c r="F113" i="313"/>
  <c r="S112" i="313"/>
  <c r="K112" i="313"/>
  <c r="L112" i="313" s="1"/>
  <c r="F112" i="313"/>
  <c r="S111" i="313"/>
  <c r="K111" i="313"/>
  <c r="L111" i="313" s="1"/>
  <c r="F111" i="313"/>
  <c r="AC133" i="313"/>
  <c r="P111" i="313" l="1"/>
  <c r="P112" i="313"/>
  <c r="O114" i="313"/>
  <c r="G6" i="44"/>
  <c r="AB115" i="351"/>
  <c r="Z115" i="351"/>
  <c r="Y115" i="351"/>
  <c r="E14" i="69" s="1"/>
  <c r="X115" i="351"/>
  <c r="R115" i="351"/>
  <c r="Q115" i="351"/>
  <c r="H115" i="351"/>
  <c r="G115" i="351"/>
  <c r="E17" i="352"/>
  <c r="G17" i="352"/>
  <c r="H17" i="352"/>
  <c r="I17" i="352"/>
  <c r="J17" i="352"/>
  <c r="Q17" i="352"/>
  <c r="R17" i="352"/>
  <c r="V17" i="352"/>
  <c r="X17" i="352"/>
  <c r="Y17" i="352"/>
  <c r="Z17" i="352"/>
  <c r="AA17" i="352"/>
  <c r="AA16" i="353"/>
  <c r="M112" i="313" l="1"/>
  <c r="O112" i="313" s="1"/>
  <c r="M111" i="313"/>
  <c r="O111" i="313" s="1"/>
  <c r="Q15" i="355"/>
  <c r="R15" i="355"/>
  <c r="W15" i="355"/>
  <c r="X15" i="355"/>
  <c r="Y15" i="355"/>
  <c r="Z15" i="355"/>
  <c r="AA15" i="355"/>
  <c r="E16" i="77" s="1"/>
  <c r="E15" i="355"/>
  <c r="G15" i="355"/>
  <c r="H15" i="355"/>
  <c r="I15" i="355"/>
  <c r="J15" i="355"/>
  <c r="E19" i="356"/>
  <c r="G19" i="356"/>
  <c r="H19" i="356"/>
  <c r="I19" i="356"/>
  <c r="Q19" i="356"/>
  <c r="R19" i="356"/>
  <c r="X19" i="356"/>
  <c r="Y19" i="356"/>
  <c r="Z19" i="356"/>
  <c r="AA19" i="356"/>
  <c r="N16" i="356"/>
  <c r="T111" i="313" l="1"/>
  <c r="U111" i="313" s="1"/>
  <c r="V111" i="313" s="1"/>
  <c r="T112" i="313"/>
  <c r="U112" i="313" s="1"/>
  <c r="V112" i="313" s="1"/>
  <c r="AA20" i="357"/>
  <c r="E20" i="357"/>
  <c r="G20" i="357"/>
  <c r="H20" i="357"/>
  <c r="I20" i="357"/>
  <c r="J20" i="357"/>
  <c r="N20" i="357"/>
  <c r="Q20" i="357"/>
  <c r="R20" i="357"/>
  <c r="W20" i="357"/>
  <c r="X20" i="357"/>
  <c r="Y20" i="357"/>
  <c r="Z20" i="357"/>
  <c r="D20" i="357"/>
  <c r="E13" i="359"/>
  <c r="G13" i="359"/>
  <c r="H13" i="359"/>
  <c r="I13" i="359"/>
  <c r="J13" i="359"/>
  <c r="Q13" i="359"/>
  <c r="R13" i="359"/>
  <c r="W13" i="359"/>
  <c r="X13" i="359"/>
  <c r="Y13" i="359"/>
  <c r="Z13" i="359"/>
  <c r="AA13" i="359"/>
  <c r="N9" i="359"/>
  <c r="D9" i="359"/>
  <c r="N113" i="351" l="1"/>
  <c r="N36" i="351"/>
  <c r="D107" i="313" l="1"/>
  <c r="I5" i="44" l="1"/>
  <c r="N14" i="355" l="1"/>
  <c r="N13" i="355"/>
  <c r="N12" i="355"/>
  <c r="N83" i="313" l="1"/>
  <c r="D56" i="313"/>
  <c r="N56" i="313"/>
  <c r="N53" i="350" l="1"/>
  <c r="N43" i="350"/>
  <c r="N33" i="350"/>
  <c r="N7" i="350"/>
  <c r="N6" i="350"/>
  <c r="D9" i="358" l="1"/>
  <c r="D8" i="358"/>
  <c r="AA16" i="358" l="1"/>
  <c r="K6" i="44" l="1"/>
  <c r="I6" i="44"/>
  <c r="D28" i="351" l="1"/>
  <c r="N11" i="359" l="1"/>
  <c r="N10" i="359"/>
  <c r="N13" i="359"/>
  <c r="D6" i="359"/>
  <c r="D67" i="351" l="1"/>
  <c r="N67" i="351"/>
  <c r="D87" i="351" l="1"/>
  <c r="D80" i="351"/>
  <c r="N62" i="351" l="1"/>
  <c r="J62" i="351"/>
  <c r="I62" i="351"/>
  <c r="I115" i="351" s="1"/>
  <c r="D59" i="351"/>
  <c r="D6" i="355" l="1"/>
  <c r="D15" i="355" s="1"/>
  <c r="U14" i="355" l="1"/>
  <c r="V14" i="355" s="1"/>
  <c r="O14" i="355"/>
  <c r="F14" i="355"/>
  <c r="D13" i="356" l="1"/>
  <c r="D49" i="313"/>
  <c r="D31" i="313" l="1"/>
  <c r="N98" i="351" l="1"/>
  <c r="D85" i="351" l="1"/>
  <c r="D81" i="351"/>
  <c r="D16" i="313" l="1"/>
  <c r="D30" i="313"/>
  <c r="D21" i="351" l="1"/>
  <c r="S113" i="351" l="1"/>
  <c r="K113" i="351"/>
  <c r="L113" i="351" s="1"/>
  <c r="F113" i="351"/>
  <c r="P113" i="351" l="1"/>
  <c r="M113" i="351" l="1"/>
  <c r="O113" i="351" s="1"/>
  <c r="A6" i="353"/>
  <c r="A7" i="353" l="1"/>
  <c r="A8" i="353" s="1"/>
  <c r="A9" i="353"/>
  <c r="A10" i="353" s="1"/>
  <c r="A11" i="353" s="1"/>
  <c r="A12" i="353" s="1"/>
  <c r="A13" i="353" s="1"/>
  <c r="A14" i="353" s="1"/>
  <c r="A15" i="353" s="1"/>
  <c r="T113" i="351"/>
  <c r="U113" i="351" s="1"/>
  <c r="A16" i="353" l="1"/>
  <c r="A129" i="353" s="1"/>
  <c r="A132" i="353" s="1"/>
  <c r="D53" i="313"/>
  <c r="D106" i="313"/>
  <c r="N74" i="313" l="1"/>
  <c r="N10" i="356" l="1"/>
  <c r="N30" i="350" l="1"/>
  <c r="D34" i="313"/>
  <c r="I8" i="44" l="1"/>
  <c r="D81" i="313" l="1"/>
  <c r="D110" i="313" l="1"/>
  <c r="N12" i="352" l="1"/>
  <c r="AA92" i="313" l="1"/>
  <c r="AA50" i="313"/>
  <c r="H5" i="44" l="1"/>
  <c r="C5" i="44" l="1"/>
  <c r="D86" i="313" l="1"/>
  <c r="D9" i="353"/>
  <c r="N9" i="353"/>
  <c r="N16" i="353" s="1"/>
  <c r="D103" i="313" l="1"/>
  <c r="D29" i="313"/>
  <c r="D99" i="351" l="1"/>
  <c r="D89" i="351" l="1"/>
  <c r="D53" i="351" l="1"/>
  <c r="S15" i="353" l="1"/>
  <c r="K15" i="353"/>
  <c r="L15" i="353" s="1"/>
  <c r="F15" i="353"/>
  <c r="S14" i="353"/>
  <c r="K14" i="353"/>
  <c r="L14" i="353" s="1"/>
  <c r="F14" i="353"/>
  <c r="P15" i="353" l="1"/>
  <c r="P14" i="353"/>
  <c r="M15" i="353" l="1"/>
  <c r="O15" i="353" s="1"/>
  <c r="M14" i="353"/>
  <c r="O14" i="353" s="1"/>
  <c r="T14" i="353" l="1"/>
  <c r="U14" i="353" s="1"/>
  <c r="V14" i="353" s="1"/>
  <c r="T15" i="353"/>
  <c r="U15" i="353" s="1"/>
  <c r="V15" i="353" s="1"/>
  <c r="N19" i="350"/>
  <c r="D6" i="350"/>
  <c r="W162" i="380" l="1"/>
  <c r="V161" i="380"/>
  <c r="T161" i="380"/>
  <c r="T160" i="380"/>
  <c r="V159" i="380"/>
  <c r="V162" i="380" s="1"/>
  <c r="U159" i="380"/>
  <c r="T158" i="380"/>
  <c r="X151" i="380"/>
  <c r="W151" i="380"/>
  <c r="V151" i="380"/>
  <c r="U151" i="380"/>
  <c r="T151" i="380"/>
  <c r="S151" i="380"/>
  <c r="R151" i="380"/>
  <c r="Q151" i="380"/>
  <c r="P151" i="380"/>
  <c r="O151" i="380"/>
  <c r="N151" i="380"/>
  <c r="M151" i="380"/>
  <c r="L151" i="380"/>
  <c r="K151" i="380"/>
  <c r="J151" i="380"/>
  <c r="I151" i="380"/>
  <c r="H151" i="380"/>
  <c r="G151" i="380"/>
  <c r="F151" i="380"/>
  <c r="E151" i="380"/>
  <c r="C151" i="380"/>
  <c r="X150" i="380"/>
  <c r="W150" i="380"/>
  <c r="V150" i="380"/>
  <c r="U150" i="380"/>
  <c r="T150" i="380"/>
  <c r="S150" i="380"/>
  <c r="R150" i="380"/>
  <c r="Q150" i="380"/>
  <c r="P150" i="380"/>
  <c r="O150" i="380"/>
  <c r="N150" i="380"/>
  <c r="M150" i="380"/>
  <c r="L150" i="380"/>
  <c r="K150" i="380"/>
  <c r="J150" i="380"/>
  <c r="I150" i="380"/>
  <c r="H150" i="380"/>
  <c r="G150" i="380"/>
  <c r="F150" i="380"/>
  <c r="E150" i="380"/>
  <c r="C150" i="380"/>
  <c r="X149" i="380"/>
  <c r="V149" i="380"/>
  <c r="U149" i="380"/>
  <c r="T149" i="380"/>
  <c r="S149" i="380"/>
  <c r="R149" i="380"/>
  <c r="Q149" i="380"/>
  <c r="P149" i="380"/>
  <c r="O149" i="380"/>
  <c r="N149" i="380"/>
  <c r="M149" i="380"/>
  <c r="L149" i="380"/>
  <c r="K149" i="380"/>
  <c r="J149" i="380"/>
  <c r="I149" i="380"/>
  <c r="H149" i="380"/>
  <c r="G149" i="380"/>
  <c r="F149" i="380"/>
  <c r="C149" i="380"/>
  <c r="X148" i="380"/>
  <c r="V148" i="380"/>
  <c r="U148" i="380"/>
  <c r="T148" i="380"/>
  <c r="S148" i="380"/>
  <c r="R148" i="380"/>
  <c r="Q148" i="380"/>
  <c r="P148" i="380"/>
  <c r="O148" i="380"/>
  <c r="N148" i="380"/>
  <c r="M148" i="380"/>
  <c r="L148" i="380"/>
  <c r="K148" i="380"/>
  <c r="J148" i="380"/>
  <c r="I148" i="380"/>
  <c r="H148" i="380"/>
  <c r="G148" i="380"/>
  <c r="F148" i="380"/>
  <c r="C148" i="380"/>
  <c r="X147" i="380"/>
  <c r="V147" i="380"/>
  <c r="U147" i="380"/>
  <c r="T147" i="380"/>
  <c r="S147" i="380"/>
  <c r="R147" i="380"/>
  <c r="Q147" i="380"/>
  <c r="P147" i="380"/>
  <c r="O147" i="380"/>
  <c r="N147" i="380"/>
  <c r="M147" i="380"/>
  <c r="L147" i="380"/>
  <c r="K147" i="380"/>
  <c r="J147" i="380"/>
  <c r="I147" i="380"/>
  <c r="H147" i="380"/>
  <c r="G147" i="380"/>
  <c r="F147" i="380"/>
  <c r="C147" i="380"/>
  <c r="X146" i="380"/>
  <c r="V146" i="380"/>
  <c r="U146" i="380"/>
  <c r="T146" i="380"/>
  <c r="S146" i="380"/>
  <c r="R146" i="380"/>
  <c r="Q146" i="380"/>
  <c r="P146" i="380"/>
  <c r="O146" i="380"/>
  <c r="N146" i="380"/>
  <c r="M146" i="380"/>
  <c r="L146" i="380"/>
  <c r="K146" i="380"/>
  <c r="J146" i="380"/>
  <c r="I146" i="380"/>
  <c r="H146" i="380"/>
  <c r="G146" i="380"/>
  <c r="F146" i="380"/>
  <c r="C146" i="380"/>
  <c r="X145" i="380"/>
  <c r="V145" i="380"/>
  <c r="U145" i="380"/>
  <c r="T145" i="380"/>
  <c r="S145" i="380"/>
  <c r="R145" i="380"/>
  <c r="Q145" i="380"/>
  <c r="P145" i="380"/>
  <c r="O145" i="380"/>
  <c r="N145" i="380"/>
  <c r="M145" i="380"/>
  <c r="L145" i="380"/>
  <c r="K145" i="380"/>
  <c r="J145" i="380"/>
  <c r="I145" i="380"/>
  <c r="H145" i="380"/>
  <c r="G145" i="380"/>
  <c r="F145" i="380"/>
  <c r="C145" i="380"/>
  <c r="X144" i="380"/>
  <c r="V144" i="380"/>
  <c r="U144" i="380"/>
  <c r="T144" i="380"/>
  <c r="S144" i="380"/>
  <c r="R144" i="380"/>
  <c r="Q144" i="380"/>
  <c r="P144" i="380"/>
  <c r="O144" i="380"/>
  <c r="N144" i="380"/>
  <c r="M144" i="380"/>
  <c r="L144" i="380"/>
  <c r="K144" i="380"/>
  <c r="J144" i="380"/>
  <c r="I144" i="380"/>
  <c r="H144" i="380"/>
  <c r="G144" i="380"/>
  <c r="F144" i="380"/>
  <c r="C144" i="380"/>
  <c r="X143" i="380"/>
  <c r="V143" i="380"/>
  <c r="U143" i="380"/>
  <c r="T143" i="380"/>
  <c r="S143" i="380"/>
  <c r="R143" i="380"/>
  <c r="Q143" i="380"/>
  <c r="P143" i="380"/>
  <c r="O143" i="380"/>
  <c r="N143" i="380"/>
  <c r="M143" i="380"/>
  <c r="L143" i="380"/>
  <c r="K143" i="380"/>
  <c r="J143" i="380"/>
  <c r="I143" i="380"/>
  <c r="H143" i="380"/>
  <c r="G143" i="380"/>
  <c r="F143" i="380"/>
  <c r="C143" i="380"/>
  <c r="X142" i="380"/>
  <c r="V142" i="380"/>
  <c r="U142" i="380"/>
  <c r="T142" i="380"/>
  <c r="S142" i="380"/>
  <c r="R142" i="380"/>
  <c r="Q142" i="380"/>
  <c r="P142" i="380"/>
  <c r="O142" i="380"/>
  <c r="N142" i="380"/>
  <c r="M142" i="380"/>
  <c r="L142" i="380"/>
  <c r="K142" i="380"/>
  <c r="J142" i="380"/>
  <c r="I142" i="380"/>
  <c r="H142" i="380"/>
  <c r="G142" i="380"/>
  <c r="F142" i="380"/>
  <c r="C142" i="380"/>
  <c r="X141" i="380"/>
  <c r="V141" i="380"/>
  <c r="U141" i="380"/>
  <c r="T141" i="380"/>
  <c r="S141" i="380"/>
  <c r="R141" i="380"/>
  <c r="Q141" i="380"/>
  <c r="P141" i="380"/>
  <c r="O141" i="380"/>
  <c r="N141" i="380"/>
  <c r="M141" i="380"/>
  <c r="L141" i="380"/>
  <c r="K141" i="380"/>
  <c r="J141" i="380"/>
  <c r="I141" i="380"/>
  <c r="H141" i="380"/>
  <c r="G141" i="380"/>
  <c r="F141" i="380"/>
  <c r="C141" i="380"/>
  <c r="AL137" i="380"/>
  <c r="AJ137" i="380"/>
  <c r="AP137" i="380" s="1"/>
  <c r="AU136" i="380"/>
  <c r="AT136" i="380"/>
  <c r="AS136" i="380"/>
  <c r="AR136" i="380"/>
  <c r="AQ136" i="380"/>
  <c r="AO136" i="380"/>
  <c r="AM136" i="380"/>
  <c r="AI136" i="380"/>
  <c r="AH136" i="380"/>
  <c r="AG136" i="380"/>
  <c r="AF136" i="380"/>
  <c r="AE136" i="380"/>
  <c r="AD136" i="380"/>
  <c r="AC136" i="380"/>
  <c r="AB136" i="380"/>
  <c r="AA136" i="380"/>
  <c r="Z136" i="380"/>
  <c r="X136" i="380"/>
  <c r="V136" i="380"/>
  <c r="S136" i="380"/>
  <c r="O136" i="380"/>
  <c r="L136" i="380"/>
  <c r="K136" i="380"/>
  <c r="J136" i="380"/>
  <c r="I136" i="380"/>
  <c r="G136" i="380"/>
  <c r="F136" i="380"/>
  <c r="C136" i="380"/>
  <c r="AL135" i="380"/>
  <c r="AL136" i="380" s="1"/>
  <c r="AJ135" i="380"/>
  <c r="AP135" i="380" s="1"/>
  <c r="AP136" i="380" s="1"/>
  <c r="M135" i="380"/>
  <c r="M136" i="380" s="1"/>
  <c r="H135" i="380"/>
  <c r="H136" i="380" s="1"/>
  <c r="AU132" i="380"/>
  <c r="AQ132" i="380"/>
  <c r="AO132" i="380"/>
  <c r="AM132" i="380"/>
  <c r="AI132" i="380"/>
  <c r="AH132" i="380"/>
  <c r="AG132" i="380"/>
  <c r="AF132" i="380"/>
  <c r="AE132" i="380"/>
  <c r="AD132" i="380"/>
  <c r="AC132" i="380"/>
  <c r="AB132" i="380"/>
  <c r="AA132" i="380"/>
  <c r="Z132" i="380"/>
  <c r="X132" i="380"/>
  <c r="V132" i="380"/>
  <c r="S132" i="380"/>
  <c r="L132" i="380"/>
  <c r="K132" i="380"/>
  <c r="J132" i="380"/>
  <c r="I132" i="380"/>
  <c r="G132" i="380"/>
  <c r="F132" i="380"/>
  <c r="C132" i="380"/>
  <c r="AL131" i="380"/>
  <c r="AL132" i="380" s="1"/>
  <c r="AJ131" i="380"/>
  <c r="AJ132" i="380" s="1"/>
  <c r="O131" i="380"/>
  <c r="O132" i="380" s="1"/>
  <c r="M131" i="380"/>
  <c r="M132" i="380" s="1"/>
  <c r="H131" i="380"/>
  <c r="H132" i="380" s="1"/>
  <c r="AL129" i="380"/>
  <c r="AJ129" i="380"/>
  <c r="AK129" i="380" s="1"/>
  <c r="AU128" i="380"/>
  <c r="AT128" i="380"/>
  <c r="AS128" i="380"/>
  <c r="AQ128" i="380"/>
  <c r="AO128" i="380"/>
  <c r="AM128" i="380"/>
  <c r="AI128" i="380"/>
  <c r="AH128" i="380"/>
  <c r="AG128" i="380"/>
  <c r="AF128" i="380"/>
  <c r="AE128" i="380"/>
  <c r="AD128" i="380"/>
  <c r="AC128" i="380"/>
  <c r="AB128" i="380"/>
  <c r="AA128" i="380"/>
  <c r="Z128" i="380"/>
  <c r="X128" i="380"/>
  <c r="W128" i="380"/>
  <c r="V128" i="380"/>
  <c r="S128" i="380"/>
  <c r="O128" i="380"/>
  <c r="L128" i="380"/>
  <c r="K128" i="380"/>
  <c r="J128" i="380"/>
  <c r="I128" i="380"/>
  <c r="G128" i="380"/>
  <c r="F128" i="380"/>
  <c r="AR127" i="380"/>
  <c r="AR128" i="380" s="1"/>
  <c r="AN127" i="380"/>
  <c r="AN128" i="380" s="1"/>
  <c r="AJ127" i="380"/>
  <c r="M127" i="380"/>
  <c r="N127" i="380" s="1"/>
  <c r="H127" i="380"/>
  <c r="AL126" i="380"/>
  <c r="AJ126" i="380"/>
  <c r="AP126" i="380" s="1"/>
  <c r="M126" i="380"/>
  <c r="N126" i="380" s="1"/>
  <c r="H126" i="380"/>
  <c r="C126" i="380"/>
  <c r="AL125" i="380"/>
  <c r="AJ125" i="380"/>
  <c r="AP125" i="380" s="1"/>
  <c r="M125" i="380"/>
  <c r="N125" i="380" s="1"/>
  <c r="Q125" i="380" s="1"/>
  <c r="H125" i="380"/>
  <c r="AU122" i="380"/>
  <c r="AT122" i="380"/>
  <c r="AS122" i="380"/>
  <c r="AR122" i="380"/>
  <c r="AQ122" i="380"/>
  <c r="AO122" i="380"/>
  <c r="AM122" i="380"/>
  <c r="AI122" i="380"/>
  <c r="AH122" i="380"/>
  <c r="AG122" i="380"/>
  <c r="AF122" i="380"/>
  <c r="AE122" i="380"/>
  <c r="AD122" i="380"/>
  <c r="AC122" i="380"/>
  <c r="AB122" i="380"/>
  <c r="AA122" i="380"/>
  <c r="Z122" i="380"/>
  <c r="X122" i="380"/>
  <c r="V122" i="380"/>
  <c r="S122" i="380"/>
  <c r="O122" i="380"/>
  <c r="M122" i="380"/>
  <c r="L122" i="380"/>
  <c r="K122" i="380"/>
  <c r="J122" i="380"/>
  <c r="I122" i="380"/>
  <c r="G122" i="380"/>
  <c r="F122" i="380"/>
  <c r="C122" i="380"/>
  <c r="AL121" i="380"/>
  <c r="AL122" i="380" s="1"/>
  <c r="AJ121" i="380"/>
  <c r="N121" i="380"/>
  <c r="N122" i="380" s="1"/>
  <c r="H121" i="380"/>
  <c r="H122" i="380" s="1"/>
  <c r="AU116" i="380"/>
  <c r="AT116" i="380"/>
  <c r="AS116" i="380"/>
  <c r="AR116" i="380"/>
  <c r="AQ116" i="380"/>
  <c r="AO116" i="380"/>
  <c r="AM116" i="380"/>
  <c r="AI116" i="380"/>
  <c r="AH116" i="380"/>
  <c r="AG116" i="380"/>
  <c r="AF116" i="380"/>
  <c r="AE116" i="380"/>
  <c r="AD116" i="380"/>
  <c r="AB116" i="380"/>
  <c r="AA116" i="380"/>
  <c r="Z116" i="380"/>
  <c r="X116" i="380"/>
  <c r="V116" i="380"/>
  <c r="S116" i="380"/>
  <c r="L116" i="380"/>
  <c r="K116" i="380"/>
  <c r="J116" i="380"/>
  <c r="I116" i="380"/>
  <c r="G116" i="380"/>
  <c r="AP115" i="380"/>
  <c r="AL115" i="380"/>
  <c r="AJ115" i="380"/>
  <c r="O115" i="380"/>
  <c r="M115" i="380"/>
  <c r="N115" i="380" s="1"/>
  <c r="F115" i="380"/>
  <c r="H115" i="380" s="1"/>
  <c r="AL114" i="380"/>
  <c r="AJ114" i="380"/>
  <c r="AJ117" i="380" s="1"/>
  <c r="O114" i="380"/>
  <c r="M114" i="380"/>
  <c r="N114" i="380" s="1"/>
  <c r="H114" i="380"/>
  <c r="AL113" i="380"/>
  <c r="AC113" i="380"/>
  <c r="AJ113" i="380" s="1"/>
  <c r="AP113" i="380" s="1"/>
  <c r="M113" i="380"/>
  <c r="N113" i="380" s="1"/>
  <c r="H113" i="380"/>
  <c r="C113" i="380"/>
  <c r="C114" i="380" s="1"/>
  <c r="C115" i="380" s="1"/>
  <c r="AL112" i="380"/>
  <c r="AJ112" i="380"/>
  <c r="AC112" i="380"/>
  <c r="O112" i="380"/>
  <c r="O116" i="380" s="1"/>
  <c r="M112" i="380"/>
  <c r="H112" i="380"/>
  <c r="AU109" i="380"/>
  <c r="AT109" i="380"/>
  <c r="AS109" i="380"/>
  <c r="AR109" i="380"/>
  <c r="AQ109" i="380"/>
  <c r="AO109" i="380"/>
  <c r="AM109" i="380"/>
  <c r="AI109" i="380"/>
  <c r="AH109" i="380"/>
  <c r="AG109" i="380"/>
  <c r="AF109" i="380"/>
  <c r="AE109" i="380"/>
  <c r="AD109" i="380"/>
  <c r="AC109" i="380"/>
  <c r="AB109" i="380"/>
  <c r="AA109" i="380"/>
  <c r="Z109" i="380"/>
  <c r="X109" i="380"/>
  <c r="V109" i="380"/>
  <c r="S109" i="380"/>
  <c r="L109" i="380"/>
  <c r="K109" i="380"/>
  <c r="J109" i="380"/>
  <c r="I109" i="380"/>
  <c r="G109" i="380"/>
  <c r="AL108" i="380"/>
  <c r="AJ108" i="380"/>
  <c r="AP108" i="380" s="1"/>
  <c r="M108" i="380"/>
  <c r="N108" i="380" s="1"/>
  <c r="Q108" i="380" s="1"/>
  <c r="R108" i="380" s="1"/>
  <c r="T108" i="380" s="1"/>
  <c r="H108" i="380"/>
  <c r="AL107" i="380"/>
  <c r="AJ107" i="380"/>
  <c r="AP107" i="380" s="1"/>
  <c r="O107" i="380"/>
  <c r="M107" i="380"/>
  <c r="N107" i="380" s="1"/>
  <c r="F107" i="380"/>
  <c r="F109" i="380" s="1"/>
  <c r="AL106" i="380"/>
  <c r="AJ106" i="380"/>
  <c r="AP106" i="380" s="1"/>
  <c r="O106" i="380"/>
  <c r="M106" i="380"/>
  <c r="N106" i="380" s="1"/>
  <c r="P106" i="380" s="1"/>
  <c r="H106" i="380"/>
  <c r="C106" i="380"/>
  <c r="C107" i="380" s="1"/>
  <c r="C108" i="380" s="1"/>
  <c r="AL105" i="380"/>
  <c r="AJ105" i="380"/>
  <c r="O105" i="380"/>
  <c r="O109" i="380" s="1"/>
  <c r="M105" i="380"/>
  <c r="H105" i="380"/>
  <c r="AU102" i="380"/>
  <c r="AT102" i="380"/>
  <c r="AS102" i="380"/>
  <c r="AR102" i="380"/>
  <c r="AQ102" i="380"/>
  <c r="AO102" i="380"/>
  <c r="AN102" i="380"/>
  <c r="AM102" i="380"/>
  <c r="AI102" i="380"/>
  <c r="AH102" i="380"/>
  <c r="AG102" i="380"/>
  <c r="AF102" i="380"/>
  <c r="AB102" i="380"/>
  <c r="AA102" i="380"/>
  <c r="Z102" i="380"/>
  <c r="X102" i="380"/>
  <c r="W102" i="380"/>
  <c r="L102" i="380"/>
  <c r="K102" i="380"/>
  <c r="J102" i="380"/>
  <c r="I102" i="380"/>
  <c r="G102" i="380"/>
  <c r="AL101" i="380"/>
  <c r="AE101" i="380"/>
  <c r="AC101" i="380"/>
  <c r="M101" i="380"/>
  <c r="N101" i="380" s="1"/>
  <c r="Q101" i="380" s="1"/>
  <c r="R101" i="380" s="1"/>
  <c r="T101" i="380" s="1"/>
  <c r="H101" i="380"/>
  <c r="AL100" i="380"/>
  <c r="AC100" i="380"/>
  <c r="AJ100" i="380" s="1"/>
  <c r="AP100" i="380" s="1"/>
  <c r="M100" i="380"/>
  <c r="N100" i="380" s="1"/>
  <c r="P100" i="380" s="1"/>
  <c r="H100" i="380"/>
  <c r="AL99" i="380"/>
  <c r="AC99" i="380"/>
  <c r="AJ99" i="380" s="1"/>
  <c r="AP99" i="380" s="1"/>
  <c r="S99" i="380"/>
  <c r="O99" i="380"/>
  <c r="M99" i="380"/>
  <c r="N99" i="380" s="1"/>
  <c r="Q99" i="380" s="1"/>
  <c r="R99" i="380" s="1"/>
  <c r="T99" i="380" s="1"/>
  <c r="H99" i="380"/>
  <c r="F99" i="380"/>
  <c r="AL98" i="380"/>
  <c r="AE98" i="380"/>
  <c r="AE102" i="380" s="1"/>
  <c r="AC98" i="380"/>
  <c r="AJ98" i="380" s="1"/>
  <c r="AP98" i="380" s="1"/>
  <c r="O98" i="380"/>
  <c r="M98" i="380"/>
  <c r="N98" i="380" s="1"/>
  <c r="P98" i="380" s="1"/>
  <c r="H98" i="380"/>
  <c r="AL97" i="380"/>
  <c r="AJ97" i="380"/>
  <c r="AP97" i="380" s="1"/>
  <c r="O97" i="380"/>
  <c r="M97" i="380"/>
  <c r="N97" i="380" s="1"/>
  <c r="H97" i="380"/>
  <c r="AL96" i="380"/>
  <c r="AJ96" i="380"/>
  <c r="AP96" i="380" s="1"/>
  <c r="O96" i="380"/>
  <c r="M96" i="380"/>
  <c r="N96" i="380" s="1"/>
  <c r="H96" i="380"/>
  <c r="AL95" i="380"/>
  <c r="AJ95" i="380"/>
  <c r="AP95" i="380" s="1"/>
  <c r="O95" i="380"/>
  <c r="M95" i="380"/>
  <c r="N95" i="380" s="1"/>
  <c r="Q95" i="380" s="1"/>
  <c r="F95" i="380"/>
  <c r="H95" i="380" s="1"/>
  <c r="AL94" i="380"/>
  <c r="AJ94" i="380"/>
  <c r="AP94" i="380" s="1"/>
  <c r="O94" i="380"/>
  <c r="M94" i="380"/>
  <c r="N94" i="380" s="1"/>
  <c r="H94" i="380"/>
  <c r="AL93" i="380"/>
  <c r="AJ93" i="380"/>
  <c r="AP93" i="380" s="1"/>
  <c r="O93" i="380"/>
  <c r="M93" i="380"/>
  <c r="N93" i="380" s="1"/>
  <c r="Q93" i="380" s="1"/>
  <c r="R93" i="380" s="1"/>
  <c r="T93" i="380" s="1"/>
  <c r="H93" i="380"/>
  <c r="F93" i="380"/>
  <c r="AL92" i="380"/>
  <c r="AJ92" i="380"/>
  <c r="AP92" i="380" s="1"/>
  <c r="O92" i="380"/>
  <c r="M92" i="380"/>
  <c r="N92" i="380" s="1"/>
  <c r="Q92" i="380" s="1"/>
  <c r="R92" i="380" s="1"/>
  <c r="T92" i="380" s="1"/>
  <c r="F92" i="380"/>
  <c r="H92" i="380" s="1"/>
  <c r="AL91" i="380"/>
  <c r="AJ91" i="380"/>
  <c r="AP91" i="380" s="1"/>
  <c r="M91" i="380"/>
  <c r="N91" i="380" s="1"/>
  <c r="H91" i="380"/>
  <c r="AL90" i="380"/>
  <c r="AJ90" i="380"/>
  <c r="AP90" i="380" s="1"/>
  <c r="O90" i="380"/>
  <c r="M90" i="380"/>
  <c r="N90" i="380" s="1"/>
  <c r="Q90" i="380" s="1"/>
  <c r="R90" i="380" s="1"/>
  <c r="T90" i="380" s="1"/>
  <c r="F90" i="380"/>
  <c r="H90" i="380" s="1"/>
  <c r="AL89" i="380"/>
  <c r="AJ89" i="380"/>
  <c r="AP89" i="380" s="1"/>
  <c r="O89" i="380"/>
  <c r="M89" i="380"/>
  <c r="N89" i="380" s="1"/>
  <c r="F89" i="380"/>
  <c r="H89" i="380" s="1"/>
  <c r="AL88" i="380"/>
  <c r="AJ88" i="380"/>
  <c r="AP88" i="380" s="1"/>
  <c r="O88" i="380"/>
  <c r="M88" i="380"/>
  <c r="N88" i="380" s="1"/>
  <c r="H88" i="380"/>
  <c r="F88" i="380"/>
  <c r="AJ87" i="380"/>
  <c r="AP87" i="380" s="1"/>
  <c r="N87" i="380"/>
  <c r="H87" i="380"/>
  <c r="AL86" i="380"/>
  <c r="AJ86" i="380"/>
  <c r="AP86" i="380" s="1"/>
  <c r="O86" i="380"/>
  <c r="M86" i="380"/>
  <c r="N86" i="380" s="1"/>
  <c r="Q86" i="380" s="1"/>
  <c r="R86" i="380" s="1"/>
  <c r="T86" i="380" s="1"/>
  <c r="H86" i="380"/>
  <c r="AL85" i="380"/>
  <c r="AJ85" i="380"/>
  <c r="AP85" i="380" s="1"/>
  <c r="S85" i="380"/>
  <c r="O85" i="380"/>
  <c r="M85" i="380"/>
  <c r="N85" i="380" s="1"/>
  <c r="H85" i="380"/>
  <c r="AL84" i="380"/>
  <c r="AD84" i="380"/>
  <c r="AC84" i="380"/>
  <c r="M84" i="380"/>
  <c r="N84" i="380" s="1"/>
  <c r="H84" i="380"/>
  <c r="AL83" i="380"/>
  <c r="AD83" i="380"/>
  <c r="AC83" i="380"/>
  <c r="M83" i="380"/>
  <c r="N83" i="380" s="1"/>
  <c r="P83" i="380" s="1"/>
  <c r="H83" i="380"/>
  <c r="AL82" i="380"/>
  <c r="AD82" i="380"/>
  <c r="AC82" i="380"/>
  <c r="M82" i="380"/>
  <c r="N82" i="380" s="1"/>
  <c r="H82" i="380"/>
  <c r="AL81" i="380"/>
  <c r="AD81" i="380"/>
  <c r="AC81" i="380"/>
  <c r="O81" i="380"/>
  <c r="M81" i="380"/>
  <c r="N81" i="380" s="1"/>
  <c r="Q81" i="380" s="1"/>
  <c r="R81" i="380" s="1"/>
  <c r="T81" i="380" s="1"/>
  <c r="F81" i="380"/>
  <c r="H81" i="380" s="1"/>
  <c r="AL80" i="380"/>
  <c r="AD80" i="380"/>
  <c r="AC80" i="380"/>
  <c r="O80" i="380"/>
  <c r="M80" i="380"/>
  <c r="N80" i="380" s="1"/>
  <c r="Q80" i="380" s="1"/>
  <c r="H80" i="380"/>
  <c r="F80" i="380"/>
  <c r="AL79" i="380"/>
  <c r="AD79" i="380"/>
  <c r="AC79" i="380"/>
  <c r="O79" i="380"/>
  <c r="M79" i="380"/>
  <c r="N79" i="380" s="1"/>
  <c r="P79" i="380" s="1"/>
  <c r="F79" i="380"/>
  <c r="H79" i="380" s="1"/>
  <c r="AL78" i="380"/>
  <c r="AD78" i="380"/>
  <c r="AJ78" i="380" s="1"/>
  <c r="AP78" i="380" s="1"/>
  <c r="AC78" i="380"/>
  <c r="M78" i="380"/>
  <c r="N78" i="380" s="1"/>
  <c r="H78" i="380"/>
  <c r="AL77" i="380"/>
  <c r="AD77" i="380"/>
  <c r="AC77" i="380"/>
  <c r="O77" i="380"/>
  <c r="M77" i="380"/>
  <c r="N77" i="380" s="1"/>
  <c r="P77" i="380" s="1"/>
  <c r="F77" i="380"/>
  <c r="H77" i="380" s="1"/>
  <c r="AL76" i="380"/>
  <c r="AD76" i="380"/>
  <c r="AC76" i="380"/>
  <c r="V76" i="380"/>
  <c r="S76" i="380"/>
  <c r="S102" i="380" s="1"/>
  <c r="O76" i="380"/>
  <c r="M76" i="380"/>
  <c r="N76" i="380" s="1"/>
  <c r="H76" i="380"/>
  <c r="F76" i="380"/>
  <c r="AL75" i="380"/>
  <c r="AJ75" i="380"/>
  <c r="AP75" i="380" s="1"/>
  <c r="M75" i="380"/>
  <c r="N75" i="380" s="1"/>
  <c r="Q75" i="380" s="1"/>
  <c r="R75" i="380" s="1"/>
  <c r="T75" i="380" s="1"/>
  <c r="H75" i="380"/>
  <c r="AP74" i="380"/>
  <c r="AL74" i="380"/>
  <c r="AJ74" i="380"/>
  <c r="M74" i="380"/>
  <c r="N74" i="380" s="1"/>
  <c r="H74" i="380"/>
  <c r="AL73" i="380"/>
  <c r="AJ73" i="380"/>
  <c r="AP73" i="380" s="1"/>
  <c r="M73" i="380"/>
  <c r="N73" i="380" s="1"/>
  <c r="H73" i="380"/>
  <c r="AL72" i="380"/>
  <c r="AJ72" i="380"/>
  <c r="AP72" i="380" s="1"/>
  <c r="M72" i="380"/>
  <c r="N72" i="380" s="1"/>
  <c r="H72" i="380"/>
  <c r="AP71" i="380"/>
  <c r="AL71" i="380"/>
  <c r="AJ71" i="380"/>
  <c r="O71" i="380"/>
  <c r="M71" i="380"/>
  <c r="N71" i="380" s="1"/>
  <c r="H71" i="380"/>
  <c r="F71" i="380"/>
  <c r="AL70" i="380"/>
  <c r="AJ70" i="380"/>
  <c r="AP70" i="380" s="1"/>
  <c r="M70" i="380"/>
  <c r="N70" i="380" s="1"/>
  <c r="H70" i="380"/>
  <c r="AL69" i="380"/>
  <c r="AJ69" i="380"/>
  <c r="AP69" i="380" s="1"/>
  <c r="O69" i="380"/>
  <c r="M69" i="380"/>
  <c r="N69" i="380" s="1"/>
  <c r="Q69" i="380" s="1"/>
  <c r="H69" i="380"/>
  <c r="AP68" i="380"/>
  <c r="AL68" i="380"/>
  <c r="AJ68" i="380"/>
  <c r="O68" i="380"/>
  <c r="M68" i="380"/>
  <c r="N68" i="380" s="1"/>
  <c r="H68" i="380"/>
  <c r="AL67" i="380"/>
  <c r="AJ67" i="380"/>
  <c r="AP67" i="380" s="1"/>
  <c r="M67" i="380"/>
  <c r="N67" i="380" s="1"/>
  <c r="H67" i="380"/>
  <c r="AL66" i="380"/>
  <c r="AJ66" i="380"/>
  <c r="AP66" i="380" s="1"/>
  <c r="M66" i="380"/>
  <c r="N66" i="380" s="1"/>
  <c r="P66" i="380" s="1"/>
  <c r="H66" i="380"/>
  <c r="AL65" i="380"/>
  <c r="AJ65" i="380"/>
  <c r="AP65" i="380" s="1"/>
  <c r="O65" i="380"/>
  <c r="M65" i="380"/>
  <c r="N65" i="380" s="1"/>
  <c r="F65" i="380"/>
  <c r="F102" i="380" s="1"/>
  <c r="AL64" i="380"/>
  <c r="AJ64" i="380"/>
  <c r="AP64" i="380" s="1"/>
  <c r="M64" i="380"/>
  <c r="N64" i="380" s="1"/>
  <c r="H64" i="380"/>
  <c r="AL63" i="380"/>
  <c r="AJ63" i="380"/>
  <c r="AP63" i="380" s="1"/>
  <c r="V63" i="380"/>
  <c r="V102" i="380" s="1"/>
  <c r="O63" i="380"/>
  <c r="O102" i="380" s="1"/>
  <c r="M63" i="380"/>
  <c r="N63" i="380" s="1"/>
  <c r="H63" i="380"/>
  <c r="AL62" i="380"/>
  <c r="AJ62" i="380"/>
  <c r="AP62" i="380" s="1"/>
  <c r="N62" i="380"/>
  <c r="P62" i="380" s="1"/>
  <c r="M62" i="380"/>
  <c r="H62" i="380"/>
  <c r="C62" i="380"/>
  <c r="C63" i="380" s="1"/>
  <c r="C64" i="380" s="1"/>
  <c r="C65" i="380" s="1"/>
  <c r="C66" i="380" s="1"/>
  <c r="C67" i="380" s="1"/>
  <c r="C68" i="380" s="1"/>
  <c r="C69" i="380" s="1"/>
  <c r="C70" i="380" s="1"/>
  <c r="C71" i="380" s="1"/>
  <c r="C72" i="380" s="1"/>
  <c r="C73" i="380" s="1"/>
  <c r="C74" i="380" s="1"/>
  <c r="C75" i="380" s="1"/>
  <c r="C76" i="380" s="1"/>
  <c r="C77" i="380" s="1"/>
  <c r="C78" i="380" s="1"/>
  <c r="C79" i="380" s="1"/>
  <c r="C80" i="380" s="1"/>
  <c r="C81" i="380" s="1"/>
  <c r="C82" i="380" s="1"/>
  <c r="C83" i="380" s="1"/>
  <c r="C84" i="380" s="1"/>
  <c r="C85" i="380" s="1"/>
  <c r="C86" i="380" s="1"/>
  <c r="C87" i="380" s="1"/>
  <c r="C88" i="380" s="1"/>
  <c r="C89" i="380" s="1"/>
  <c r="C90" i="380" s="1"/>
  <c r="C91" i="380" s="1"/>
  <c r="C92" i="380" s="1"/>
  <c r="C93" i="380" s="1"/>
  <c r="C94" i="380" s="1"/>
  <c r="C95" i="380" s="1"/>
  <c r="C96" i="380" s="1"/>
  <c r="C97" i="380" s="1"/>
  <c r="C98" i="380" s="1"/>
  <c r="C99" i="380" s="1"/>
  <c r="C100" i="380" s="1"/>
  <c r="C101" i="380" s="1"/>
  <c r="AL61" i="380"/>
  <c r="AJ61" i="380"/>
  <c r="AP61" i="380" s="1"/>
  <c r="M61" i="380"/>
  <c r="N61" i="380" s="1"/>
  <c r="Q61" i="380" s="1"/>
  <c r="R61" i="380" s="1"/>
  <c r="T61" i="380" s="1"/>
  <c r="AK61" i="380" s="1"/>
  <c r="H61" i="380"/>
  <c r="AU58" i="380"/>
  <c r="AT58" i="380"/>
  <c r="AS58" i="380"/>
  <c r="AR58" i="380"/>
  <c r="AQ58" i="380"/>
  <c r="AO58" i="380"/>
  <c r="AM58" i="380"/>
  <c r="AB58" i="380"/>
  <c r="AA58" i="380"/>
  <c r="Z58" i="380"/>
  <c r="Y58" i="380"/>
  <c r="V58" i="380"/>
  <c r="S58" i="380"/>
  <c r="L58" i="380"/>
  <c r="K58" i="380"/>
  <c r="J58" i="380"/>
  <c r="I58" i="380"/>
  <c r="G58" i="380"/>
  <c r="AL57" i="380"/>
  <c r="AJ57" i="380"/>
  <c r="AP57" i="380" s="1"/>
  <c r="N57" i="380"/>
  <c r="Q57" i="380" s="1"/>
  <c r="R57" i="380" s="1"/>
  <c r="T57" i="380" s="1"/>
  <c r="H57" i="380"/>
  <c r="AL56" i="380"/>
  <c r="AJ56" i="380"/>
  <c r="AP56" i="380" s="1"/>
  <c r="N56" i="380"/>
  <c r="Q56" i="380" s="1"/>
  <c r="R56" i="380" s="1"/>
  <c r="T56" i="380" s="1"/>
  <c r="H56" i="380"/>
  <c r="AL55" i="380"/>
  <c r="AJ55" i="380"/>
  <c r="AP55" i="380" s="1"/>
  <c r="X55" i="380"/>
  <c r="X58" i="380" s="1"/>
  <c r="O55" i="380"/>
  <c r="N55" i="380"/>
  <c r="P55" i="380" s="1"/>
  <c r="H55" i="380"/>
  <c r="AP54" i="380"/>
  <c r="AL54" i="380"/>
  <c r="AJ54" i="380"/>
  <c r="O54" i="380"/>
  <c r="N54" i="380"/>
  <c r="Q54" i="380" s="1"/>
  <c r="R54" i="380" s="1"/>
  <c r="T54" i="380" s="1"/>
  <c r="F54" i="380"/>
  <c r="H54" i="380" s="1"/>
  <c r="AL53" i="380"/>
  <c r="AJ53" i="380"/>
  <c r="AP53" i="380" s="1"/>
  <c r="O53" i="380"/>
  <c r="N53" i="380"/>
  <c r="Q53" i="380" s="1"/>
  <c r="R53" i="380" s="1"/>
  <c r="T53" i="380" s="1"/>
  <c r="H53" i="380"/>
  <c r="AL52" i="380"/>
  <c r="AJ52" i="380"/>
  <c r="AP52" i="380" s="1"/>
  <c r="N52" i="380"/>
  <c r="Q52" i="380" s="1"/>
  <c r="R52" i="380" s="1"/>
  <c r="T52" i="380" s="1"/>
  <c r="H52" i="380"/>
  <c r="AL51" i="380"/>
  <c r="AJ51" i="380"/>
  <c r="AP51" i="380" s="1"/>
  <c r="O51" i="380"/>
  <c r="N51" i="380"/>
  <c r="Q51" i="380" s="1"/>
  <c r="H51" i="380"/>
  <c r="AL50" i="380"/>
  <c r="AJ50" i="380"/>
  <c r="AP50" i="380" s="1"/>
  <c r="N50" i="380"/>
  <c r="Q50" i="380" s="1"/>
  <c r="R50" i="380" s="1"/>
  <c r="T50" i="380" s="1"/>
  <c r="H50" i="380"/>
  <c r="AL49" i="380"/>
  <c r="AJ49" i="380"/>
  <c r="AP49" i="380" s="1"/>
  <c r="O49" i="380"/>
  <c r="N49" i="380"/>
  <c r="Q49" i="380" s="1"/>
  <c r="R49" i="380" s="1"/>
  <c r="T49" i="380" s="1"/>
  <c r="F49" i="380"/>
  <c r="H49" i="380" s="1"/>
  <c r="AL48" i="380"/>
  <c r="AJ48" i="380"/>
  <c r="AP48" i="380" s="1"/>
  <c r="O48" i="380"/>
  <c r="N48" i="380"/>
  <c r="Q48" i="380" s="1"/>
  <c r="H48" i="380"/>
  <c r="AL47" i="380"/>
  <c r="AJ47" i="380"/>
  <c r="AP47" i="380" s="1"/>
  <c r="O47" i="380"/>
  <c r="N47" i="380"/>
  <c r="P47" i="380" s="1"/>
  <c r="H47" i="380"/>
  <c r="AL46" i="380"/>
  <c r="AJ46" i="380"/>
  <c r="AP46" i="380" s="1"/>
  <c r="O46" i="380"/>
  <c r="N46" i="380"/>
  <c r="Q46" i="380" s="1"/>
  <c r="H46" i="380"/>
  <c r="F46" i="380"/>
  <c r="AL45" i="380"/>
  <c r="AJ45" i="380"/>
  <c r="AP45" i="380" s="1"/>
  <c r="O45" i="380"/>
  <c r="N45" i="380"/>
  <c r="Q45" i="380" s="1"/>
  <c r="H45" i="380"/>
  <c r="AI44" i="380"/>
  <c r="AL44" i="380" s="1"/>
  <c r="AH44" i="380"/>
  <c r="AG44" i="380"/>
  <c r="AF44" i="380"/>
  <c r="AE44" i="380"/>
  <c r="AE58" i="380" s="1"/>
  <c r="AD44" i="380"/>
  <c r="AD58" i="380" s="1"/>
  <c r="AC44" i="380"/>
  <c r="AC58" i="380" s="1"/>
  <c r="M44" i="380"/>
  <c r="N44" i="380" s="1"/>
  <c r="H44" i="380"/>
  <c r="AI43" i="380"/>
  <c r="AH43" i="380"/>
  <c r="AG43" i="380"/>
  <c r="AF43" i="380"/>
  <c r="N43" i="380"/>
  <c r="Q43" i="380" s="1"/>
  <c r="R43" i="380" s="1"/>
  <c r="T43" i="380" s="1"/>
  <c r="H43" i="380"/>
  <c r="AL42" i="380"/>
  <c r="AJ42" i="380"/>
  <c r="AP42" i="380" s="1"/>
  <c r="O42" i="380"/>
  <c r="N42" i="380"/>
  <c r="Q42" i="380" s="1"/>
  <c r="H42" i="380"/>
  <c r="AL41" i="380"/>
  <c r="AJ41" i="380"/>
  <c r="AP41" i="380" s="1"/>
  <c r="O41" i="380"/>
  <c r="N41" i="380"/>
  <c r="Q41" i="380" s="1"/>
  <c r="R41" i="380" s="1"/>
  <c r="T41" i="380" s="1"/>
  <c r="H41" i="380"/>
  <c r="AL40" i="380"/>
  <c r="AJ40" i="380"/>
  <c r="AP40" i="380" s="1"/>
  <c r="O40" i="380"/>
  <c r="N40" i="380"/>
  <c r="Q40" i="380" s="1"/>
  <c r="H40" i="380"/>
  <c r="AL39" i="380"/>
  <c r="AJ39" i="380"/>
  <c r="AP39" i="380" s="1"/>
  <c r="O39" i="380"/>
  <c r="N39" i="380"/>
  <c r="Q39" i="380" s="1"/>
  <c r="R39" i="380" s="1"/>
  <c r="T39" i="380" s="1"/>
  <c r="F39" i="380"/>
  <c r="F58" i="380" s="1"/>
  <c r="AL38" i="380"/>
  <c r="AJ38" i="380"/>
  <c r="AP38" i="380" s="1"/>
  <c r="O38" i="380"/>
  <c r="N38" i="380"/>
  <c r="Q38" i="380" s="1"/>
  <c r="R38" i="380" s="1"/>
  <c r="T38" i="380" s="1"/>
  <c r="H38" i="380"/>
  <c r="AL37" i="380"/>
  <c r="AJ37" i="380"/>
  <c r="AP37" i="380" s="1"/>
  <c r="O37" i="380"/>
  <c r="N37" i="380"/>
  <c r="Q37" i="380" s="1"/>
  <c r="R37" i="380" s="1"/>
  <c r="T37" i="380" s="1"/>
  <c r="H37" i="380"/>
  <c r="AL36" i="380"/>
  <c r="AJ36" i="380"/>
  <c r="AP36" i="380" s="1"/>
  <c r="O36" i="380"/>
  <c r="N36" i="380"/>
  <c r="Q36" i="380" s="1"/>
  <c r="R36" i="380" s="1"/>
  <c r="T36" i="380" s="1"/>
  <c r="H36" i="380"/>
  <c r="AL35" i="380"/>
  <c r="AJ35" i="380"/>
  <c r="AP35" i="380" s="1"/>
  <c r="M35" i="380"/>
  <c r="H35" i="380"/>
  <c r="AL34" i="380"/>
  <c r="AJ34" i="380"/>
  <c r="AP34" i="380" s="1"/>
  <c r="O34" i="380"/>
  <c r="O58" i="380" s="1"/>
  <c r="N34" i="380"/>
  <c r="Q34" i="380" s="1"/>
  <c r="R34" i="380" s="1"/>
  <c r="T34" i="380" s="1"/>
  <c r="H34" i="380"/>
  <c r="AL33" i="380"/>
  <c r="AJ33" i="380"/>
  <c r="AP33" i="380" s="1"/>
  <c r="N33" i="380"/>
  <c r="Q33" i="380" s="1"/>
  <c r="R33" i="380" s="1"/>
  <c r="T33" i="380" s="1"/>
  <c r="H33" i="380"/>
  <c r="AL32" i="380"/>
  <c r="AJ32" i="380"/>
  <c r="AP32" i="380" s="1"/>
  <c r="N32" i="380"/>
  <c r="Q32" i="380" s="1"/>
  <c r="R32" i="380" s="1"/>
  <c r="T32" i="380" s="1"/>
  <c r="H32" i="380"/>
  <c r="AL31" i="380"/>
  <c r="AJ31" i="380"/>
  <c r="AP31" i="380" s="1"/>
  <c r="N31" i="380"/>
  <c r="Q31" i="380" s="1"/>
  <c r="R31" i="380" s="1"/>
  <c r="T31" i="380" s="1"/>
  <c r="H31" i="380"/>
  <c r="AL30" i="380"/>
  <c r="AJ30" i="380"/>
  <c r="AP30" i="380" s="1"/>
  <c r="N30" i="380"/>
  <c r="Q30" i="380" s="1"/>
  <c r="R30" i="380" s="1"/>
  <c r="T30" i="380" s="1"/>
  <c r="H30" i="380"/>
  <c r="AL29" i="380"/>
  <c r="AJ29" i="380"/>
  <c r="AP29" i="380" s="1"/>
  <c r="N29" i="380"/>
  <c r="Q29" i="380" s="1"/>
  <c r="R29" i="380" s="1"/>
  <c r="T29" i="380" s="1"/>
  <c r="H29" i="380"/>
  <c r="AL28" i="380"/>
  <c r="AJ28" i="380"/>
  <c r="AP28" i="380" s="1"/>
  <c r="N28" i="380"/>
  <c r="H28" i="380"/>
  <c r="C28" i="380"/>
  <c r="C29" i="380" s="1"/>
  <c r="C30" i="380" s="1"/>
  <c r="AL27" i="380"/>
  <c r="AJ27" i="380"/>
  <c r="N27" i="380"/>
  <c r="Q27" i="380" s="1"/>
  <c r="H27" i="380"/>
  <c r="AT22" i="380"/>
  <c r="AS22" i="380"/>
  <c r="AR22" i="380"/>
  <c r="AQ22" i="380"/>
  <c r="AO22" i="380"/>
  <c r="AN22" i="380"/>
  <c r="AM22" i="380"/>
  <c r="AI22" i="380"/>
  <c r="AH22" i="380"/>
  <c r="AG22" i="380"/>
  <c r="AF22" i="380"/>
  <c r="AB22" i="380"/>
  <c r="AA22" i="380"/>
  <c r="Z22" i="380"/>
  <c r="W22" i="380"/>
  <c r="S22" i="380"/>
  <c r="K22" i="380"/>
  <c r="J22" i="380"/>
  <c r="I22" i="380"/>
  <c r="G22" i="380"/>
  <c r="AE21" i="380"/>
  <c r="AE22" i="380" s="1"/>
  <c r="AC21" i="380"/>
  <c r="N21" i="380"/>
  <c r="Q21" i="380" s="1"/>
  <c r="R21" i="380" s="1"/>
  <c r="T21" i="380" s="1"/>
  <c r="M21" i="380"/>
  <c r="H21" i="380"/>
  <c r="AL20" i="380"/>
  <c r="AJ20" i="380"/>
  <c r="AP20" i="380" s="1"/>
  <c r="M20" i="380"/>
  <c r="N20" i="380" s="1"/>
  <c r="H20" i="380"/>
  <c r="F20" i="380"/>
  <c r="AL19" i="380"/>
  <c r="AJ19" i="380"/>
  <c r="AP19" i="380" s="1"/>
  <c r="O19" i="380"/>
  <c r="M19" i="380"/>
  <c r="N19" i="380" s="1"/>
  <c r="Q19" i="380" s="1"/>
  <c r="H19" i="380"/>
  <c r="AL18" i="380"/>
  <c r="AJ18" i="380"/>
  <c r="AP18" i="380" s="1"/>
  <c r="M18" i="380"/>
  <c r="N18" i="380" s="1"/>
  <c r="H18" i="380"/>
  <c r="AL17" i="380"/>
  <c r="AC17" i="380"/>
  <c r="AJ17" i="380" s="1"/>
  <c r="AP17" i="380" s="1"/>
  <c r="O17" i="380"/>
  <c r="M17" i="380"/>
  <c r="N17" i="380" s="1"/>
  <c r="Q17" i="380" s="1"/>
  <c r="R17" i="380" s="1"/>
  <c r="T17" i="380" s="1"/>
  <c r="J17" i="380"/>
  <c r="H17" i="380"/>
  <c r="F17" i="380"/>
  <c r="AL16" i="380"/>
  <c r="AC16" i="380"/>
  <c r="AJ16" i="380" s="1"/>
  <c r="AP16" i="380" s="1"/>
  <c r="O16" i="380"/>
  <c r="M16" i="380"/>
  <c r="N16" i="380" s="1"/>
  <c r="H16" i="380"/>
  <c r="F16" i="380"/>
  <c r="AL15" i="380"/>
  <c r="AD15" i="380"/>
  <c r="AC15" i="380"/>
  <c r="AJ15" i="380" s="1"/>
  <c r="AP15" i="380" s="1"/>
  <c r="O15" i="380"/>
  <c r="M15" i="380"/>
  <c r="N15" i="380" s="1"/>
  <c r="F15" i="380"/>
  <c r="H15" i="380" s="1"/>
  <c r="AL14" i="380"/>
  <c r="AD14" i="380"/>
  <c r="AC14" i="380"/>
  <c r="O14" i="380"/>
  <c r="M14" i="380"/>
  <c r="N14" i="380" s="1"/>
  <c r="H14" i="380"/>
  <c r="AL13" i="380"/>
  <c r="AD13" i="380"/>
  <c r="AC13" i="380"/>
  <c r="O13" i="380"/>
  <c r="M13" i="380"/>
  <c r="N13" i="380" s="1"/>
  <c r="H13" i="380"/>
  <c r="F13" i="380"/>
  <c r="F22" i="380" s="1"/>
  <c r="AU12" i="380"/>
  <c r="AU22" i="380" s="1"/>
  <c r="AL12" i="380"/>
  <c r="AD12" i="380"/>
  <c r="AC12" i="380"/>
  <c r="X12" i="380"/>
  <c r="X22" i="380" s="1"/>
  <c r="O12" i="380"/>
  <c r="M12" i="380"/>
  <c r="N12" i="380" s="1"/>
  <c r="H12" i="380"/>
  <c r="AL11" i="380"/>
  <c r="AD11" i="380"/>
  <c r="AC11" i="380"/>
  <c r="AJ11" i="380" s="1"/>
  <c r="AP11" i="380" s="1"/>
  <c r="O11" i="380"/>
  <c r="M11" i="380"/>
  <c r="N11" i="380" s="1"/>
  <c r="H11" i="380"/>
  <c r="AL10" i="380"/>
  <c r="AD10" i="380"/>
  <c r="AC10" i="380"/>
  <c r="O10" i="380"/>
  <c r="M10" i="380"/>
  <c r="N10" i="380" s="1"/>
  <c r="L10" i="380"/>
  <c r="H10" i="380"/>
  <c r="AL9" i="380"/>
  <c r="AJ9" i="380"/>
  <c r="AP9" i="380" s="1"/>
  <c r="M9" i="380"/>
  <c r="N9" i="380" s="1"/>
  <c r="Q9" i="380" s="1"/>
  <c r="R9" i="380" s="1"/>
  <c r="T9" i="380" s="1"/>
  <c r="H9" i="380"/>
  <c r="C9" i="380"/>
  <c r="C10" i="380" s="1"/>
  <c r="C11" i="380" s="1"/>
  <c r="C12" i="380" s="1"/>
  <c r="C13" i="380" s="1"/>
  <c r="C14" i="380" s="1"/>
  <c r="C15" i="380" s="1"/>
  <c r="C16" i="380" s="1"/>
  <c r="C17" i="380" s="1"/>
  <c r="C18" i="380" s="1"/>
  <c r="C19" i="380" s="1"/>
  <c r="C20" i="380" s="1"/>
  <c r="C21" i="380" s="1"/>
  <c r="AL8" i="380"/>
  <c r="AJ8" i="380"/>
  <c r="AP8" i="380" s="1"/>
  <c r="O8" i="380"/>
  <c r="O22" i="380" s="1"/>
  <c r="M8" i="380"/>
  <c r="L8" i="380"/>
  <c r="L22" i="380" s="1"/>
  <c r="H8" i="380"/>
  <c r="BA29" i="379"/>
  <c r="BA31" i="379" s="1"/>
  <c r="AZ29" i="379"/>
  <c r="AY29" i="379"/>
  <c r="AY31" i="379" s="1"/>
  <c r="AX29" i="379"/>
  <c r="AX31" i="379" s="1"/>
  <c r="AV29" i="379"/>
  <c r="AT29" i="379"/>
  <c r="AT31" i="379" s="1"/>
  <c r="AS29" i="379"/>
  <c r="AS31" i="379" s="1"/>
  <c r="AR29" i="379"/>
  <c r="AP29" i="379"/>
  <c r="AP31" i="379" s="1"/>
  <c r="AL29" i="379"/>
  <c r="AL31" i="379" s="1"/>
  <c r="AK29" i="379"/>
  <c r="AK31" i="379" s="1"/>
  <c r="AJ29" i="379"/>
  <c r="AI29" i="379"/>
  <c r="AI31" i="379" s="1"/>
  <c r="AH29" i="379"/>
  <c r="AH31" i="379" s="1"/>
  <c r="AG29" i="379"/>
  <c r="AG31" i="379" s="1"/>
  <c r="AF29" i="379"/>
  <c r="AE29" i="379"/>
  <c r="AE31" i="379" s="1"/>
  <c r="AD29" i="379"/>
  <c r="AD31" i="379" s="1"/>
  <c r="AC29" i="379"/>
  <c r="AC31" i="379" s="1"/>
  <c r="AB29" i="379"/>
  <c r="Z29" i="379"/>
  <c r="Z31" i="379" s="1"/>
  <c r="Y29" i="379"/>
  <c r="Y31" i="379" s="1"/>
  <c r="X29" i="379"/>
  <c r="R29" i="379"/>
  <c r="R31" i="379" s="1"/>
  <c r="Q29" i="379"/>
  <c r="Q31" i="379" s="1"/>
  <c r="J29" i="379"/>
  <c r="I29" i="379"/>
  <c r="I31" i="379" s="1"/>
  <c r="H29" i="379"/>
  <c r="H31" i="379" s="1"/>
  <c r="G29" i="379"/>
  <c r="E29" i="379"/>
  <c r="E31" i="379" s="1"/>
  <c r="AW28" i="379"/>
  <c r="AQ28" i="379"/>
  <c r="AN28" i="379"/>
  <c r="U28" i="379"/>
  <c r="V28" i="379" s="1"/>
  <c r="O28" i="379"/>
  <c r="F28" i="379"/>
  <c r="AW27" i="379"/>
  <c r="AQ27" i="379"/>
  <c r="AN27" i="379"/>
  <c r="S27" i="379"/>
  <c r="K27" i="379"/>
  <c r="L27" i="379" s="1"/>
  <c r="F27" i="379"/>
  <c r="AW26" i="379"/>
  <c r="AQ26" i="379"/>
  <c r="AN26" i="379"/>
  <c r="S26" i="379"/>
  <c r="L26" i="379"/>
  <c r="P26" i="379" s="1"/>
  <c r="K26" i="379"/>
  <c r="F26" i="379"/>
  <c r="AW25" i="379"/>
  <c r="AQ25" i="379"/>
  <c r="AN25" i="379"/>
  <c r="S25" i="379"/>
  <c r="K25" i="379"/>
  <c r="L25" i="379" s="1"/>
  <c r="F25" i="379"/>
  <c r="AW24" i="379"/>
  <c r="AQ24" i="379"/>
  <c r="AN24" i="379"/>
  <c r="S24" i="379"/>
  <c r="N24" i="379"/>
  <c r="K24" i="379"/>
  <c r="L24" i="379" s="1"/>
  <c r="F24" i="379"/>
  <c r="AW23" i="379"/>
  <c r="AQ23" i="379"/>
  <c r="AN23" i="379"/>
  <c r="S23" i="379"/>
  <c r="L23" i="379"/>
  <c r="P23" i="379" s="1"/>
  <c r="K23" i="379"/>
  <c r="F23" i="379"/>
  <c r="D23" i="379"/>
  <c r="AU22" i="379"/>
  <c r="AU29" i="379" s="1"/>
  <c r="AU31" i="379" s="1"/>
  <c r="AM22" i="379"/>
  <c r="AM29" i="379" s="1"/>
  <c r="AA22" i="379"/>
  <c r="AA29" i="379" s="1"/>
  <c r="AA31" i="379" s="1"/>
  <c r="S22" i="379"/>
  <c r="N22" i="379"/>
  <c r="L22" i="379"/>
  <c r="P22" i="379" s="1"/>
  <c r="K22" i="379"/>
  <c r="F22" i="379"/>
  <c r="D22" i="379"/>
  <c r="A22" i="379"/>
  <c r="A23" i="379" s="1"/>
  <c r="A24" i="379" s="1"/>
  <c r="A25" i="379" s="1"/>
  <c r="A26" i="379" s="1"/>
  <c r="A27" i="379" s="1"/>
  <c r="A28" i="379" s="1"/>
  <c r="A29" i="379" s="1"/>
  <c r="AW21" i="379"/>
  <c r="AQ21" i="379"/>
  <c r="AN21" i="379"/>
  <c r="S21" i="379"/>
  <c r="L21" i="379"/>
  <c r="P21" i="379" s="1"/>
  <c r="K21" i="379"/>
  <c r="F21" i="379"/>
  <c r="A21" i="379"/>
  <c r="AW20" i="379"/>
  <c r="AQ20" i="379"/>
  <c r="AN20" i="379"/>
  <c r="S20" i="379"/>
  <c r="S29" i="379" s="1"/>
  <c r="N20" i="379"/>
  <c r="N29" i="379" s="1"/>
  <c r="N31" i="379" s="1"/>
  <c r="L20" i="379"/>
  <c r="P20" i="379" s="1"/>
  <c r="K20" i="379"/>
  <c r="K29" i="379" s="1"/>
  <c r="F20" i="379"/>
  <c r="F29" i="379" s="1"/>
  <c r="D20" i="379"/>
  <c r="D29" i="379" s="1"/>
  <c r="D31" i="379" s="1"/>
  <c r="BA16" i="379"/>
  <c r="AZ16" i="379"/>
  <c r="AZ31" i="379" s="1"/>
  <c r="AY16" i="379"/>
  <c r="AX16" i="379"/>
  <c r="AV16" i="379"/>
  <c r="AV31" i="379" s="1"/>
  <c r="AU16" i="379"/>
  <c r="AT16" i="379"/>
  <c r="AS16" i="379"/>
  <c r="AR16" i="379"/>
  <c r="AR31" i="379" s="1"/>
  <c r="AP16" i="379"/>
  <c r="AL16" i="379"/>
  <c r="AK16" i="379"/>
  <c r="AJ16" i="379"/>
  <c r="AJ31" i="379" s="1"/>
  <c r="AI16" i="379"/>
  <c r="AH16" i="379"/>
  <c r="AG16" i="379"/>
  <c r="AE16" i="379"/>
  <c r="AD16" i="379"/>
  <c r="AC16" i="379"/>
  <c r="AB16" i="379"/>
  <c r="AB31" i="379" s="1"/>
  <c r="AA16" i="379"/>
  <c r="Z16" i="379"/>
  <c r="Y16" i="379"/>
  <c r="X16" i="379"/>
  <c r="X31" i="379" s="1"/>
  <c r="R16" i="379"/>
  <c r="Q16" i="379"/>
  <c r="I16" i="379"/>
  <c r="H16" i="379"/>
  <c r="E16" i="379"/>
  <c r="AW15" i="379"/>
  <c r="AN15" i="379"/>
  <c r="AQ15" i="379" s="1"/>
  <c r="S15" i="379"/>
  <c r="K15" i="379"/>
  <c r="L15" i="379" s="1"/>
  <c r="F15" i="379"/>
  <c r="AW14" i="379"/>
  <c r="AQ14" i="379"/>
  <c r="AN14" i="379"/>
  <c r="S14" i="379"/>
  <c r="L14" i="379"/>
  <c r="P14" i="379" s="1"/>
  <c r="K14" i="379"/>
  <c r="F14" i="379"/>
  <c r="AW13" i="379"/>
  <c r="AQ13" i="379"/>
  <c r="AN13" i="379"/>
  <c r="V13" i="379"/>
  <c r="S13" i="379"/>
  <c r="L13" i="379"/>
  <c r="P13" i="379" s="1"/>
  <c r="K13" i="379"/>
  <c r="F13" i="379"/>
  <c r="D13" i="379"/>
  <c r="AW12" i="379"/>
  <c r="AQ12" i="379"/>
  <c r="AN12" i="379"/>
  <c r="S12" i="379"/>
  <c r="L12" i="379"/>
  <c r="P12" i="379" s="1"/>
  <c r="K12" i="379"/>
  <c r="F12" i="379"/>
  <c r="AW11" i="379"/>
  <c r="AQ11" i="379"/>
  <c r="AN11" i="379"/>
  <c r="S11" i="379"/>
  <c r="K11" i="379"/>
  <c r="L11" i="379" s="1"/>
  <c r="F11" i="379"/>
  <c r="AN10" i="379"/>
  <c r="AQ10" i="379" s="1"/>
  <c r="AM10" i="379"/>
  <c r="AW10" i="379" s="1"/>
  <c r="S10" i="379"/>
  <c r="K10" i="379"/>
  <c r="L10" i="379" s="1"/>
  <c r="P10" i="379" s="1"/>
  <c r="D10" i="379"/>
  <c r="AW9" i="379"/>
  <c r="AQ9" i="379"/>
  <c r="AN9" i="379"/>
  <c r="S9" i="379"/>
  <c r="K9" i="379"/>
  <c r="L9" i="379" s="1"/>
  <c r="P9" i="379" s="1"/>
  <c r="D9" i="379"/>
  <c r="D16" i="379" s="1"/>
  <c r="AW8" i="379"/>
  <c r="AQ8" i="379"/>
  <c r="AN8" i="379"/>
  <c r="S8" i="379"/>
  <c r="N8" i="379"/>
  <c r="L8" i="379"/>
  <c r="P8" i="379" s="1"/>
  <c r="K8" i="379"/>
  <c r="J8" i="379"/>
  <c r="J16" i="379" s="1"/>
  <c r="G8" i="379"/>
  <c r="G16" i="379" s="1"/>
  <c r="F8" i="379"/>
  <c r="AW7" i="379"/>
  <c r="AN7" i="379"/>
  <c r="AQ7" i="379" s="1"/>
  <c r="AF7" i="379"/>
  <c r="AF16" i="379" s="1"/>
  <c r="AF31" i="379" s="1"/>
  <c r="S7" i="379"/>
  <c r="N7" i="379"/>
  <c r="N16" i="379" s="1"/>
  <c r="K7" i="379"/>
  <c r="L7" i="379" s="1"/>
  <c r="F7" i="379"/>
  <c r="A7" i="379"/>
  <c r="A8" i="379" s="1"/>
  <c r="A9" i="379" s="1"/>
  <c r="A10" i="379" s="1"/>
  <c r="A11" i="379" s="1"/>
  <c r="A12" i="379" s="1"/>
  <c r="A13" i="379" s="1"/>
  <c r="A14" i="379" s="1"/>
  <c r="A15" i="379" s="1"/>
  <c r="A16" i="379" s="1"/>
  <c r="AW6" i="379"/>
  <c r="AQ6" i="379"/>
  <c r="AN6" i="379"/>
  <c r="AN16" i="379" s="1"/>
  <c r="S6" i="379"/>
  <c r="S16" i="379" s="1"/>
  <c r="L6" i="379"/>
  <c r="P6" i="379" s="1"/>
  <c r="K6" i="379"/>
  <c r="K16" i="379" s="1"/>
  <c r="L18" i="379" s="1"/>
  <c r="F6" i="379"/>
  <c r="BA18" i="378"/>
  <c r="AZ18" i="378"/>
  <c r="AY18" i="378"/>
  <c r="AX18" i="378"/>
  <c r="AW18" i="378"/>
  <c r="AU18" i="378"/>
  <c r="AT18" i="378"/>
  <c r="AS18" i="378"/>
  <c r="AR18" i="378"/>
  <c r="AQ18" i="378"/>
  <c r="AM18" i="378"/>
  <c r="AL18" i="378"/>
  <c r="AK18" i="378"/>
  <c r="AJ18" i="378"/>
  <c r="AI18" i="378"/>
  <c r="AH18" i="378"/>
  <c r="AG18" i="378"/>
  <c r="AF18" i="378"/>
  <c r="AE18" i="378"/>
  <c r="AD18" i="378"/>
  <c r="AC18" i="378"/>
  <c r="AB18" i="378"/>
  <c r="AA18" i="378"/>
  <c r="Z18" i="378"/>
  <c r="Y18" i="378"/>
  <c r="X18" i="378"/>
  <c r="W18" i="378"/>
  <c r="R18" i="378"/>
  <c r="Q18" i="378"/>
  <c r="N18" i="378"/>
  <c r="J18" i="378"/>
  <c r="I18" i="378"/>
  <c r="H18" i="378"/>
  <c r="G18" i="378"/>
  <c r="E18" i="378"/>
  <c r="D18" i="378"/>
  <c r="AV17" i="378"/>
  <c r="AP17" i="378"/>
  <c r="AN17" i="378"/>
  <c r="S17" i="378"/>
  <c r="K17" i="378"/>
  <c r="L17" i="378" s="1"/>
  <c r="F17" i="378"/>
  <c r="AV16" i="378"/>
  <c r="AP16" i="378"/>
  <c r="AN16" i="378"/>
  <c r="S16" i="378"/>
  <c r="L16" i="378"/>
  <c r="P16" i="378" s="1"/>
  <c r="K16" i="378"/>
  <c r="F16" i="378"/>
  <c r="AV15" i="378"/>
  <c r="AN15" i="378"/>
  <c r="AP15" i="378" s="1"/>
  <c r="S15" i="378"/>
  <c r="K15" i="378"/>
  <c r="L15" i="378" s="1"/>
  <c r="F15" i="378"/>
  <c r="AV14" i="378"/>
  <c r="AN14" i="378"/>
  <c r="AP14" i="378" s="1"/>
  <c r="S14" i="378"/>
  <c r="L14" i="378"/>
  <c r="K14" i="378"/>
  <c r="F14" i="378"/>
  <c r="AV13" i="378"/>
  <c r="AP13" i="378"/>
  <c r="AN13" i="378"/>
  <c r="S13" i="378"/>
  <c r="K13" i="378"/>
  <c r="L13" i="378" s="1"/>
  <c r="F13" i="378"/>
  <c r="AV12" i="378"/>
  <c r="AP12" i="378"/>
  <c r="AN12" i="378"/>
  <c r="S12" i="378"/>
  <c r="L12" i="378"/>
  <c r="P12" i="378" s="1"/>
  <c r="K12" i="378"/>
  <c r="F12" i="378"/>
  <c r="AV11" i="378"/>
  <c r="AN11" i="378"/>
  <c r="AP11" i="378" s="1"/>
  <c r="S11" i="378"/>
  <c r="L11" i="378"/>
  <c r="P11" i="378" s="1"/>
  <c r="K11" i="378"/>
  <c r="F11" i="378"/>
  <c r="AV10" i="378"/>
  <c r="AN10" i="378"/>
  <c r="AP10" i="378" s="1"/>
  <c r="S10" i="378"/>
  <c r="L10" i="378"/>
  <c r="K10" i="378"/>
  <c r="F10" i="378"/>
  <c r="AV9" i="378"/>
  <c r="AP9" i="378"/>
  <c r="AN9" i="378"/>
  <c r="S9" i="378"/>
  <c r="K9" i="378"/>
  <c r="L9" i="378" s="1"/>
  <c r="F9" i="378"/>
  <c r="AV8" i="378"/>
  <c r="AP8" i="378"/>
  <c r="AN8" i="378"/>
  <c r="S8" i="378"/>
  <c r="L8" i="378"/>
  <c r="P8" i="378" s="1"/>
  <c r="K8" i="378"/>
  <c r="F8" i="378"/>
  <c r="AV7" i="378"/>
  <c r="AN7" i="378"/>
  <c r="AP7" i="378" s="1"/>
  <c r="S7" i="378"/>
  <c r="L7" i="378"/>
  <c r="P7" i="378" s="1"/>
  <c r="K7" i="378"/>
  <c r="F7" i="378"/>
  <c r="A7" i="378"/>
  <c r="A8" i="378" s="1"/>
  <c r="A9" i="378" s="1"/>
  <c r="A10" i="378" s="1"/>
  <c r="A11" i="378" s="1"/>
  <c r="A12" i="378" s="1"/>
  <c r="A13" i="378" s="1"/>
  <c r="A14" i="378" s="1"/>
  <c r="A15" i="378" s="1"/>
  <c r="A16" i="378" s="1"/>
  <c r="A17" i="378" s="1"/>
  <c r="A18" i="378" s="1"/>
  <c r="AV6" i="378"/>
  <c r="AV18" i="378" s="1"/>
  <c r="AN6" i="378"/>
  <c r="AN18" i="378" s="1"/>
  <c r="S6" i="378"/>
  <c r="S18" i="378" s="1"/>
  <c r="L6" i="378"/>
  <c r="L18" i="378" s="1"/>
  <c r="K6" i="378"/>
  <c r="K18" i="378" s="1"/>
  <c r="F6" i="378"/>
  <c r="F18" i="378" s="1"/>
  <c r="BA18" i="377"/>
  <c r="AZ18" i="377"/>
  <c r="AY18" i="377"/>
  <c r="AX18" i="377"/>
  <c r="AV18" i="377"/>
  <c r="AU18" i="377"/>
  <c r="AT18" i="377"/>
  <c r="AS18" i="377"/>
  <c r="AR18" i="377"/>
  <c r="AP18" i="377"/>
  <c r="AM18" i="377"/>
  <c r="AL18" i="377"/>
  <c r="AK18" i="377"/>
  <c r="AJ18" i="377"/>
  <c r="AI18" i="377"/>
  <c r="AH18" i="377"/>
  <c r="AG18" i="377"/>
  <c r="AF18" i="377"/>
  <c r="AD18" i="377"/>
  <c r="AC18" i="377"/>
  <c r="AB18" i="377"/>
  <c r="AA18" i="377"/>
  <c r="Z18" i="377"/>
  <c r="Y18" i="377"/>
  <c r="X18" i="377"/>
  <c r="Q18" i="377"/>
  <c r="J18" i="377"/>
  <c r="I18" i="377"/>
  <c r="E18" i="377"/>
  <c r="AW17" i="377"/>
  <c r="AO17" i="377"/>
  <c r="AN17" i="377"/>
  <c r="AQ17" i="377" s="1"/>
  <c r="V17" i="377"/>
  <c r="U17" i="377"/>
  <c r="F17" i="377"/>
  <c r="AW16" i="377"/>
  <c r="AN16" i="377"/>
  <c r="AQ16" i="377" s="1"/>
  <c r="S16" i="377"/>
  <c r="L16" i="377"/>
  <c r="P16" i="377" s="1"/>
  <c r="K16" i="377"/>
  <c r="F16" i="377"/>
  <c r="AW15" i="377"/>
  <c r="AN15" i="377"/>
  <c r="AQ15" i="377" s="1"/>
  <c r="S15" i="377"/>
  <c r="K15" i="377"/>
  <c r="L15" i="377" s="1"/>
  <c r="F15" i="377"/>
  <c r="AW14" i="377"/>
  <c r="AQ14" i="377"/>
  <c r="AN14" i="377"/>
  <c r="S14" i="377"/>
  <c r="K14" i="377"/>
  <c r="H14" i="377"/>
  <c r="L14" i="377" s="1"/>
  <c r="F14" i="377"/>
  <c r="AW13" i="377"/>
  <c r="AQ13" i="377"/>
  <c r="AN13" i="377"/>
  <c r="S13" i="377"/>
  <c r="K13" i="377"/>
  <c r="L13" i="377" s="1"/>
  <c r="F13" i="377"/>
  <c r="D13" i="377"/>
  <c r="AW12" i="377"/>
  <c r="AQ12" i="377"/>
  <c r="AN12" i="377"/>
  <c r="S12" i="377"/>
  <c r="K12" i="377"/>
  <c r="L12" i="377" s="1"/>
  <c r="G12" i="377"/>
  <c r="P12" i="377" s="1"/>
  <c r="F12" i="377"/>
  <c r="AW11" i="377"/>
  <c r="AQ11" i="377"/>
  <c r="AN11" i="377"/>
  <c r="S11" i="377"/>
  <c r="N11" i="377"/>
  <c r="K11" i="377"/>
  <c r="L11" i="377" s="1"/>
  <c r="D11" i="377"/>
  <c r="F11" i="377" s="1"/>
  <c r="AW10" i="377"/>
  <c r="AE10" i="377"/>
  <c r="AN10" i="377" s="1"/>
  <c r="AQ10" i="377" s="1"/>
  <c r="S10" i="377"/>
  <c r="R10" i="377"/>
  <c r="R18" i="377" s="1"/>
  <c r="N10" i="377"/>
  <c r="K10" i="377"/>
  <c r="L10" i="377" s="1"/>
  <c r="F10" i="377"/>
  <c r="D10" i="377"/>
  <c r="AW9" i="377"/>
  <c r="AQ9" i="377"/>
  <c r="AN9" i="377"/>
  <c r="S9" i="377"/>
  <c r="N9" i="377"/>
  <c r="K9" i="377"/>
  <c r="L9" i="377" s="1"/>
  <c r="D9" i="377"/>
  <c r="F9" i="377" s="1"/>
  <c r="AW8" i="377"/>
  <c r="AN8" i="377"/>
  <c r="AQ8" i="377" s="1"/>
  <c r="S8" i="377"/>
  <c r="N8" i="377"/>
  <c r="K8" i="377"/>
  <c r="L8" i="377" s="1"/>
  <c r="F8" i="377"/>
  <c r="AW7" i="377"/>
  <c r="AQ7" i="377"/>
  <c r="AN7" i="377"/>
  <c r="S7" i="377"/>
  <c r="N7" i="377"/>
  <c r="N18" i="377" s="1"/>
  <c r="K7" i="377"/>
  <c r="L7" i="377" s="1"/>
  <c r="F7" i="377"/>
  <c r="A7" i="377"/>
  <c r="A8" i="377" s="1"/>
  <c r="A9" i="377" s="1"/>
  <c r="A10" i="377" s="1"/>
  <c r="A11" i="377" s="1"/>
  <c r="A12" i="377" s="1"/>
  <c r="A13" i="377" s="1"/>
  <c r="A14" i="377" s="1"/>
  <c r="A15" i="377" s="1"/>
  <c r="A16" i="377" s="1"/>
  <c r="A17" i="377" s="1"/>
  <c r="A18" i="377" s="1"/>
  <c r="AW6" i="377"/>
  <c r="AW18" i="377" s="1"/>
  <c r="AQ6" i="377"/>
  <c r="AQ18" i="377" s="1"/>
  <c r="AN6" i="377"/>
  <c r="AN18" i="377" s="1"/>
  <c r="S6" i="377"/>
  <c r="S18" i="377" s="1"/>
  <c r="K6" i="377"/>
  <c r="L6" i="377" s="1"/>
  <c r="F6" i="377"/>
  <c r="BA8" i="376"/>
  <c r="AZ8" i="376"/>
  <c r="AY8" i="376"/>
  <c r="AX8" i="376"/>
  <c r="AW8" i="376"/>
  <c r="AU8" i="376"/>
  <c r="AT8" i="376"/>
  <c r="AS8" i="376"/>
  <c r="AR8" i="376"/>
  <c r="AQ8" i="376"/>
  <c r="AM8" i="376"/>
  <c r="AL8" i="376"/>
  <c r="AK8" i="376"/>
  <c r="AJ8" i="376"/>
  <c r="AI8" i="376"/>
  <c r="AH8" i="376"/>
  <c r="AG8" i="376"/>
  <c r="AF8" i="376"/>
  <c r="AE8" i="376"/>
  <c r="AD8" i="376"/>
  <c r="AC8" i="376"/>
  <c r="AB8" i="376"/>
  <c r="Z8" i="376"/>
  <c r="Y8" i="376"/>
  <c r="X8" i="376"/>
  <c r="W8" i="376"/>
  <c r="R8" i="376"/>
  <c r="Q8" i="376"/>
  <c r="N8" i="376"/>
  <c r="J8" i="376"/>
  <c r="I8" i="376"/>
  <c r="H8" i="376"/>
  <c r="G8" i="376"/>
  <c r="E8" i="376"/>
  <c r="D8" i="376"/>
  <c r="AV7" i="376"/>
  <c r="AP7" i="376"/>
  <c r="AN7" i="376"/>
  <c r="AA7" i="376"/>
  <c r="S7" i="376"/>
  <c r="K7" i="376"/>
  <c r="L7" i="376" s="1"/>
  <c r="F7" i="376"/>
  <c r="D7" i="376"/>
  <c r="A7" i="376"/>
  <c r="A8" i="376" s="1"/>
  <c r="AV6" i="376"/>
  <c r="AV8" i="376" s="1"/>
  <c r="AP6" i="376"/>
  <c r="AP8" i="376" s="1"/>
  <c r="AN6" i="376"/>
  <c r="AN8" i="376" s="1"/>
  <c r="AA6" i="376"/>
  <c r="AA8" i="376" s="1"/>
  <c r="S6" i="376"/>
  <c r="S8" i="376" s="1"/>
  <c r="K6" i="376"/>
  <c r="K8" i="376" s="1"/>
  <c r="F6" i="376"/>
  <c r="F8" i="376" s="1"/>
  <c r="BA16" i="375"/>
  <c r="AZ16" i="375"/>
  <c r="AY16" i="375"/>
  <c r="AX16" i="375"/>
  <c r="AV16" i="375"/>
  <c r="AU16" i="375"/>
  <c r="AT16" i="375"/>
  <c r="AS16" i="375"/>
  <c r="AR16" i="375"/>
  <c r="AP16" i="375"/>
  <c r="AM16" i="375"/>
  <c r="AL16" i="375"/>
  <c r="AK16" i="375"/>
  <c r="AJ16" i="375"/>
  <c r="AI16" i="375"/>
  <c r="AH16" i="375"/>
  <c r="AG16" i="375"/>
  <c r="AF16" i="375"/>
  <c r="AE16" i="375"/>
  <c r="AD16" i="375"/>
  <c r="AC16" i="375"/>
  <c r="AB16" i="375"/>
  <c r="AA16" i="375"/>
  <c r="Z16" i="375"/>
  <c r="Y16" i="375"/>
  <c r="X16" i="375"/>
  <c r="V16" i="375"/>
  <c r="Q16" i="375"/>
  <c r="J16" i="375"/>
  <c r="I16" i="375"/>
  <c r="H16" i="375"/>
  <c r="G16" i="375"/>
  <c r="E16" i="375"/>
  <c r="AW15" i="375"/>
  <c r="AQ15" i="375"/>
  <c r="AN15" i="375"/>
  <c r="BC15" i="375" s="1"/>
  <c r="U15" i="375"/>
  <c r="N15" i="375"/>
  <c r="M15" i="375"/>
  <c r="D15" i="375"/>
  <c r="F15" i="375" s="1"/>
  <c r="AW14" i="375"/>
  <c r="AQ14" i="375"/>
  <c r="AN14" i="375"/>
  <c r="BB14" i="375" s="1"/>
  <c r="S14" i="375"/>
  <c r="P14" i="375"/>
  <c r="K14" i="375"/>
  <c r="L14" i="375" s="1"/>
  <c r="F14" i="375"/>
  <c r="AW13" i="375"/>
  <c r="AN13" i="375"/>
  <c r="AQ13" i="375" s="1"/>
  <c r="N13" i="375"/>
  <c r="L13" i="375"/>
  <c r="P13" i="375" s="1"/>
  <c r="K13" i="375"/>
  <c r="F13" i="375"/>
  <c r="D13" i="375"/>
  <c r="AW12" i="375"/>
  <c r="AO12" i="375"/>
  <c r="AN12" i="375"/>
  <c r="AQ12" i="375" s="1"/>
  <c r="W12" i="375"/>
  <c r="U12" i="375"/>
  <c r="S12" i="375"/>
  <c r="R12" i="375"/>
  <c r="R16" i="375" s="1"/>
  <c r="K12" i="375"/>
  <c r="L12" i="375" s="1"/>
  <c r="P12" i="375" s="1"/>
  <c r="M12" i="375" s="1"/>
  <c r="D12" i="375"/>
  <c r="O12" i="375" s="1"/>
  <c r="AW11" i="375"/>
  <c r="AQ11" i="375"/>
  <c r="AN11" i="375"/>
  <c r="BB11" i="375" s="1"/>
  <c r="S11" i="375"/>
  <c r="L11" i="375"/>
  <c r="P11" i="375" s="1"/>
  <c r="K11" i="375"/>
  <c r="F11" i="375"/>
  <c r="D11" i="375"/>
  <c r="AW10" i="375"/>
  <c r="AN10" i="375"/>
  <c r="BC10" i="375" s="1"/>
  <c r="S10" i="375"/>
  <c r="K10" i="375"/>
  <c r="L10" i="375" s="1"/>
  <c r="F10" i="375"/>
  <c r="AW9" i="375"/>
  <c r="AN9" i="375"/>
  <c r="BB9" i="375" s="1"/>
  <c r="S9" i="375"/>
  <c r="K9" i="375"/>
  <c r="L9" i="375" s="1"/>
  <c r="P9" i="375" s="1"/>
  <c r="D9" i="375"/>
  <c r="AW8" i="375"/>
  <c r="AN8" i="375"/>
  <c r="AQ8" i="375" s="1"/>
  <c r="S8" i="375"/>
  <c r="L8" i="375"/>
  <c r="P8" i="375" s="1"/>
  <c r="K8" i="375"/>
  <c r="D8" i="375"/>
  <c r="A8" i="375"/>
  <c r="A9" i="375" s="1"/>
  <c r="A10" i="375" s="1"/>
  <c r="A11" i="375" s="1"/>
  <c r="A12" i="375" s="1"/>
  <c r="A13" i="375" s="1"/>
  <c r="A14" i="375" s="1"/>
  <c r="A15" i="375" s="1"/>
  <c r="A16" i="375" s="1"/>
  <c r="AW7" i="375"/>
  <c r="AN7" i="375"/>
  <c r="S7" i="375"/>
  <c r="N7" i="375"/>
  <c r="K7" i="375"/>
  <c r="L7" i="375" s="1"/>
  <c r="F7" i="375"/>
  <c r="A7" i="375"/>
  <c r="AW6" i="375"/>
  <c r="AQ6" i="375"/>
  <c r="AN6" i="375"/>
  <c r="S6" i="375"/>
  <c r="N6" i="375"/>
  <c r="K6" i="375"/>
  <c r="K16" i="375" s="1"/>
  <c r="D6" i="375"/>
  <c r="D16" i="375" s="1"/>
  <c r="BA24" i="374"/>
  <c r="AZ24" i="374"/>
  <c r="AY24" i="374"/>
  <c r="AX24" i="374"/>
  <c r="AV24" i="374"/>
  <c r="AU24" i="374"/>
  <c r="AT24" i="374"/>
  <c r="AS24" i="374"/>
  <c r="AR24" i="374"/>
  <c r="AP24" i="374"/>
  <c r="AM24" i="374"/>
  <c r="AL24" i="374"/>
  <c r="AK24" i="374"/>
  <c r="AJ24" i="374"/>
  <c r="AI24" i="374"/>
  <c r="AH24" i="374"/>
  <c r="AG24" i="374"/>
  <c r="AF24" i="374"/>
  <c r="AE24" i="374"/>
  <c r="AD24" i="374"/>
  <c r="AC24" i="374"/>
  <c r="AB24" i="374"/>
  <c r="Z24" i="374"/>
  <c r="Y24" i="374"/>
  <c r="X24" i="374"/>
  <c r="V24" i="374"/>
  <c r="R24" i="374"/>
  <c r="J24" i="374"/>
  <c r="I24" i="374"/>
  <c r="G24" i="374"/>
  <c r="E24" i="374"/>
  <c r="AW23" i="374"/>
  <c r="AN23" i="374"/>
  <c r="AQ23" i="374" s="1"/>
  <c r="AA23" i="374"/>
  <c r="AA24" i="374" s="1"/>
  <c r="S23" i="374"/>
  <c r="N23" i="374"/>
  <c r="K23" i="374"/>
  <c r="L23" i="374" s="1"/>
  <c r="D23" i="374"/>
  <c r="F23" i="374" s="1"/>
  <c r="AW22" i="374"/>
  <c r="AQ22" i="374"/>
  <c r="AN22" i="374"/>
  <c r="S22" i="374"/>
  <c r="L22" i="374"/>
  <c r="P22" i="374" s="1"/>
  <c r="K22" i="374"/>
  <c r="F22" i="374"/>
  <c r="N22" i="374" s="1"/>
  <c r="AW21" i="374"/>
  <c r="AQ21" i="374"/>
  <c r="AN21" i="374"/>
  <c r="S21" i="374"/>
  <c r="K21" i="374"/>
  <c r="L21" i="374" s="1"/>
  <c r="F21" i="374"/>
  <c r="AW20" i="374"/>
  <c r="AQ20" i="374"/>
  <c r="AN20" i="374"/>
  <c r="S20" i="374"/>
  <c r="K20" i="374"/>
  <c r="L20" i="374" s="1"/>
  <c r="F20" i="374"/>
  <c r="N20" i="374" s="1"/>
  <c r="AW19" i="374"/>
  <c r="AQ19" i="374"/>
  <c r="AN19" i="374"/>
  <c r="S19" i="374"/>
  <c r="K19" i="374"/>
  <c r="L19" i="374" s="1"/>
  <c r="P19" i="374" s="1"/>
  <c r="F19" i="374"/>
  <c r="N19" i="374" s="1"/>
  <c r="AW18" i="374"/>
  <c r="AQ18" i="374"/>
  <c r="AN18" i="374"/>
  <c r="S18" i="374"/>
  <c r="K18" i="374"/>
  <c r="L18" i="374" s="1"/>
  <c r="P18" i="374" s="1"/>
  <c r="F18" i="374"/>
  <c r="D18" i="374"/>
  <c r="AW17" i="374"/>
  <c r="AQ17" i="374"/>
  <c r="AN17" i="374"/>
  <c r="S17" i="374"/>
  <c r="K17" i="374"/>
  <c r="L17" i="374" s="1"/>
  <c r="P17" i="374" s="1"/>
  <c r="F17" i="374"/>
  <c r="N17" i="374" s="1"/>
  <c r="AW16" i="374"/>
  <c r="AQ16" i="374"/>
  <c r="AN16" i="374"/>
  <c r="S16" i="374"/>
  <c r="N16" i="374"/>
  <c r="K16" i="374"/>
  <c r="L16" i="374" s="1"/>
  <c r="P16" i="374" s="1"/>
  <c r="F16" i="374"/>
  <c r="D16" i="374"/>
  <c r="D24" i="374" s="1"/>
  <c r="AW15" i="374"/>
  <c r="AN15" i="374"/>
  <c r="AQ15" i="374" s="1"/>
  <c r="S15" i="374"/>
  <c r="K15" i="374"/>
  <c r="L15" i="374" s="1"/>
  <c r="P15" i="374" s="1"/>
  <c r="F15" i="374"/>
  <c r="AW14" i="374"/>
  <c r="AQ14" i="374"/>
  <c r="AN14" i="374"/>
  <c r="S14" i="374"/>
  <c r="K14" i="374"/>
  <c r="L14" i="374" s="1"/>
  <c r="P14" i="374" s="1"/>
  <c r="F14" i="374"/>
  <c r="N14" i="374" s="1"/>
  <c r="AW13" i="374"/>
  <c r="AQ13" i="374"/>
  <c r="AN13" i="374"/>
  <c r="Q13" i="374"/>
  <c r="S13" i="374" s="1"/>
  <c r="N13" i="374"/>
  <c r="L13" i="374"/>
  <c r="P13" i="374" s="1"/>
  <c r="K13" i="374"/>
  <c r="F13" i="374"/>
  <c r="AW12" i="374"/>
  <c r="AN12" i="374"/>
  <c r="AQ12" i="374" s="1"/>
  <c r="S12" i="374"/>
  <c r="L12" i="374"/>
  <c r="P12" i="374" s="1"/>
  <c r="K12" i="374"/>
  <c r="F12" i="374"/>
  <c r="N12" i="374" s="1"/>
  <c r="AW11" i="374"/>
  <c r="AN11" i="374"/>
  <c r="AQ11" i="374" s="1"/>
  <c r="Q11" i="374"/>
  <c r="Q24" i="374" s="1"/>
  <c r="L11" i="374"/>
  <c r="P11" i="374" s="1"/>
  <c r="K11" i="374"/>
  <c r="F11" i="374"/>
  <c r="AW10" i="374"/>
  <c r="AN10" i="374"/>
  <c r="AQ10" i="374" s="1"/>
  <c r="S10" i="374"/>
  <c r="L10" i="374"/>
  <c r="P10" i="374" s="1"/>
  <c r="K10" i="374"/>
  <c r="F10" i="374"/>
  <c r="N10" i="374" s="1"/>
  <c r="AW9" i="374"/>
  <c r="AN9" i="374"/>
  <c r="AQ9" i="374" s="1"/>
  <c r="S9" i="374"/>
  <c r="L9" i="374"/>
  <c r="P9" i="374" s="1"/>
  <c r="K9" i="374"/>
  <c r="F9" i="374"/>
  <c r="N9" i="374" s="1"/>
  <c r="AW8" i="374"/>
  <c r="AN8" i="374"/>
  <c r="AQ8" i="374" s="1"/>
  <c r="S8" i="374"/>
  <c r="L8" i="374"/>
  <c r="P8" i="374" s="1"/>
  <c r="K8" i="374"/>
  <c r="F8" i="374"/>
  <c r="N8" i="374" s="1"/>
  <c r="AW7" i="374"/>
  <c r="AN7" i="374"/>
  <c r="AQ7" i="374" s="1"/>
  <c r="S7" i="374"/>
  <c r="L7" i="374"/>
  <c r="P7" i="374" s="1"/>
  <c r="K7" i="374"/>
  <c r="H7" i="374"/>
  <c r="H24" i="374" s="1"/>
  <c r="F7" i="374"/>
  <c r="N7" i="374" s="1"/>
  <c r="A7" i="374"/>
  <c r="A8" i="374" s="1"/>
  <c r="A9" i="374" s="1"/>
  <c r="A10" i="374" s="1"/>
  <c r="A11" i="374" s="1"/>
  <c r="A12" i="374" s="1"/>
  <c r="A13" i="374" s="1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W6" i="374"/>
  <c r="AW24" i="374" s="1"/>
  <c r="AN6" i="374"/>
  <c r="AQ6" i="374" s="1"/>
  <c r="AQ24" i="374" s="1"/>
  <c r="S6" i="374"/>
  <c r="N6" i="374"/>
  <c r="N24" i="374" s="1"/>
  <c r="L6" i="374"/>
  <c r="L24" i="374" s="1"/>
  <c r="K6" i="374"/>
  <c r="K24" i="374" s="1"/>
  <c r="F6" i="374"/>
  <c r="F24" i="374" s="1"/>
  <c r="BB111" i="373"/>
  <c r="AZ111" i="373"/>
  <c r="AY111" i="373"/>
  <c r="AX111" i="373"/>
  <c r="AV111" i="373"/>
  <c r="AT111" i="373"/>
  <c r="AS111" i="373"/>
  <c r="AR111" i="373"/>
  <c r="AP111" i="373"/>
  <c r="AM111" i="373"/>
  <c r="AL111" i="373"/>
  <c r="AK111" i="373"/>
  <c r="AJ111" i="373"/>
  <c r="AI111" i="373"/>
  <c r="AH111" i="373"/>
  <c r="AG111" i="373"/>
  <c r="AF111" i="373"/>
  <c r="AC111" i="373"/>
  <c r="AB111" i="373"/>
  <c r="Z111" i="373"/>
  <c r="Y111" i="373"/>
  <c r="X111" i="373"/>
  <c r="E111" i="373"/>
  <c r="AW110" i="373"/>
  <c r="AN110" i="373"/>
  <c r="AQ110" i="373" s="1"/>
  <c r="U110" i="373"/>
  <c r="AO110" i="373" s="1"/>
  <c r="O110" i="373"/>
  <c r="N110" i="373"/>
  <c r="F110" i="373"/>
  <c r="AW109" i="373"/>
  <c r="AN109" i="373"/>
  <c r="AQ109" i="373" s="1"/>
  <c r="U109" i="373"/>
  <c r="O109" i="373"/>
  <c r="F109" i="373"/>
  <c r="AW108" i="373"/>
  <c r="AN108" i="373"/>
  <c r="AQ108" i="373" s="1"/>
  <c r="U108" i="373"/>
  <c r="AO108" i="373" s="1"/>
  <c r="O108" i="373"/>
  <c r="N108" i="373"/>
  <c r="F108" i="373"/>
  <c r="AW107" i="373"/>
  <c r="AN107" i="373"/>
  <c r="AQ107" i="373" s="1"/>
  <c r="N107" i="373"/>
  <c r="U107" i="373" s="1"/>
  <c r="D107" i="373"/>
  <c r="O107" i="373" s="1"/>
  <c r="AW106" i="373"/>
  <c r="AN106" i="373"/>
  <c r="AQ106" i="373" s="1"/>
  <c r="U106" i="373"/>
  <c r="AO106" i="373" s="1"/>
  <c r="O106" i="373"/>
  <c r="F106" i="373"/>
  <c r="AW105" i="373"/>
  <c r="AQ105" i="373"/>
  <c r="AN105" i="373"/>
  <c r="S105" i="373"/>
  <c r="K105" i="373"/>
  <c r="L105" i="373" s="1"/>
  <c r="F105" i="373"/>
  <c r="AW104" i="373"/>
  <c r="AN104" i="373"/>
  <c r="AQ104" i="373" s="1"/>
  <c r="S104" i="373"/>
  <c r="K104" i="373"/>
  <c r="L104" i="373" s="1"/>
  <c r="P104" i="373" s="1"/>
  <c r="M104" i="373" s="1"/>
  <c r="O104" i="373" s="1"/>
  <c r="F104" i="373"/>
  <c r="AW103" i="373"/>
  <c r="AN103" i="373"/>
  <c r="AQ103" i="373" s="1"/>
  <c r="N103" i="373"/>
  <c r="U103" i="373" s="1"/>
  <c r="M103" i="373"/>
  <c r="D103" i="373"/>
  <c r="O103" i="373" s="1"/>
  <c r="AW102" i="373"/>
  <c r="AN102" i="373"/>
  <c r="AQ102" i="373" s="1"/>
  <c r="O102" i="373"/>
  <c r="N102" i="373"/>
  <c r="U102" i="373" s="1"/>
  <c r="AO102" i="373" s="1"/>
  <c r="M102" i="373"/>
  <c r="F102" i="373"/>
  <c r="AW101" i="373"/>
  <c r="AN101" i="373"/>
  <c r="AQ101" i="373" s="1"/>
  <c r="S101" i="373"/>
  <c r="N101" i="373"/>
  <c r="K101" i="373"/>
  <c r="L101" i="373" s="1"/>
  <c r="F101" i="373"/>
  <c r="AW100" i="373"/>
  <c r="AN100" i="373"/>
  <c r="AQ100" i="373" s="1"/>
  <c r="U100" i="373"/>
  <c r="V100" i="373" s="1"/>
  <c r="S100" i="373"/>
  <c r="K100" i="373"/>
  <c r="L100" i="373" s="1"/>
  <c r="P100" i="373" s="1"/>
  <c r="M100" i="373" s="1"/>
  <c r="F100" i="373"/>
  <c r="AW99" i="373"/>
  <c r="AN99" i="373"/>
  <c r="AQ99" i="373" s="1"/>
  <c r="V99" i="373"/>
  <c r="U99" i="373"/>
  <c r="AO99" i="373" s="1"/>
  <c r="R99" i="373"/>
  <c r="S99" i="373" s="1"/>
  <c r="K99" i="373"/>
  <c r="L99" i="373" s="1"/>
  <c r="F99" i="373"/>
  <c r="AW98" i="373"/>
  <c r="AN98" i="373"/>
  <c r="AQ98" i="373" s="1"/>
  <c r="U98" i="373"/>
  <c r="AO98" i="373" s="1"/>
  <c r="S98" i="373"/>
  <c r="K98" i="373"/>
  <c r="L98" i="373" s="1"/>
  <c r="F98" i="373"/>
  <c r="AW97" i="373"/>
  <c r="AN97" i="373"/>
  <c r="AQ97" i="373" s="1"/>
  <c r="U97" i="373"/>
  <c r="R97" i="373"/>
  <c r="S97" i="373" s="1"/>
  <c r="K97" i="373"/>
  <c r="L97" i="373" s="1"/>
  <c r="F97" i="373"/>
  <c r="AW96" i="373"/>
  <c r="AN96" i="373"/>
  <c r="AQ96" i="373" s="1"/>
  <c r="S96" i="373"/>
  <c r="N96" i="373"/>
  <c r="U96" i="373" s="1"/>
  <c r="K96" i="373"/>
  <c r="L96" i="373" s="1"/>
  <c r="P96" i="373" s="1"/>
  <c r="M96" i="373" s="1"/>
  <c r="O96" i="373" s="1"/>
  <c r="D96" i="373"/>
  <c r="F96" i="373" s="1"/>
  <c r="AW95" i="373"/>
  <c r="AN95" i="373"/>
  <c r="AQ95" i="373" s="1"/>
  <c r="S95" i="373"/>
  <c r="N95" i="373"/>
  <c r="U95" i="373" s="1"/>
  <c r="K95" i="373"/>
  <c r="L95" i="373" s="1"/>
  <c r="P95" i="373" s="1"/>
  <c r="M95" i="373" s="1"/>
  <c r="O95" i="373" s="1"/>
  <c r="D95" i="373"/>
  <c r="F95" i="373" s="1"/>
  <c r="AW94" i="373"/>
  <c r="AN94" i="373"/>
  <c r="AQ94" i="373" s="1"/>
  <c r="V94" i="373"/>
  <c r="U94" i="373"/>
  <c r="AO94" i="373" s="1"/>
  <c r="S94" i="373"/>
  <c r="K94" i="373"/>
  <c r="L94" i="373" s="1"/>
  <c r="F94" i="373"/>
  <c r="AW93" i="373"/>
  <c r="AN93" i="373"/>
  <c r="AQ93" i="373" s="1"/>
  <c r="U93" i="373"/>
  <c r="V93" i="373" s="1"/>
  <c r="S93" i="373"/>
  <c r="K93" i="373"/>
  <c r="L93" i="373" s="1"/>
  <c r="P93" i="373" s="1"/>
  <c r="M93" i="373" s="1"/>
  <c r="F93" i="373"/>
  <c r="AW92" i="373"/>
  <c r="AN92" i="373"/>
  <c r="AQ92" i="373" s="1"/>
  <c r="U92" i="373"/>
  <c r="AO92" i="373" s="1"/>
  <c r="S92" i="373"/>
  <c r="K92" i="373"/>
  <c r="L92" i="373" s="1"/>
  <c r="P92" i="373" s="1"/>
  <c r="M92" i="373" s="1"/>
  <c r="F92" i="373"/>
  <c r="AW91" i="373"/>
  <c r="AN91" i="373"/>
  <c r="AQ91" i="373" s="1"/>
  <c r="V91" i="373"/>
  <c r="U91" i="373"/>
  <c r="S91" i="373"/>
  <c r="P91" i="373"/>
  <c r="M91" i="373" s="1"/>
  <c r="L91" i="373"/>
  <c r="K91" i="373"/>
  <c r="F91" i="373"/>
  <c r="AW90" i="373"/>
  <c r="AQ90" i="373"/>
  <c r="AN90" i="373"/>
  <c r="S90" i="373"/>
  <c r="N90" i="373"/>
  <c r="U90" i="373" s="1"/>
  <c r="K90" i="373"/>
  <c r="L90" i="373" s="1"/>
  <c r="D90" i="373"/>
  <c r="F90" i="373" s="1"/>
  <c r="AW89" i="373"/>
  <c r="AQ89" i="373"/>
  <c r="AN89" i="373"/>
  <c r="S89" i="373"/>
  <c r="N89" i="373"/>
  <c r="U89" i="373" s="1"/>
  <c r="K89" i="373"/>
  <c r="L89" i="373" s="1"/>
  <c r="D89" i="373"/>
  <c r="F89" i="373" s="1"/>
  <c r="AW88" i="373"/>
  <c r="AU88" i="373"/>
  <c r="AU111" i="373" s="1"/>
  <c r="AN88" i="373"/>
  <c r="AQ88" i="373" s="1"/>
  <c r="AA88" i="373"/>
  <c r="S88" i="373"/>
  <c r="N88" i="373"/>
  <c r="L88" i="373"/>
  <c r="P88" i="373" s="1"/>
  <c r="K88" i="373"/>
  <c r="F88" i="373"/>
  <c r="AW87" i="373"/>
  <c r="AQ87" i="373"/>
  <c r="AN87" i="373"/>
  <c r="R87" i="373"/>
  <c r="R111" i="373" s="1"/>
  <c r="N87" i="373"/>
  <c r="J87" i="373"/>
  <c r="K87" i="373" s="1"/>
  <c r="L87" i="373" s="1"/>
  <c r="P87" i="373" s="1"/>
  <c r="G87" i="373"/>
  <c r="G111" i="373" s="1"/>
  <c r="D87" i="373"/>
  <c r="F87" i="373" s="1"/>
  <c r="AW86" i="373"/>
  <c r="AN86" i="373"/>
  <c r="AQ86" i="373" s="1"/>
  <c r="S86" i="373"/>
  <c r="K86" i="373"/>
  <c r="L86" i="373" s="1"/>
  <c r="P86" i="373" s="1"/>
  <c r="F86" i="373"/>
  <c r="AW85" i="373"/>
  <c r="AN85" i="373"/>
  <c r="AQ85" i="373" s="1"/>
  <c r="S85" i="373"/>
  <c r="K85" i="373"/>
  <c r="L85" i="373" s="1"/>
  <c r="F85" i="373"/>
  <c r="AW84" i="373"/>
  <c r="AN84" i="373"/>
  <c r="AQ84" i="373" s="1"/>
  <c r="S84" i="373"/>
  <c r="K84" i="373"/>
  <c r="L84" i="373" s="1"/>
  <c r="F84" i="373"/>
  <c r="AW83" i="373"/>
  <c r="AN83" i="373"/>
  <c r="AQ83" i="373" s="1"/>
  <c r="S83" i="373"/>
  <c r="K83" i="373"/>
  <c r="L83" i="373" s="1"/>
  <c r="P83" i="373" s="1"/>
  <c r="F83" i="373"/>
  <c r="AW82" i="373"/>
  <c r="AN82" i="373"/>
  <c r="AQ82" i="373" s="1"/>
  <c r="S82" i="373"/>
  <c r="K82" i="373"/>
  <c r="L82" i="373" s="1"/>
  <c r="F82" i="373"/>
  <c r="AW81" i="373"/>
  <c r="AN81" i="373"/>
  <c r="AQ81" i="373" s="1"/>
  <c r="S81" i="373"/>
  <c r="N81" i="373"/>
  <c r="K81" i="373"/>
  <c r="L81" i="373" s="1"/>
  <c r="P81" i="373" s="1"/>
  <c r="D81" i="373"/>
  <c r="AW80" i="373"/>
  <c r="AN80" i="373"/>
  <c r="AQ80" i="373" s="1"/>
  <c r="S80" i="373"/>
  <c r="N80" i="373"/>
  <c r="K80" i="373"/>
  <c r="L80" i="373" s="1"/>
  <c r="P80" i="373" s="1"/>
  <c r="D80" i="373"/>
  <c r="F80" i="373" s="1"/>
  <c r="AW79" i="373"/>
  <c r="AN79" i="373"/>
  <c r="AQ79" i="373" s="1"/>
  <c r="S79" i="373"/>
  <c r="N79" i="373"/>
  <c r="K79" i="373"/>
  <c r="L79" i="373" s="1"/>
  <c r="D79" i="373"/>
  <c r="F79" i="373" s="1"/>
  <c r="AW78" i="373"/>
  <c r="AN78" i="373"/>
  <c r="AQ78" i="373" s="1"/>
  <c r="S78" i="373"/>
  <c r="K78" i="373"/>
  <c r="L78" i="373" s="1"/>
  <c r="F78" i="373"/>
  <c r="AW77" i="373"/>
  <c r="AN77" i="373"/>
  <c r="AQ77" i="373" s="1"/>
  <c r="Q77" i="373"/>
  <c r="S77" i="373" s="1"/>
  <c r="K77" i="373"/>
  <c r="L77" i="373" s="1"/>
  <c r="F77" i="373"/>
  <c r="AW76" i="373"/>
  <c r="AN76" i="373"/>
  <c r="AQ76" i="373" s="1"/>
  <c r="S76" i="373"/>
  <c r="N76" i="373"/>
  <c r="K76" i="373"/>
  <c r="L76" i="373" s="1"/>
  <c r="F76" i="373"/>
  <c r="AW75" i="373"/>
  <c r="AN75" i="373"/>
  <c r="AQ75" i="373" s="1"/>
  <c r="K75" i="373"/>
  <c r="L75" i="373" s="1"/>
  <c r="F75" i="373"/>
  <c r="AW74" i="373"/>
  <c r="AN74" i="373"/>
  <c r="AQ74" i="373" s="1"/>
  <c r="L74" i="373"/>
  <c r="P74" i="373" s="1"/>
  <c r="M74" i="373" s="1"/>
  <c r="O74" i="373" s="1"/>
  <c r="K74" i="373"/>
  <c r="F74" i="373"/>
  <c r="AW73" i="373"/>
  <c r="AQ73" i="373"/>
  <c r="AN73" i="373"/>
  <c r="K73" i="373"/>
  <c r="L73" i="373" s="1"/>
  <c r="P73" i="373" s="1"/>
  <c r="F73" i="373"/>
  <c r="AW72" i="373"/>
  <c r="AN72" i="373"/>
  <c r="AQ72" i="373" s="1"/>
  <c r="S72" i="373"/>
  <c r="K72" i="373"/>
  <c r="L72" i="373" s="1"/>
  <c r="J72" i="373"/>
  <c r="F72" i="373"/>
  <c r="AW71" i="373"/>
  <c r="AN71" i="373"/>
  <c r="AQ71" i="373" s="1"/>
  <c r="S71" i="373"/>
  <c r="K71" i="373"/>
  <c r="L71" i="373" s="1"/>
  <c r="F71" i="373"/>
  <c r="AW70" i="373"/>
  <c r="AQ70" i="373"/>
  <c r="AN70" i="373"/>
  <c r="S70" i="373"/>
  <c r="K70" i="373"/>
  <c r="L70" i="373" s="1"/>
  <c r="F70" i="373"/>
  <c r="AW69" i="373"/>
  <c r="AN69" i="373"/>
  <c r="AQ69" i="373" s="1"/>
  <c r="S69" i="373"/>
  <c r="K69" i="373"/>
  <c r="L69" i="373" s="1"/>
  <c r="P69" i="373" s="1"/>
  <c r="M69" i="373" s="1"/>
  <c r="F69" i="373"/>
  <c r="AW68" i="373"/>
  <c r="AN68" i="373"/>
  <c r="AQ68" i="373" s="1"/>
  <c r="S68" i="373"/>
  <c r="K68" i="373"/>
  <c r="L68" i="373" s="1"/>
  <c r="F68" i="373"/>
  <c r="AW67" i="373"/>
  <c r="AN67" i="373"/>
  <c r="AQ67" i="373" s="1"/>
  <c r="S67" i="373"/>
  <c r="L67" i="373"/>
  <c r="K67" i="373"/>
  <c r="F67" i="373"/>
  <c r="AW66" i="373"/>
  <c r="AQ66" i="373"/>
  <c r="AN66" i="373"/>
  <c r="S66" i="373"/>
  <c r="L66" i="373"/>
  <c r="P66" i="373" s="1"/>
  <c r="M66" i="373" s="1"/>
  <c r="O66" i="373" s="1"/>
  <c r="K66" i="373"/>
  <c r="F66" i="373"/>
  <c r="AW65" i="373"/>
  <c r="AQ65" i="373"/>
  <c r="AN65" i="373"/>
  <c r="S65" i="373"/>
  <c r="N65" i="373"/>
  <c r="L65" i="373"/>
  <c r="P65" i="373" s="1"/>
  <c r="K65" i="373"/>
  <c r="D65" i="373"/>
  <c r="F65" i="373" s="1"/>
  <c r="AW64" i="373"/>
  <c r="AQ64" i="373"/>
  <c r="AN64" i="373"/>
  <c r="S64" i="373"/>
  <c r="L64" i="373"/>
  <c r="P64" i="373" s="1"/>
  <c r="M64" i="373" s="1"/>
  <c r="O64" i="373" s="1"/>
  <c r="K64" i="373"/>
  <c r="F64" i="373"/>
  <c r="AW63" i="373"/>
  <c r="AQ63" i="373"/>
  <c r="AN63" i="373"/>
  <c r="S63" i="373"/>
  <c r="K63" i="373"/>
  <c r="L63" i="373" s="1"/>
  <c r="F63" i="373"/>
  <c r="AW62" i="373"/>
  <c r="AN62" i="373"/>
  <c r="AQ62" i="373" s="1"/>
  <c r="S62" i="373"/>
  <c r="L62" i="373"/>
  <c r="K62" i="373"/>
  <c r="F62" i="373"/>
  <c r="AW61" i="373"/>
  <c r="AN61" i="373"/>
  <c r="AQ61" i="373" s="1"/>
  <c r="S61" i="373"/>
  <c r="N61" i="373"/>
  <c r="K61" i="373"/>
  <c r="L61" i="373" s="1"/>
  <c r="P61" i="373" s="1"/>
  <c r="F61" i="373"/>
  <c r="D61" i="373"/>
  <c r="AW60" i="373"/>
  <c r="AN60" i="373"/>
  <c r="AQ60" i="373" s="1"/>
  <c r="S60" i="373"/>
  <c r="K60" i="373"/>
  <c r="L60" i="373" s="1"/>
  <c r="F60" i="373"/>
  <c r="AW59" i="373"/>
  <c r="AN59" i="373"/>
  <c r="AQ59" i="373" s="1"/>
  <c r="S59" i="373"/>
  <c r="L59" i="373"/>
  <c r="K59" i="373"/>
  <c r="F59" i="373"/>
  <c r="AW58" i="373"/>
  <c r="AQ58" i="373"/>
  <c r="AN58" i="373"/>
  <c r="S58" i="373"/>
  <c r="K58" i="373"/>
  <c r="L58" i="373" s="1"/>
  <c r="F58" i="373"/>
  <c r="AW57" i="373"/>
  <c r="AN57" i="373"/>
  <c r="AQ57" i="373" s="1"/>
  <c r="S57" i="373"/>
  <c r="N57" i="373"/>
  <c r="K57" i="373"/>
  <c r="L57" i="373" s="1"/>
  <c r="F57" i="373"/>
  <c r="AW56" i="373"/>
  <c r="AQ56" i="373"/>
  <c r="AN56" i="373"/>
  <c r="S56" i="373"/>
  <c r="P56" i="373"/>
  <c r="M56" i="373" s="1"/>
  <c r="O56" i="373" s="1"/>
  <c r="N56" i="373"/>
  <c r="K56" i="373"/>
  <c r="L56" i="373" s="1"/>
  <c r="F56" i="373"/>
  <c r="AW55" i="373"/>
  <c r="AQ55" i="373"/>
  <c r="AN55" i="373"/>
  <c r="Q55" i="373"/>
  <c r="N55" i="373"/>
  <c r="L55" i="373"/>
  <c r="P55" i="373" s="1"/>
  <c r="K55" i="373"/>
  <c r="D55" i="373"/>
  <c r="AW54" i="373"/>
  <c r="AQ54" i="373"/>
  <c r="AN54" i="373"/>
  <c r="S54" i="373"/>
  <c r="L54" i="373"/>
  <c r="P54" i="373" s="1"/>
  <c r="M54" i="373" s="1"/>
  <c r="K54" i="373"/>
  <c r="F54" i="373"/>
  <c r="AW53" i="373"/>
  <c r="AQ53" i="373"/>
  <c r="AN53" i="373"/>
  <c r="S53" i="373"/>
  <c r="K53" i="373"/>
  <c r="L53" i="373" s="1"/>
  <c r="P53" i="373" s="1"/>
  <c r="F53" i="373"/>
  <c r="AW52" i="373"/>
  <c r="AN52" i="373"/>
  <c r="AQ52" i="373" s="1"/>
  <c r="S52" i="373"/>
  <c r="L52" i="373"/>
  <c r="P52" i="373" s="1"/>
  <c r="M52" i="373" s="1"/>
  <c r="T52" i="373" s="1"/>
  <c r="U52" i="373" s="1"/>
  <c r="K52" i="373"/>
  <c r="F52" i="373"/>
  <c r="AW51" i="373"/>
  <c r="AN51" i="373"/>
  <c r="AQ51" i="373" s="1"/>
  <c r="S51" i="373"/>
  <c r="K51" i="373"/>
  <c r="L51" i="373" s="1"/>
  <c r="P51" i="373" s="1"/>
  <c r="F51" i="373"/>
  <c r="AW50" i="373"/>
  <c r="AN50" i="373"/>
  <c r="AQ50" i="373" s="1"/>
  <c r="S50" i="373"/>
  <c r="K50" i="373"/>
  <c r="L50" i="373" s="1"/>
  <c r="F50" i="373"/>
  <c r="AW49" i="373"/>
  <c r="AN49" i="373"/>
  <c r="AQ49" i="373" s="1"/>
  <c r="S49" i="373"/>
  <c r="K49" i="373"/>
  <c r="L49" i="373" s="1"/>
  <c r="P49" i="373" s="1"/>
  <c r="F49" i="373"/>
  <c r="AW48" i="373"/>
  <c r="AN48" i="373"/>
  <c r="AQ48" i="373" s="1"/>
  <c r="S48" i="373"/>
  <c r="L48" i="373"/>
  <c r="P48" i="373" s="1"/>
  <c r="K48" i="373"/>
  <c r="F48" i="373"/>
  <c r="AW47" i="373"/>
  <c r="AN47" i="373"/>
  <c r="AQ47" i="373" s="1"/>
  <c r="S47" i="373"/>
  <c r="K47" i="373"/>
  <c r="L47" i="373" s="1"/>
  <c r="F47" i="373"/>
  <c r="AW46" i="373"/>
  <c r="AQ46" i="373"/>
  <c r="AN46" i="373"/>
  <c r="S46" i="373"/>
  <c r="N46" i="373"/>
  <c r="K46" i="373"/>
  <c r="L46" i="373" s="1"/>
  <c r="D46" i="373"/>
  <c r="F46" i="373" s="1"/>
  <c r="AW45" i="373"/>
  <c r="AN45" i="373"/>
  <c r="AQ45" i="373" s="1"/>
  <c r="S45" i="373"/>
  <c r="N45" i="373"/>
  <c r="L45" i="373"/>
  <c r="P45" i="373" s="1"/>
  <c r="M45" i="373" s="1"/>
  <c r="K45" i="373"/>
  <c r="F45" i="373"/>
  <c r="AW44" i="373"/>
  <c r="AN44" i="373"/>
  <c r="AQ44" i="373" s="1"/>
  <c r="S44" i="373"/>
  <c r="K44" i="373"/>
  <c r="L44" i="373" s="1"/>
  <c r="F44" i="373"/>
  <c r="AW43" i="373"/>
  <c r="AN43" i="373"/>
  <c r="AQ43" i="373" s="1"/>
  <c r="S43" i="373"/>
  <c r="K43" i="373"/>
  <c r="L43" i="373" s="1"/>
  <c r="F43" i="373"/>
  <c r="AW42" i="373"/>
  <c r="AQ42" i="373"/>
  <c r="AN42" i="373"/>
  <c r="S42" i="373"/>
  <c r="K42" i="373"/>
  <c r="L42" i="373" s="1"/>
  <c r="F42" i="373"/>
  <c r="AW41" i="373"/>
  <c r="AN41" i="373"/>
  <c r="AQ41" i="373" s="1"/>
  <c r="S41" i="373"/>
  <c r="L41" i="373"/>
  <c r="P41" i="373" s="1"/>
  <c r="K41" i="373"/>
  <c r="F41" i="373"/>
  <c r="AW40" i="373"/>
  <c r="AN40" i="373"/>
  <c r="AQ40" i="373" s="1"/>
  <c r="AD40" i="373"/>
  <c r="AD111" i="373" s="1"/>
  <c r="S40" i="373"/>
  <c r="N40" i="373"/>
  <c r="J40" i="373"/>
  <c r="J111" i="373" s="1"/>
  <c r="F40" i="373"/>
  <c r="D40" i="373"/>
  <c r="AW39" i="373"/>
  <c r="AQ39" i="373"/>
  <c r="AN39" i="373"/>
  <c r="S39" i="373"/>
  <c r="N39" i="373"/>
  <c r="K39" i="373"/>
  <c r="L39" i="373" s="1"/>
  <c r="F39" i="373"/>
  <c r="AW38" i="373"/>
  <c r="AN38" i="373"/>
  <c r="AQ38" i="373" s="1"/>
  <c r="S38" i="373"/>
  <c r="K38" i="373"/>
  <c r="L38" i="373" s="1"/>
  <c r="F38" i="373"/>
  <c r="AW37" i="373"/>
  <c r="AQ37" i="373"/>
  <c r="AN37" i="373"/>
  <c r="S37" i="373"/>
  <c r="N37" i="373"/>
  <c r="K37" i="373"/>
  <c r="L37" i="373" s="1"/>
  <c r="F37" i="373"/>
  <c r="AW36" i="373"/>
  <c r="AQ36" i="373"/>
  <c r="AN36" i="373"/>
  <c r="S36" i="373"/>
  <c r="K36" i="373"/>
  <c r="L36" i="373" s="1"/>
  <c r="F36" i="373"/>
  <c r="AW35" i="373"/>
  <c r="AN35" i="373"/>
  <c r="AQ35" i="373" s="1"/>
  <c r="AA35" i="373"/>
  <c r="S35" i="373"/>
  <c r="N35" i="373"/>
  <c r="I35" i="373"/>
  <c r="K35" i="373" s="1"/>
  <c r="H35" i="373"/>
  <c r="F35" i="373"/>
  <c r="AW34" i="373"/>
  <c r="AN34" i="373"/>
  <c r="AQ34" i="373" s="1"/>
  <c r="S34" i="373"/>
  <c r="K34" i="373"/>
  <c r="L34" i="373" s="1"/>
  <c r="F34" i="373"/>
  <c r="AW33" i="373"/>
  <c r="AN33" i="373"/>
  <c r="AQ33" i="373" s="1"/>
  <c r="S33" i="373"/>
  <c r="N33" i="373"/>
  <c r="K33" i="373"/>
  <c r="L33" i="373" s="1"/>
  <c r="F33" i="373"/>
  <c r="D33" i="373"/>
  <c r="AW32" i="373"/>
  <c r="AN32" i="373"/>
  <c r="AQ32" i="373" s="1"/>
  <c r="S32" i="373"/>
  <c r="K32" i="373"/>
  <c r="L32" i="373" s="1"/>
  <c r="F32" i="373"/>
  <c r="AW31" i="373"/>
  <c r="AQ31" i="373"/>
  <c r="AN31" i="373"/>
  <c r="S31" i="373"/>
  <c r="K31" i="373"/>
  <c r="L31" i="373" s="1"/>
  <c r="F31" i="373"/>
  <c r="AW30" i="373"/>
  <c r="AN30" i="373"/>
  <c r="AQ30" i="373" s="1"/>
  <c r="S30" i="373"/>
  <c r="N30" i="373"/>
  <c r="K30" i="373"/>
  <c r="L30" i="373" s="1"/>
  <c r="F30" i="373"/>
  <c r="AW29" i="373"/>
  <c r="AQ29" i="373"/>
  <c r="AN29" i="373"/>
  <c r="S29" i="373"/>
  <c r="K29" i="373"/>
  <c r="L29" i="373" s="1"/>
  <c r="F29" i="373"/>
  <c r="AW28" i="373"/>
  <c r="AN28" i="373"/>
  <c r="AQ28" i="373" s="1"/>
  <c r="S28" i="373"/>
  <c r="I28" i="373"/>
  <c r="K28" i="373" s="1"/>
  <c r="H28" i="373"/>
  <c r="L28" i="373" s="1"/>
  <c r="P28" i="373" s="1"/>
  <c r="F28" i="373"/>
  <c r="AW27" i="373"/>
  <c r="AN27" i="373"/>
  <c r="AQ27" i="373" s="1"/>
  <c r="S27" i="373"/>
  <c r="N27" i="373"/>
  <c r="K27" i="373"/>
  <c r="L27" i="373" s="1"/>
  <c r="F27" i="373"/>
  <c r="D27" i="373"/>
  <c r="AW26" i="373"/>
  <c r="AN26" i="373"/>
  <c r="AQ26" i="373" s="1"/>
  <c r="S26" i="373"/>
  <c r="K26" i="373"/>
  <c r="L26" i="373" s="1"/>
  <c r="F26" i="373"/>
  <c r="AW25" i="373"/>
  <c r="AQ25" i="373"/>
  <c r="AN25" i="373"/>
  <c r="S25" i="373"/>
  <c r="K25" i="373"/>
  <c r="L25" i="373" s="1"/>
  <c r="F25" i="373"/>
  <c r="AW24" i="373"/>
  <c r="AN24" i="373"/>
  <c r="AQ24" i="373" s="1"/>
  <c r="W24" i="373"/>
  <c r="S24" i="373"/>
  <c r="K24" i="373"/>
  <c r="L24" i="373" s="1"/>
  <c r="P24" i="373" s="1"/>
  <c r="F24" i="373"/>
  <c r="AW23" i="373"/>
  <c r="AN23" i="373"/>
  <c r="AQ23" i="373" s="1"/>
  <c r="S23" i="373"/>
  <c r="K23" i="373"/>
  <c r="L23" i="373" s="1"/>
  <c r="F23" i="373"/>
  <c r="AW22" i="373"/>
  <c r="AN22" i="373"/>
  <c r="AQ22" i="373" s="1"/>
  <c r="S22" i="373"/>
  <c r="N22" i="373"/>
  <c r="K22" i="373"/>
  <c r="L22" i="373" s="1"/>
  <c r="F22" i="373"/>
  <c r="AW21" i="373"/>
  <c r="AQ21" i="373"/>
  <c r="AN21" i="373"/>
  <c r="S21" i="373"/>
  <c r="N21" i="373"/>
  <c r="K21" i="373"/>
  <c r="L21" i="373" s="1"/>
  <c r="F21" i="373"/>
  <c r="AW20" i="373"/>
  <c r="AN20" i="373"/>
  <c r="AQ20" i="373" s="1"/>
  <c r="S20" i="373"/>
  <c r="N20" i="373"/>
  <c r="K20" i="373"/>
  <c r="L20" i="373" s="1"/>
  <c r="F20" i="373"/>
  <c r="D20" i="373"/>
  <c r="AW19" i="373"/>
  <c r="AN19" i="373"/>
  <c r="AQ19" i="373" s="1"/>
  <c r="N19" i="373"/>
  <c r="K19" i="373"/>
  <c r="L19" i="373" s="1"/>
  <c r="D19" i="373"/>
  <c r="F19" i="373" s="1"/>
  <c r="AW18" i="373"/>
  <c r="AQ18" i="373"/>
  <c r="AN18" i="373"/>
  <c r="S18" i="373"/>
  <c r="N18" i="373"/>
  <c r="L18" i="373"/>
  <c r="P18" i="373" s="1"/>
  <c r="K18" i="373"/>
  <c r="D18" i="373"/>
  <c r="F18" i="373" s="1"/>
  <c r="AW17" i="373"/>
  <c r="AN17" i="373"/>
  <c r="AQ17" i="373" s="1"/>
  <c r="S17" i="373"/>
  <c r="N17" i="373"/>
  <c r="K17" i="373"/>
  <c r="L17" i="373" s="1"/>
  <c r="P17" i="373" s="1"/>
  <c r="F17" i="373"/>
  <c r="AW16" i="373"/>
  <c r="AN16" i="373"/>
  <c r="AQ16" i="373" s="1"/>
  <c r="S16" i="373"/>
  <c r="N16" i="373"/>
  <c r="L16" i="373"/>
  <c r="P16" i="373" s="1"/>
  <c r="K16" i="373"/>
  <c r="D16" i="373"/>
  <c r="F16" i="373" s="1"/>
  <c r="AW15" i="373"/>
  <c r="AN15" i="373"/>
  <c r="AQ15" i="373" s="1"/>
  <c r="S15" i="373"/>
  <c r="N15" i="373"/>
  <c r="K15" i="373"/>
  <c r="L15" i="373" s="1"/>
  <c r="P15" i="373" s="1"/>
  <c r="D15" i="373"/>
  <c r="F15" i="373" s="1"/>
  <c r="AW14" i="373"/>
  <c r="AE14" i="373"/>
  <c r="AE111" i="373" s="1"/>
  <c r="S14" i="373"/>
  <c r="N14" i="373"/>
  <c r="K14" i="373"/>
  <c r="L14" i="373" s="1"/>
  <c r="F14" i="373"/>
  <c r="AW13" i="373"/>
  <c r="AQ13" i="373"/>
  <c r="AN13" i="373"/>
  <c r="S13" i="373"/>
  <c r="N13" i="373"/>
  <c r="K13" i="373"/>
  <c r="L13" i="373" s="1"/>
  <c r="D13" i="373"/>
  <c r="F13" i="373" s="1"/>
  <c r="AW12" i="373"/>
  <c r="AN12" i="373"/>
  <c r="AQ12" i="373" s="1"/>
  <c r="S12" i="373"/>
  <c r="N12" i="373"/>
  <c r="L12" i="373"/>
  <c r="P12" i="373" s="1"/>
  <c r="M12" i="373" s="1"/>
  <c r="K12" i="373"/>
  <c r="H12" i="373"/>
  <c r="D12" i="373"/>
  <c r="F12" i="373" s="1"/>
  <c r="AW11" i="373"/>
  <c r="AQ11" i="373"/>
  <c r="AN11" i="373"/>
  <c r="S11" i="373"/>
  <c r="N11" i="373"/>
  <c r="K11" i="373"/>
  <c r="L11" i="373" s="1"/>
  <c r="D11" i="373"/>
  <c r="F11" i="373" s="1"/>
  <c r="AW10" i="373"/>
  <c r="AQ10" i="373"/>
  <c r="AN10" i="373"/>
  <c r="S10" i="373"/>
  <c r="N10" i="373"/>
  <c r="L10" i="373"/>
  <c r="P10" i="373" s="1"/>
  <c r="K10" i="373"/>
  <c r="F10" i="373"/>
  <c r="AW9" i="373"/>
  <c r="AQ9" i="373"/>
  <c r="AN9" i="373"/>
  <c r="S9" i="373"/>
  <c r="N9" i="373"/>
  <c r="L9" i="373"/>
  <c r="P9" i="373" s="1"/>
  <c r="K9" i="373"/>
  <c r="D9" i="373"/>
  <c r="F9" i="373" s="1"/>
  <c r="AW8" i="373"/>
  <c r="AN8" i="373"/>
  <c r="AQ8" i="373" s="1"/>
  <c r="S8" i="373"/>
  <c r="L8" i="373"/>
  <c r="P8" i="373" s="1"/>
  <c r="K8" i="373"/>
  <c r="H8" i="373"/>
  <c r="H111" i="373" s="1"/>
  <c r="F8" i="373"/>
  <c r="AW7" i="373"/>
  <c r="AW111" i="373" s="1"/>
  <c r="AN7" i="373"/>
  <c r="AQ7" i="373" s="1"/>
  <c r="S7" i="373"/>
  <c r="N7" i="373"/>
  <c r="L7" i="373"/>
  <c r="P7" i="373" s="1"/>
  <c r="K7" i="373"/>
  <c r="D7" i="373"/>
  <c r="F7" i="373" s="1"/>
  <c r="A7" i="373"/>
  <c r="A8" i="373" s="1"/>
  <c r="A9" i="373" s="1"/>
  <c r="A10" i="373" s="1"/>
  <c r="A11" i="373" s="1"/>
  <c r="A12" i="373" s="1"/>
  <c r="A13" i="373" s="1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A45" i="373" s="1"/>
  <c r="A46" i="373" s="1"/>
  <c r="A47" i="373" s="1"/>
  <c r="A48" i="373" s="1"/>
  <c r="A49" i="373" s="1"/>
  <c r="A50" i="373" s="1"/>
  <c r="A51" i="373" s="1"/>
  <c r="A52" i="373" s="1"/>
  <c r="A53" i="373" s="1"/>
  <c r="A54" i="373" s="1"/>
  <c r="A55" i="373" s="1"/>
  <c r="A56" i="373" s="1"/>
  <c r="A57" i="373" s="1"/>
  <c r="A58" i="373" s="1"/>
  <c r="A59" i="373" s="1"/>
  <c r="A60" i="373" s="1"/>
  <c r="A61" i="373" s="1"/>
  <c r="A62" i="373" s="1"/>
  <c r="A63" i="373" s="1"/>
  <c r="A64" i="373" s="1"/>
  <c r="A65" i="373" s="1"/>
  <c r="A66" i="373" s="1"/>
  <c r="A67" i="373" s="1"/>
  <c r="A68" i="373" s="1"/>
  <c r="A69" i="373" s="1"/>
  <c r="A70" i="373" s="1"/>
  <c r="A71" i="373" s="1"/>
  <c r="A72" i="373" s="1"/>
  <c r="A73" i="373" s="1"/>
  <c r="A74" i="373" s="1"/>
  <c r="A75" i="373" s="1"/>
  <c r="A76" i="373" s="1"/>
  <c r="A77" i="373" s="1"/>
  <c r="A78" i="373" s="1"/>
  <c r="A79" i="373" s="1"/>
  <c r="A80" i="373" s="1"/>
  <c r="A81" i="373" s="1"/>
  <c r="A82" i="373" s="1"/>
  <c r="A83" i="373" s="1"/>
  <c r="A84" i="373" s="1"/>
  <c r="A85" i="373" s="1"/>
  <c r="A86" i="373" s="1"/>
  <c r="A87" i="373" s="1"/>
  <c r="A88" i="373" s="1"/>
  <c r="A89" i="373" s="1"/>
  <c r="A90" i="373" s="1"/>
  <c r="A91" i="373" s="1"/>
  <c r="A92" i="373" s="1"/>
  <c r="A93" i="373" s="1"/>
  <c r="A94" i="373" s="1"/>
  <c r="A95" i="373" s="1"/>
  <c r="A96" i="373" s="1"/>
  <c r="A97" i="373" s="1"/>
  <c r="A98" i="373" s="1"/>
  <c r="A99" i="373" s="1"/>
  <c r="A100" i="373" s="1"/>
  <c r="A101" i="373" s="1"/>
  <c r="A102" i="373" s="1"/>
  <c r="A103" i="373" s="1"/>
  <c r="A104" i="373" s="1"/>
  <c r="A105" i="373" s="1"/>
  <c r="A106" i="373" s="1"/>
  <c r="A107" i="373" s="1"/>
  <c r="A108" i="373" s="1"/>
  <c r="A109" i="373" s="1"/>
  <c r="A110" i="373" s="1"/>
  <c r="A111" i="373" s="1"/>
  <c r="Z9" i="370" s="1"/>
  <c r="BA6" i="373"/>
  <c r="BA111" i="373" s="1"/>
  <c r="AN6" i="373"/>
  <c r="S6" i="373"/>
  <c r="N6" i="373"/>
  <c r="K6" i="373"/>
  <c r="L6" i="373" s="1"/>
  <c r="P6" i="373" s="1"/>
  <c r="D6" i="373"/>
  <c r="D111" i="373" s="1"/>
  <c r="BA123" i="372"/>
  <c r="AZ123" i="372"/>
  <c r="AY123" i="372"/>
  <c r="AX123" i="372"/>
  <c r="AX124" i="372" s="1"/>
  <c r="AW123" i="372"/>
  <c r="AW124" i="372" s="1"/>
  <c r="AT123" i="372"/>
  <c r="AT124" i="372" s="1"/>
  <c r="AS123" i="372"/>
  <c r="AS124" i="372" s="1"/>
  <c r="AR123" i="372"/>
  <c r="AQ123" i="372"/>
  <c r="AM123" i="372"/>
  <c r="AV123" i="372" s="1"/>
  <c r="AL123" i="372"/>
  <c r="AL124" i="372" s="1"/>
  <c r="AK123" i="372"/>
  <c r="AI123" i="372"/>
  <c r="AF123" i="372"/>
  <c r="AE123" i="372"/>
  <c r="AD123" i="372"/>
  <c r="AD124" i="372" s="1"/>
  <c r="AC123" i="372"/>
  <c r="AC124" i="372" s="1"/>
  <c r="AB123" i="372"/>
  <c r="AA123" i="372"/>
  <c r="Z123" i="372"/>
  <c r="Z124" i="372" s="1"/>
  <c r="Y123" i="372"/>
  <c r="Y124" i="372" s="1"/>
  <c r="X123" i="372"/>
  <c r="W123" i="372"/>
  <c r="Q123" i="372"/>
  <c r="J123" i="372"/>
  <c r="I123" i="372"/>
  <c r="I124" i="372" s="1"/>
  <c r="H123" i="372"/>
  <c r="E123" i="372"/>
  <c r="AV122" i="372"/>
  <c r="AN122" i="372"/>
  <c r="AP122" i="372" s="1"/>
  <c r="S122" i="372"/>
  <c r="K122" i="372"/>
  <c r="L122" i="372" s="1"/>
  <c r="F122" i="372"/>
  <c r="D122" i="372"/>
  <c r="AV121" i="372"/>
  <c r="AN121" i="372"/>
  <c r="AP121" i="372" s="1"/>
  <c r="S121" i="372"/>
  <c r="N121" i="372"/>
  <c r="L121" i="372"/>
  <c r="P121" i="372" s="1"/>
  <c r="K121" i="372"/>
  <c r="D121" i="372"/>
  <c r="AV120" i="372"/>
  <c r="AN120" i="372"/>
  <c r="AP120" i="372" s="1"/>
  <c r="S120" i="372"/>
  <c r="L120" i="372"/>
  <c r="P120" i="372" s="1"/>
  <c r="K120" i="372"/>
  <c r="F120" i="372"/>
  <c r="AV119" i="372"/>
  <c r="AN119" i="372"/>
  <c r="AP119" i="372" s="1"/>
  <c r="S119" i="372"/>
  <c r="K119" i="372"/>
  <c r="L119" i="372" s="1"/>
  <c r="F119" i="372"/>
  <c r="AV118" i="372"/>
  <c r="AP118" i="372"/>
  <c r="AN118" i="372"/>
  <c r="S118" i="372"/>
  <c r="K118" i="372"/>
  <c r="L118" i="372" s="1"/>
  <c r="F118" i="372"/>
  <c r="AV117" i="372"/>
  <c r="AP117" i="372"/>
  <c r="AN117" i="372"/>
  <c r="S117" i="372"/>
  <c r="L117" i="372"/>
  <c r="P117" i="372" s="1"/>
  <c r="K117" i="372"/>
  <c r="F117" i="372"/>
  <c r="AV116" i="372"/>
  <c r="AU116" i="372"/>
  <c r="AU123" i="372" s="1"/>
  <c r="AJ116" i="372"/>
  <c r="AJ123" i="372" s="1"/>
  <c r="AJ124" i="372" s="1"/>
  <c r="AH116" i="372"/>
  <c r="AH123" i="372" s="1"/>
  <c r="AG116" i="372"/>
  <c r="AG123" i="372" s="1"/>
  <c r="AG124" i="372" s="1"/>
  <c r="AA116" i="372"/>
  <c r="S116" i="372"/>
  <c r="N116" i="372"/>
  <c r="K116" i="372"/>
  <c r="L116" i="372" s="1"/>
  <c r="G116" i="372"/>
  <c r="P116" i="372" s="1"/>
  <c r="F116" i="372"/>
  <c r="D116" i="372"/>
  <c r="AV115" i="372"/>
  <c r="AN115" i="372"/>
  <c r="AP115" i="372" s="1"/>
  <c r="R115" i="372"/>
  <c r="R123" i="372" s="1"/>
  <c r="R124" i="372" s="1"/>
  <c r="L115" i="372"/>
  <c r="P115" i="372" s="1"/>
  <c r="K115" i="372"/>
  <c r="D115" i="372"/>
  <c r="D123" i="372" s="1"/>
  <c r="AV114" i="372"/>
  <c r="AN114" i="372"/>
  <c r="AP114" i="372" s="1"/>
  <c r="S114" i="372"/>
  <c r="N114" i="372"/>
  <c r="N123" i="372" s="1"/>
  <c r="L114" i="372"/>
  <c r="K114" i="372"/>
  <c r="G114" i="372"/>
  <c r="P114" i="372" s="1"/>
  <c r="F114" i="372"/>
  <c r="AV113" i="372"/>
  <c r="AP113" i="372"/>
  <c r="AN113" i="372"/>
  <c r="S113" i="372"/>
  <c r="L113" i="372"/>
  <c r="P113" i="372" s="1"/>
  <c r="K113" i="372"/>
  <c r="F113" i="372"/>
  <c r="AV112" i="372"/>
  <c r="AN112" i="372"/>
  <c r="AP112" i="372" s="1"/>
  <c r="S112" i="372"/>
  <c r="L112" i="372"/>
  <c r="P112" i="372" s="1"/>
  <c r="K112" i="372"/>
  <c r="F112" i="372"/>
  <c r="AV111" i="372"/>
  <c r="AN111" i="372"/>
  <c r="AP111" i="372" s="1"/>
  <c r="S111" i="372"/>
  <c r="K111" i="372"/>
  <c r="L111" i="372" s="1"/>
  <c r="F111" i="372"/>
  <c r="AV110" i="372"/>
  <c r="AP110" i="372"/>
  <c r="AN110" i="372"/>
  <c r="S110" i="372"/>
  <c r="K110" i="372"/>
  <c r="L110" i="372" s="1"/>
  <c r="F110" i="372"/>
  <c r="P109" i="372"/>
  <c r="P108" i="372"/>
  <c r="AZ107" i="372"/>
  <c r="AZ124" i="372" s="1"/>
  <c r="AY107" i="372"/>
  <c r="AY124" i="372" s="1"/>
  <c r="AX107" i="372"/>
  <c r="AW107" i="372"/>
  <c r="AT107" i="372"/>
  <c r="AS107" i="372"/>
  <c r="AR107" i="372"/>
  <c r="AR124" i="372" s="1"/>
  <c r="AQ107" i="372"/>
  <c r="AQ124" i="372" s="1"/>
  <c r="AL107" i="372"/>
  <c r="AJ107" i="372"/>
  <c r="AI107" i="372"/>
  <c r="AI124" i="372" s="1"/>
  <c r="AG107" i="372"/>
  <c r="AF107" i="372"/>
  <c r="AF124" i="372" s="1"/>
  <c r="AE107" i="372"/>
  <c r="AE124" i="372" s="1"/>
  <c r="AD107" i="372"/>
  <c r="AC107" i="372"/>
  <c r="AB107" i="372"/>
  <c r="AB124" i="372" s="1"/>
  <c r="Z107" i="372"/>
  <c r="Y107" i="372"/>
  <c r="X107" i="372"/>
  <c r="X124" i="372" s="1"/>
  <c r="R107" i="372"/>
  <c r="I107" i="372"/>
  <c r="H107" i="372"/>
  <c r="H124" i="372" s="1"/>
  <c r="AV106" i="372"/>
  <c r="AP106" i="372"/>
  <c r="AN106" i="372"/>
  <c r="S106" i="372"/>
  <c r="N106" i="372"/>
  <c r="K106" i="372"/>
  <c r="L106" i="372" s="1"/>
  <c r="F106" i="372"/>
  <c r="AV105" i="372"/>
  <c r="AP105" i="372"/>
  <c r="AO105" i="372"/>
  <c r="AN105" i="372"/>
  <c r="U105" i="372"/>
  <c r="V105" i="372" s="1"/>
  <c r="O105" i="372"/>
  <c r="N105" i="372"/>
  <c r="M105" i="372"/>
  <c r="F105" i="372"/>
  <c r="AV104" i="372"/>
  <c r="AN104" i="372"/>
  <c r="AP104" i="372" s="1"/>
  <c r="S104" i="372"/>
  <c r="L104" i="372"/>
  <c r="P104" i="372" s="1"/>
  <c r="K104" i="372"/>
  <c r="F104" i="372"/>
  <c r="AV103" i="372"/>
  <c r="AN103" i="372"/>
  <c r="AP103" i="372" s="1"/>
  <c r="K103" i="372"/>
  <c r="L103" i="372" s="1"/>
  <c r="F103" i="372"/>
  <c r="D103" i="372"/>
  <c r="AV102" i="372"/>
  <c r="AP102" i="372"/>
  <c r="AN102" i="372"/>
  <c r="S102" i="372"/>
  <c r="N102" i="372"/>
  <c r="K102" i="372"/>
  <c r="L102" i="372" s="1"/>
  <c r="F102" i="372"/>
  <c r="D102" i="372"/>
  <c r="AV101" i="372"/>
  <c r="AN101" i="372"/>
  <c r="AP101" i="372" s="1"/>
  <c r="S101" i="372"/>
  <c r="N101" i="372"/>
  <c r="L101" i="372"/>
  <c r="P101" i="372" s="1"/>
  <c r="K101" i="372"/>
  <c r="F101" i="372"/>
  <c r="AV100" i="372"/>
  <c r="AN100" i="372"/>
  <c r="AP100" i="372" s="1"/>
  <c r="S100" i="372"/>
  <c r="K100" i="372"/>
  <c r="L100" i="372" s="1"/>
  <c r="F100" i="372"/>
  <c r="D100" i="372"/>
  <c r="AV99" i="372"/>
  <c r="AN99" i="372"/>
  <c r="AP99" i="372" s="1"/>
  <c r="S99" i="372"/>
  <c r="K99" i="372"/>
  <c r="L99" i="372" s="1"/>
  <c r="F99" i="372"/>
  <c r="D99" i="372"/>
  <c r="AV98" i="372"/>
  <c r="AN98" i="372"/>
  <c r="AP98" i="372" s="1"/>
  <c r="S98" i="372"/>
  <c r="N98" i="372"/>
  <c r="L98" i="372"/>
  <c r="P98" i="372" s="1"/>
  <c r="K98" i="372"/>
  <c r="D98" i="372"/>
  <c r="AV97" i="372"/>
  <c r="AN97" i="372"/>
  <c r="AP97" i="372" s="1"/>
  <c r="S97" i="372"/>
  <c r="L97" i="372"/>
  <c r="P97" i="372" s="1"/>
  <c r="K97" i="372"/>
  <c r="D97" i="372"/>
  <c r="AV96" i="372"/>
  <c r="AN96" i="372"/>
  <c r="AP96" i="372" s="1"/>
  <c r="AA96" i="372"/>
  <c r="S96" i="372"/>
  <c r="Q96" i="372"/>
  <c r="K96" i="372"/>
  <c r="L96" i="372" s="1"/>
  <c r="F96" i="372"/>
  <c r="AV95" i="372"/>
  <c r="AP95" i="372"/>
  <c r="AN95" i="372"/>
  <c r="S95" i="372"/>
  <c r="L95" i="372"/>
  <c r="P95" i="372" s="1"/>
  <c r="K95" i="372"/>
  <c r="F95" i="372"/>
  <c r="AV94" i="372"/>
  <c r="AN94" i="372"/>
  <c r="AP94" i="372" s="1"/>
  <c r="V94" i="372"/>
  <c r="U94" i="372"/>
  <c r="S94" i="372"/>
  <c r="M94" i="372" s="1"/>
  <c r="K94" i="372"/>
  <c r="L94" i="372" s="1"/>
  <c r="O94" i="372" s="1"/>
  <c r="F94" i="372"/>
  <c r="AV93" i="372"/>
  <c r="AP93" i="372"/>
  <c r="AN93" i="372"/>
  <c r="S93" i="372"/>
  <c r="N93" i="372"/>
  <c r="K93" i="372"/>
  <c r="L93" i="372" s="1"/>
  <c r="F93" i="372"/>
  <c r="D93" i="372"/>
  <c r="AV92" i="372"/>
  <c r="AP92" i="372"/>
  <c r="AN92" i="372"/>
  <c r="S92" i="372"/>
  <c r="K92" i="372"/>
  <c r="L92" i="372" s="1"/>
  <c r="F92" i="372"/>
  <c r="AV91" i="372"/>
  <c r="AP91" i="372"/>
  <c r="AN91" i="372"/>
  <c r="S91" i="372"/>
  <c r="N91" i="372"/>
  <c r="K91" i="372"/>
  <c r="L91" i="372" s="1"/>
  <c r="F91" i="372"/>
  <c r="D91" i="372"/>
  <c r="AV90" i="372"/>
  <c r="AP90" i="372"/>
  <c r="AN90" i="372"/>
  <c r="S90" i="372"/>
  <c r="K90" i="372"/>
  <c r="L90" i="372" s="1"/>
  <c r="F90" i="372"/>
  <c r="AV89" i="372"/>
  <c r="AP89" i="372"/>
  <c r="AN89" i="372"/>
  <c r="AA89" i="372"/>
  <c r="S89" i="372"/>
  <c r="K89" i="372"/>
  <c r="L89" i="372" s="1"/>
  <c r="F89" i="372"/>
  <c r="D89" i="372"/>
  <c r="AV88" i="372"/>
  <c r="AP88" i="372"/>
  <c r="AN88" i="372"/>
  <c r="S88" i="372"/>
  <c r="N88" i="372"/>
  <c r="K88" i="372"/>
  <c r="L88" i="372" s="1"/>
  <c r="F88" i="372"/>
  <c r="D88" i="372"/>
  <c r="AV87" i="372"/>
  <c r="AN87" i="372"/>
  <c r="AP87" i="372" s="1"/>
  <c r="S87" i="372"/>
  <c r="K87" i="372"/>
  <c r="L87" i="372" s="1"/>
  <c r="F87" i="372"/>
  <c r="AV86" i="372"/>
  <c r="AP86" i="372"/>
  <c r="AN86" i="372"/>
  <c r="AA86" i="372"/>
  <c r="S86" i="372"/>
  <c r="N86" i="372"/>
  <c r="L86" i="372"/>
  <c r="P86" i="372" s="1"/>
  <c r="K86" i="372"/>
  <c r="D86" i="372"/>
  <c r="AV85" i="372"/>
  <c r="AN85" i="372"/>
  <c r="AP85" i="372" s="1"/>
  <c r="S85" i="372"/>
  <c r="N85" i="372"/>
  <c r="L85" i="372"/>
  <c r="P85" i="372" s="1"/>
  <c r="K85" i="372"/>
  <c r="D85" i="372"/>
  <c r="AV84" i="372"/>
  <c r="AP84" i="372"/>
  <c r="AN84" i="372"/>
  <c r="S84" i="372"/>
  <c r="L84" i="372"/>
  <c r="P84" i="372" s="1"/>
  <c r="K84" i="372"/>
  <c r="F84" i="372"/>
  <c r="AV83" i="372"/>
  <c r="AN83" i="372"/>
  <c r="AP83" i="372" s="1"/>
  <c r="S83" i="372"/>
  <c r="N83" i="372"/>
  <c r="L83" i="372"/>
  <c r="P83" i="372" s="1"/>
  <c r="K83" i="372"/>
  <c r="F83" i="372"/>
  <c r="AV82" i="372"/>
  <c r="AN82" i="372"/>
  <c r="AP82" i="372" s="1"/>
  <c r="AH82" i="372"/>
  <c r="AH107" i="372" s="1"/>
  <c r="AA82" i="372"/>
  <c r="S82" i="372"/>
  <c r="N82" i="372"/>
  <c r="K82" i="372"/>
  <c r="L82" i="372" s="1"/>
  <c r="F82" i="372"/>
  <c r="AV81" i="372"/>
  <c r="AP81" i="372"/>
  <c r="AN81" i="372"/>
  <c r="S81" i="372"/>
  <c r="N81" i="372"/>
  <c r="K81" i="372"/>
  <c r="L81" i="372" s="1"/>
  <c r="F81" i="372"/>
  <c r="AV80" i="372"/>
  <c r="AP80" i="372"/>
  <c r="AN80" i="372"/>
  <c r="S80" i="372"/>
  <c r="N80" i="372"/>
  <c r="K80" i="372"/>
  <c r="L80" i="372" s="1"/>
  <c r="F80" i="372"/>
  <c r="AM79" i="372"/>
  <c r="AN79" i="372" s="1"/>
  <c r="AP79" i="372" s="1"/>
  <c r="S79" i="372"/>
  <c r="N79" i="372"/>
  <c r="L79" i="372"/>
  <c r="P79" i="372" s="1"/>
  <c r="K79" i="372"/>
  <c r="F79" i="372"/>
  <c r="AV78" i="372"/>
  <c r="AN78" i="372"/>
  <c r="AP78" i="372" s="1"/>
  <c r="S78" i="372"/>
  <c r="N78" i="372"/>
  <c r="L78" i="372"/>
  <c r="P78" i="372" s="1"/>
  <c r="K78" i="372"/>
  <c r="F78" i="372"/>
  <c r="AV77" i="372"/>
  <c r="AN77" i="372"/>
  <c r="AP77" i="372" s="1"/>
  <c r="S77" i="372"/>
  <c r="N77" i="372"/>
  <c r="L77" i="372"/>
  <c r="P77" i="372" s="1"/>
  <c r="K77" i="372"/>
  <c r="F77" i="372"/>
  <c r="AV76" i="372"/>
  <c r="AN76" i="372"/>
  <c r="AP76" i="372" s="1"/>
  <c r="AA76" i="372"/>
  <c r="S76" i="372"/>
  <c r="N76" i="372"/>
  <c r="K76" i="372"/>
  <c r="L76" i="372" s="1"/>
  <c r="F76" i="372"/>
  <c r="AV75" i="372"/>
  <c r="AN75" i="372"/>
  <c r="AN127" i="372" s="1"/>
  <c r="S75" i="372"/>
  <c r="L75" i="372"/>
  <c r="P75" i="372" s="1"/>
  <c r="K75" i="372"/>
  <c r="F75" i="372"/>
  <c r="AV74" i="372"/>
  <c r="AN74" i="372"/>
  <c r="AP74" i="372" s="1"/>
  <c r="S74" i="372"/>
  <c r="N74" i="372"/>
  <c r="L74" i="372"/>
  <c r="P74" i="372" s="1"/>
  <c r="K74" i="372"/>
  <c r="D74" i="372"/>
  <c r="AV73" i="372"/>
  <c r="AN73" i="372"/>
  <c r="AP73" i="372" s="1"/>
  <c r="S73" i="372"/>
  <c r="L73" i="372"/>
  <c r="P73" i="372" s="1"/>
  <c r="K73" i="372"/>
  <c r="F73" i="372"/>
  <c r="AV72" i="372"/>
  <c r="AK72" i="372"/>
  <c r="AK107" i="372" s="1"/>
  <c r="S72" i="372"/>
  <c r="Q72" i="372"/>
  <c r="N72" i="372"/>
  <c r="K72" i="372"/>
  <c r="L72" i="372" s="1"/>
  <c r="F72" i="372"/>
  <c r="AV71" i="372"/>
  <c r="AP71" i="372"/>
  <c r="AN71" i="372"/>
  <c r="S71" i="372"/>
  <c r="L71" i="372"/>
  <c r="P71" i="372" s="1"/>
  <c r="K71" i="372"/>
  <c r="F71" i="372"/>
  <c r="AV70" i="372"/>
  <c r="AN70" i="372"/>
  <c r="AP70" i="372" s="1"/>
  <c r="S70" i="372"/>
  <c r="L70" i="372"/>
  <c r="P70" i="372" s="1"/>
  <c r="K70" i="372"/>
  <c r="F70" i="372"/>
  <c r="AV69" i="372"/>
  <c r="AN69" i="372"/>
  <c r="AP69" i="372" s="1"/>
  <c r="S69" i="372"/>
  <c r="N69" i="372"/>
  <c r="L69" i="372"/>
  <c r="P69" i="372" s="1"/>
  <c r="K69" i="372"/>
  <c r="F69" i="372"/>
  <c r="AV68" i="372"/>
  <c r="AN68" i="372"/>
  <c r="AP68" i="372" s="1"/>
  <c r="S68" i="372"/>
  <c r="N68" i="372"/>
  <c r="L68" i="372"/>
  <c r="P68" i="372" s="1"/>
  <c r="K68" i="372"/>
  <c r="F68" i="372"/>
  <c r="AV67" i="372"/>
  <c r="AN67" i="372"/>
  <c r="AP67" i="372" s="1"/>
  <c r="S67" i="372"/>
  <c r="N67" i="372"/>
  <c r="L67" i="372"/>
  <c r="P67" i="372" s="1"/>
  <c r="K67" i="372"/>
  <c r="F67" i="372"/>
  <c r="AV66" i="372"/>
  <c r="AN66" i="372"/>
  <c r="AP66" i="372" s="1"/>
  <c r="Q66" i="372"/>
  <c r="S66" i="372" s="1"/>
  <c r="N66" i="372"/>
  <c r="K66" i="372"/>
  <c r="L66" i="372" s="1"/>
  <c r="F66" i="372"/>
  <c r="AV65" i="372"/>
  <c r="AN65" i="372"/>
  <c r="AP65" i="372" s="1"/>
  <c r="S65" i="372"/>
  <c r="L65" i="372"/>
  <c r="P65" i="372" s="1"/>
  <c r="K65" i="372"/>
  <c r="F65" i="372"/>
  <c r="AV64" i="372"/>
  <c r="AN64" i="372"/>
  <c r="AP64" i="372" s="1"/>
  <c r="S64" i="372"/>
  <c r="K64" i="372"/>
  <c r="L64" i="372" s="1"/>
  <c r="F64" i="372"/>
  <c r="AV63" i="372"/>
  <c r="AP63" i="372"/>
  <c r="AN63" i="372"/>
  <c r="AN126" i="372" s="1"/>
  <c r="S63" i="372"/>
  <c r="K63" i="372"/>
  <c r="L63" i="372" s="1"/>
  <c r="F63" i="372"/>
  <c r="AV62" i="372"/>
  <c r="AP62" i="372"/>
  <c r="AN62" i="372"/>
  <c r="S62" i="372"/>
  <c r="K62" i="372"/>
  <c r="L62" i="372" s="1"/>
  <c r="F62" i="372"/>
  <c r="AV61" i="372"/>
  <c r="AN61" i="372"/>
  <c r="AP61" i="372" s="1"/>
  <c r="S61" i="372"/>
  <c r="L61" i="372"/>
  <c r="P61" i="372" s="1"/>
  <c r="K61" i="372"/>
  <c r="D61" i="372"/>
  <c r="AV60" i="372"/>
  <c r="AN60" i="372"/>
  <c r="AP60" i="372" s="1"/>
  <c r="S60" i="372"/>
  <c r="L60" i="372"/>
  <c r="P60" i="372" s="1"/>
  <c r="K60" i="372"/>
  <c r="F60" i="372"/>
  <c r="AV59" i="372"/>
  <c r="AN59" i="372"/>
  <c r="AP59" i="372" s="1"/>
  <c r="S59" i="372"/>
  <c r="K59" i="372"/>
  <c r="L59" i="372" s="1"/>
  <c r="F59" i="372"/>
  <c r="AV58" i="372"/>
  <c r="AP58" i="372"/>
  <c r="AN58" i="372"/>
  <c r="Q58" i="372"/>
  <c r="S58" i="372" s="1"/>
  <c r="N58" i="372"/>
  <c r="L58" i="372"/>
  <c r="P58" i="372" s="1"/>
  <c r="K58" i="372"/>
  <c r="F58" i="372"/>
  <c r="AV57" i="372"/>
  <c r="AN57" i="372"/>
  <c r="AP57" i="372" s="1"/>
  <c r="S57" i="372"/>
  <c r="N57" i="372"/>
  <c r="L57" i="372"/>
  <c r="P57" i="372" s="1"/>
  <c r="K57" i="372"/>
  <c r="F57" i="372"/>
  <c r="AV56" i="372"/>
  <c r="AN56" i="372"/>
  <c r="AP56" i="372" s="1"/>
  <c r="Q56" i="372"/>
  <c r="S56" i="372" s="1"/>
  <c r="N56" i="372"/>
  <c r="K56" i="372"/>
  <c r="L56" i="372" s="1"/>
  <c r="F56" i="372"/>
  <c r="AV55" i="372"/>
  <c r="AN55" i="372"/>
  <c r="AP55" i="372" s="1"/>
  <c r="S55" i="372"/>
  <c r="N55" i="372"/>
  <c r="K55" i="372"/>
  <c r="L55" i="372" s="1"/>
  <c r="F55" i="372"/>
  <c r="AV54" i="372"/>
  <c r="AN54" i="372"/>
  <c r="AP54" i="372" s="1"/>
  <c r="S54" i="372"/>
  <c r="Q54" i="372"/>
  <c r="N54" i="372"/>
  <c r="K54" i="372"/>
  <c r="L54" i="372" s="1"/>
  <c r="F54" i="372"/>
  <c r="BA53" i="372"/>
  <c r="AV53" i="372"/>
  <c r="AU53" i="372"/>
  <c r="AN53" i="372"/>
  <c r="AP53" i="372" s="1"/>
  <c r="AA53" i="372"/>
  <c r="S53" i="372"/>
  <c r="N53" i="372"/>
  <c r="K53" i="372"/>
  <c r="L53" i="372" s="1"/>
  <c r="F53" i="372"/>
  <c r="AV52" i="372"/>
  <c r="AN52" i="372"/>
  <c r="AP52" i="372" s="1"/>
  <c r="S52" i="372"/>
  <c r="L52" i="372"/>
  <c r="P52" i="372" s="1"/>
  <c r="K52" i="372"/>
  <c r="F52" i="372"/>
  <c r="AV51" i="372"/>
  <c r="AN51" i="372"/>
  <c r="AP51" i="372" s="1"/>
  <c r="S51" i="372"/>
  <c r="N51" i="372"/>
  <c r="L51" i="372"/>
  <c r="P51" i="372" s="1"/>
  <c r="K51" i="372"/>
  <c r="F51" i="372"/>
  <c r="AV50" i="372"/>
  <c r="AN50" i="372"/>
  <c r="AP50" i="372" s="1"/>
  <c r="S50" i="372"/>
  <c r="K50" i="372"/>
  <c r="L50" i="372" s="1"/>
  <c r="F50" i="372"/>
  <c r="AV49" i="372"/>
  <c r="AP49" i="372"/>
  <c r="AN49" i="372"/>
  <c r="S49" i="372"/>
  <c r="K49" i="372"/>
  <c r="L49" i="372" s="1"/>
  <c r="F49" i="372"/>
  <c r="D49" i="372"/>
  <c r="AV48" i="372"/>
  <c r="AP48" i="372"/>
  <c r="AN48" i="372"/>
  <c r="S48" i="372"/>
  <c r="P48" i="372"/>
  <c r="K48" i="372"/>
  <c r="L48" i="372" s="1"/>
  <c r="F48" i="372"/>
  <c r="AV47" i="372"/>
  <c r="AP47" i="372"/>
  <c r="AN47" i="372"/>
  <c r="S47" i="372"/>
  <c r="K47" i="372"/>
  <c r="L47" i="372" s="1"/>
  <c r="P47" i="372" s="1"/>
  <c r="M47" i="372" s="1"/>
  <c r="F47" i="372"/>
  <c r="AV46" i="372"/>
  <c r="AN46" i="372"/>
  <c r="AP46" i="372" s="1"/>
  <c r="S46" i="372"/>
  <c r="M46" i="372"/>
  <c r="T46" i="372" s="1"/>
  <c r="U46" i="372" s="1"/>
  <c r="L46" i="372"/>
  <c r="P46" i="372" s="1"/>
  <c r="K46" i="372"/>
  <c r="D46" i="372"/>
  <c r="AV45" i="372"/>
  <c r="AN45" i="372"/>
  <c r="AP45" i="372" s="1"/>
  <c r="S45" i="372"/>
  <c r="L45" i="372"/>
  <c r="K45" i="372"/>
  <c r="F45" i="372"/>
  <c r="AV44" i="372"/>
  <c r="AN44" i="372"/>
  <c r="AP44" i="372" s="1"/>
  <c r="AA44" i="372"/>
  <c r="S44" i="372"/>
  <c r="N44" i="372"/>
  <c r="K44" i="372"/>
  <c r="L44" i="372" s="1"/>
  <c r="P44" i="372" s="1"/>
  <c r="F44" i="372"/>
  <c r="AV43" i="372"/>
  <c r="AP43" i="372"/>
  <c r="AN43" i="372"/>
  <c r="S43" i="372"/>
  <c r="L43" i="372"/>
  <c r="P43" i="372" s="1"/>
  <c r="M43" i="372" s="1"/>
  <c r="K43" i="372"/>
  <c r="F43" i="372"/>
  <c r="AV42" i="372"/>
  <c r="AN42" i="372"/>
  <c r="AP42" i="372" s="1"/>
  <c r="S42" i="372"/>
  <c r="L42" i="372"/>
  <c r="P42" i="372" s="1"/>
  <c r="K42" i="372"/>
  <c r="D42" i="372"/>
  <c r="AV41" i="372"/>
  <c r="AN41" i="372"/>
  <c r="AP41" i="372" s="1"/>
  <c r="Q41" i="372"/>
  <c r="S41" i="372" s="1"/>
  <c r="N41" i="372"/>
  <c r="L41" i="372"/>
  <c r="P41" i="372" s="1"/>
  <c r="K41" i="372"/>
  <c r="F41" i="372"/>
  <c r="AV40" i="372"/>
  <c r="AP40" i="372"/>
  <c r="AN40" i="372"/>
  <c r="Q40" i="372"/>
  <c r="S40" i="372" s="1"/>
  <c r="N40" i="372"/>
  <c r="K40" i="372"/>
  <c r="L40" i="372" s="1"/>
  <c r="F40" i="372"/>
  <c r="AV39" i="372"/>
  <c r="AP39" i="372"/>
  <c r="AN39" i="372"/>
  <c r="S39" i="372"/>
  <c r="N39" i="372"/>
  <c r="K39" i="372"/>
  <c r="L39" i="372" s="1"/>
  <c r="F39" i="372"/>
  <c r="AV38" i="372"/>
  <c r="AP38" i="372"/>
  <c r="AN38" i="372"/>
  <c r="S38" i="372"/>
  <c r="Q38" i="372"/>
  <c r="N38" i="372"/>
  <c r="L38" i="372"/>
  <c r="K38" i="372"/>
  <c r="F38" i="372"/>
  <c r="AV37" i="372"/>
  <c r="AN37" i="372"/>
  <c r="AP37" i="372" s="1"/>
  <c r="Q37" i="372"/>
  <c r="S37" i="372" s="1"/>
  <c r="N37" i="372"/>
  <c r="K37" i="372"/>
  <c r="L37" i="372" s="1"/>
  <c r="P37" i="372" s="1"/>
  <c r="D37" i="372"/>
  <c r="AV36" i="372"/>
  <c r="AP36" i="372"/>
  <c r="AN36" i="372"/>
  <c r="S36" i="372"/>
  <c r="K36" i="372"/>
  <c r="L36" i="372" s="1"/>
  <c r="F36" i="372"/>
  <c r="AV35" i="372"/>
  <c r="AN35" i="372"/>
  <c r="AP35" i="372" s="1"/>
  <c r="S35" i="372"/>
  <c r="L35" i="372"/>
  <c r="P35" i="372" s="1"/>
  <c r="K35" i="372"/>
  <c r="F35" i="372"/>
  <c r="AV34" i="372"/>
  <c r="AN34" i="372"/>
  <c r="AP34" i="372" s="1"/>
  <c r="S34" i="372"/>
  <c r="N34" i="372"/>
  <c r="L34" i="372"/>
  <c r="P34" i="372" s="1"/>
  <c r="K34" i="372"/>
  <c r="F34" i="372"/>
  <c r="D34" i="372"/>
  <c r="BA33" i="372"/>
  <c r="BA107" i="372" s="1"/>
  <c r="AV33" i="372"/>
  <c r="AU33" i="372"/>
  <c r="AU107" i="372" s="1"/>
  <c r="AP33" i="372"/>
  <c r="AN33" i="372"/>
  <c r="AM33" i="372"/>
  <c r="AM107" i="372" s="1"/>
  <c r="AM124" i="372" s="1"/>
  <c r="AA33" i="372"/>
  <c r="S33" i="372"/>
  <c r="Q33" i="372"/>
  <c r="N33" i="372"/>
  <c r="L33" i="372"/>
  <c r="P33" i="372" s="1"/>
  <c r="K33" i="372"/>
  <c r="F33" i="372"/>
  <c r="AV32" i="372"/>
  <c r="AP32" i="372"/>
  <c r="AN32" i="372"/>
  <c r="S32" i="372"/>
  <c r="N32" i="372"/>
  <c r="L32" i="372"/>
  <c r="K32" i="372"/>
  <c r="G32" i="372"/>
  <c r="G107" i="372" s="1"/>
  <c r="D32" i="372"/>
  <c r="F32" i="372" s="1"/>
  <c r="AV31" i="372"/>
  <c r="AN31" i="372"/>
  <c r="AP31" i="372" s="1"/>
  <c r="S31" i="372"/>
  <c r="N31" i="372"/>
  <c r="L31" i="372"/>
  <c r="P31" i="372" s="1"/>
  <c r="K31" i="372"/>
  <c r="F31" i="372"/>
  <c r="D31" i="372"/>
  <c r="AV30" i="372"/>
  <c r="AN30" i="372"/>
  <c r="AP30" i="372" s="1"/>
  <c r="S30" i="372"/>
  <c r="L30" i="372"/>
  <c r="P30" i="372" s="1"/>
  <c r="K30" i="372"/>
  <c r="F30" i="372"/>
  <c r="AV29" i="372"/>
  <c r="AN29" i="372"/>
  <c r="AP29" i="372" s="1"/>
  <c r="Q29" i="372"/>
  <c r="S29" i="372" s="1"/>
  <c r="N29" i="372"/>
  <c r="K29" i="372"/>
  <c r="L29" i="372" s="1"/>
  <c r="F29" i="372"/>
  <c r="AV28" i="372"/>
  <c r="AN28" i="372"/>
  <c r="AP28" i="372" s="1"/>
  <c r="S28" i="372"/>
  <c r="Q28" i="372"/>
  <c r="N28" i="372"/>
  <c r="L28" i="372"/>
  <c r="P28" i="372" s="1"/>
  <c r="K28" i="372"/>
  <c r="F28" i="372"/>
  <c r="AV27" i="372"/>
  <c r="AP27" i="372"/>
  <c r="AN27" i="372"/>
  <c r="S27" i="372"/>
  <c r="N27" i="372"/>
  <c r="L27" i="372"/>
  <c r="P27" i="372" s="1"/>
  <c r="K27" i="372"/>
  <c r="F27" i="372"/>
  <c r="D27" i="372"/>
  <c r="AV26" i="372"/>
  <c r="AP26" i="372"/>
  <c r="AN26" i="372"/>
  <c r="AA26" i="372"/>
  <c r="AA107" i="372" s="1"/>
  <c r="AA124" i="372" s="1"/>
  <c r="S26" i="372"/>
  <c r="K26" i="372"/>
  <c r="L26" i="372" s="1"/>
  <c r="F26" i="372"/>
  <c r="AV25" i="372"/>
  <c r="AP25" i="372"/>
  <c r="AN25" i="372"/>
  <c r="S25" i="372"/>
  <c r="K25" i="372"/>
  <c r="L25" i="372" s="1"/>
  <c r="F25" i="372"/>
  <c r="AV24" i="372"/>
  <c r="AP24" i="372"/>
  <c r="AN24" i="372"/>
  <c r="S24" i="372"/>
  <c r="K24" i="372"/>
  <c r="L24" i="372" s="1"/>
  <c r="F24" i="372"/>
  <c r="AV23" i="372"/>
  <c r="AN23" i="372"/>
  <c r="AP23" i="372" s="1"/>
  <c r="S23" i="372"/>
  <c r="J23" i="372"/>
  <c r="J107" i="372" s="1"/>
  <c r="D23" i="372"/>
  <c r="AV22" i="372"/>
  <c r="AP22" i="372"/>
  <c r="AN22" i="372"/>
  <c r="S22" i="372"/>
  <c r="K22" i="372"/>
  <c r="L22" i="372" s="1"/>
  <c r="F22" i="372"/>
  <c r="AV21" i="372"/>
  <c r="AN21" i="372"/>
  <c r="AP21" i="372" s="1"/>
  <c r="S21" i="372"/>
  <c r="Q21" i="372"/>
  <c r="N21" i="372"/>
  <c r="K21" i="372"/>
  <c r="L21" i="372" s="1"/>
  <c r="F21" i="372"/>
  <c r="AV20" i="372"/>
  <c r="AP20" i="372"/>
  <c r="AN20" i="372"/>
  <c r="S20" i="372"/>
  <c r="N20" i="372"/>
  <c r="K20" i="372"/>
  <c r="L20" i="372" s="1"/>
  <c r="F20" i="372"/>
  <c r="AV19" i="372"/>
  <c r="AP19" i="372"/>
  <c r="AN19" i="372"/>
  <c r="S19" i="372"/>
  <c r="K19" i="372"/>
  <c r="L19" i="372" s="1"/>
  <c r="F19" i="372"/>
  <c r="AV18" i="372"/>
  <c r="AN18" i="372"/>
  <c r="AP18" i="372" s="1"/>
  <c r="S18" i="372"/>
  <c r="L18" i="372"/>
  <c r="P18" i="372" s="1"/>
  <c r="K18" i="372"/>
  <c r="F18" i="372"/>
  <c r="AV17" i="372"/>
  <c r="AN17" i="372"/>
  <c r="AP17" i="372" s="1"/>
  <c r="S17" i="372"/>
  <c r="N17" i="372"/>
  <c r="L17" i="372"/>
  <c r="P17" i="372" s="1"/>
  <c r="K17" i="372"/>
  <c r="D17" i="372"/>
  <c r="AV16" i="372"/>
  <c r="AN16" i="372"/>
  <c r="AP16" i="372" s="1"/>
  <c r="S16" i="372"/>
  <c r="L16" i="372"/>
  <c r="P16" i="372" s="1"/>
  <c r="K16" i="372"/>
  <c r="D16" i="372"/>
  <c r="AV15" i="372"/>
  <c r="AN15" i="372"/>
  <c r="AP15" i="372" s="1"/>
  <c r="S15" i="372"/>
  <c r="N15" i="372"/>
  <c r="K15" i="372"/>
  <c r="L15" i="372" s="1"/>
  <c r="F15" i="372"/>
  <c r="AV14" i="372"/>
  <c r="AN14" i="372"/>
  <c r="AP14" i="372" s="1"/>
  <c r="S14" i="372"/>
  <c r="L14" i="372"/>
  <c r="P14" i="372" s="1"/>
  <c r="K14" i="372"/>
  <c r="E14" i="372"/>
  <c r="E107" i="372" s="1"/>
  <c r="D14" i="372"/>
  <c r="AV13" i="372"/>
  <c r="AP13" i="372"/>
  <c r="AN13" i="372"/>
  <c r="S13" i="372"/>
  <c r="K13" i="372"/>
  <c r="L13" i="372" s="1"/>
  <c r="F13" i="372"/>
  <c r="D13" i="372"/>
  <c r="AV12" i="372"/>
  <c r="AP12" i="372"/>
  <c r="AN12" i="372"/>
  <c r="S12" i="372"/>
  <c r="K12" i="372"/>
  <c r="L12" i="372" s="1"/>
  <c r="F12" i="372"/>
  <c r="D12" i="372"/>
  <c r="AV11" i="372"/>
  <c r="AP11" i="372"/>
  <c r="AN11" i="372"/>
  <c r="S11" i="372"/>
  <c r="N11" i="372"/>
  <c r="K11" i="372"/>
  <c r="L11" i="372" s="1"/>
  <c r="F11" i="372"/>
  <c r="AV10" i="372"/>
  <c r="AP10" i="372"/>
  <c r="AN10" i="372"/>
  <c r="S10" i="372"/>
  <c r="K10" i="372"/>
  <c r="L10" i="372" s="1"/>
  <c r="F10" i="372"/>
  <c r="D10" i="372"/>
  <c r="AV9" i="372"/>
  <c r="AP9" i="372"/>
  <c r="AN9" i="372"/>
  <c r="S9" i="372"/>
  <c r="K9" i="372"/>
  <c r="L9" i="372" s="1"/>
  <c r="F9" i="372"/>
  <c r="D9" i="372"/>
  <c r="AV8" i="372"/>
  <c r="AP8" i="372"/>
  <c r="AN8" i="372"/>
  <c r="S8" i="372"/>
  <c r="K8" i="372"/>
  <c r="L8" i="372" s="1"/>
  <c r="F8" i="372"/>
  <c r="D8" i="372"/>
  <c r="D107" i="372" s="1"/>
  <c r="AV7" i="372"/>
  <c r="AP7" i="372"/>
  <c r="AN7" i="372"/>
  <c r="S7" i="372"/>
  <c r="K7" i="372"/>
  <c r="L7" i="372" s="1"/>
  <c r="F7" i="372"/>
  <c r="A7" i="372"/>
  <c r="A8" i="372" s="1"/>
  <c r="A9" i="372" s="1"/>
  <c r="A10" i="372" s="1"/>
  <c r="A11" i="372" s="1"/>
  <c r="A12" i="372" s="1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A45" i="372" s="1"/>
  <c r="A46" i="372" s="1"/>
  <c r="A47" i="372" s="1"/>
  <c r="A48" i="372" s="1"/>
  <c r="A49" i="372" s="1"/>
  <c r="A50" i="372" s="1"/>
  <c r="A51" i="372" s="1"/>
  <c r="A52" i="372" s="1"/>
  <c r="A53" i="372" s="1"/>
  <c r="A54" i="372" s="1"/>
  <c r="A55" i="372" s="1"/>
  <c r="A56" i="372" s="1"/>
  <c r="A57" i="372" s="1"/>
  <c r="A58" i="372" s="1"/>
  <c r="A59" i="372" s="1"/>
  <c r="A60" i="372" s="1"/>
  <c r="A61" i="372" s="1"/>
  <c r="A62" i="372" s="1"/>
  <c r="A63" i="372" s="1"/>
  <c r="A64" i="372" s="1"/>
  <c r="A65" i="372" s="1"/>
  <c r="A66" i="372" s="1"/>
  <c r="A67" i="372" s="1"/>
  <c r="A68" i="372" s="1"/>
  <c r="A69" i="372" s="1"/>
  <c r="A70" i="372" s="1"/>
  <c r="A71" i="372" s="1"/>
  <c r="A72" i="372" s="1"/>
  <c r="A73" i="372" s="1"/>
  <c r="A74" i="372" s="1"/>
  <c r="A75" i="372" s="1"/>
  <c r="A76" i="372" s="1"/>
  <c r="A77" i="372" s="1"/>
  <c r="A78" i="372" s="1"/>
  <c r="A79" i="372" s="1"/>
  <c r="A80" i="372" s="1"/>
  <c r="A81" i="372" s="1"/>
  <c r="A82" i="372" s="1"/>
  <c r="A83" i="372" s="1"/>
  <c r="A84" i="372" s="1"/>
  <c r="A85" i="372" s="1"/>
  <c r="A86" i="372" s="1"/>
  <c r="A87" i="372" s="1"/>
  <c r="A88" i="372" s="1"/>
  <c r="A89" i="372" s="1"/>
  <c r="A90" i="372" s="1"/>
  <c r="A91" i="372" s="1"/>
  <c r="A92" i="372" s="1"/>
  <c r="A93" i="372" s="1"/>
  <c r="A94" i="372" s="1"/>
  <c r="A95" i="372" s="1"/>
  <c r="A96" i="372" s="1"/>
  <c r="A97" i="372" s="1"/>
  <c r="A98" i="372" s="1"/>
  <c r="A99" i="372" s="1"/>
  <c r="A100" i="372" s="1"/>
  <c r="A101" i="372" s="1"/>
  <c r="A102" i="372" s="1"/>
  <c r="A103" i="372" s="1"/>
  <c r="A104" i="372" s="1"/>
  <c r="A105" i="372" s="1"/>
  <c r="A106" i="372" s="1"/>
  <c r="A110" i="372" s="1"/>
  <c r="A111" i="372" s="1"/>
  <c r="A112" i="372" s="1"/>
  <c r="A113" i="372" s="1"/>
  <c r="A114" i="372" s="1"/>
  <c r="A115" i="372" s="1"/>
  <c r="A116" i="372" s="1"/>
  <c r="A117" i="372" s="1"/>
  <c r="A118" i="372" s="1"/>
  <c r="A119" i="372" s="1"/>
  <c r="A120" i="372" s="1"/>
  <c r="A121" i="372" s="1"/>
  <c r="A122" i="372" s="1"/>
  <c r="A123" i="372" s="1"/>
  <c r="A124" i="372" s="1"/>
  <c r="Z8" i="370" s="1"/>
  <c r="AV6" i="372"/>
  <c r="AN6" i="372"/>
  <c r="S6" i="372"/>
  <c r="N6" i="372"/>
  <c r="N107" i="372" s="1"/>
  <c r="K6" i="372"/>
  <c r="F6" i="372"/>
  <c r="BA74" i="371"/>
  <c r="AZ74" i="371"/>
  <c r="AY74" i="371"/>
  <c r="AX74" i="371"/>
  <c r="AW74" i="371"/>
  <c r="AU74" i="371"/>
  <c r="AT74" i="371"/>
  <c r="AS74" i="371"/>
  <c r="AR74" i="371"/>
  <c r="AQ74" i="371"/>
  <c r="AM74" i="371"/>
  <c r="AL74" i="371"/>
  <c r="AK74" i="371"/>
  <c r="AJ74" i="371"/>
  <c r="AI74" i="371"/>
  <c r="AH74" i="371"/>
  <c r="AG74" i="371"/>
  <c r="AE74" i="371"/>
  <c r="AD74" i="371"/>
  <c r="AC74" i="371"/>
  <c r="AB74" i="371"/>
  <c r="Z74" i="371"/>
  <c r="Y74" i="371"/>
  <c r="X74" i="371"/>
  <c r="W74" i="371"/>
  <c r="R74" i="371"/>
  <c r="J74" i="371"/>
  <c r="I74" i="371"/>
  <c r="H74" i="371"/>
  <c r="E74" i="371"/>
  <c r="AV73" i="371"/>
  <c r="AN73" i="371"/>
  <c r="AP73" i="371" s="1"/>
  <c r="S73" i="371"/>
  <c r="L73" i="371"/>
  <c r="P73" i="371" s="1"/>
  <c r="K73" i="371"/>
  <c r="F73" i="371"/>
  <c r="AV72" i="371"/>
  <c r="AN72" i="371"/>
  <c r="AP72" i="371" s="1"/>
  <c r="S72" i="371"/>
  <c r="N72" i="371"/>
  <c r="L72" i="371"/>
  <c r="K72" i="371"/>
  <c r="F72" i="371"/>
  <c r="AV71" i="371"/>
  <c r="AN71" i="371"/>
  <c r="AP71" i="371" s="1"/>
  <c r="S71" i="371"/>
  <c r="N71" i="371"/>
  <c r="L71" i="371"/>
  <c r="K71" i="371"/>
  <c r="F71" i="371"/>
  <c r="AV70" i="371"/>
  <c r="AN70" i="371"/>
  <c r="AP70" i="371" s="1"/>
  <c r="S70" i="371"/>
  <c r="L70" i="371"/>
  <c r="K70" i="371"/>
  <c r="F70" i="371"/>
  <c r="AV69" i="371"/>
  <c r="AP69" i="371"/>
  <c r="AN69" i="371"/>
  <c r="V69" i="371"/>
  <c r="U69" i="371"/>
  <c r="AO69" i="371" s="1"/>
  <c r="N69" i="371"/>
  <c r="M69" i="371"/>
  <c r="L69" i="371"/>
  <c r="O69" i="371" s="1"/>
  <c r="K69" i="371"/>
  <c r="F69" i="371"/>
  <c r="AV68" i="371"/>
  <c r="AN68" i="371"/>
  <c r="AP68" i="371" s="1"/>
  <c r="S68" i="371"/>
  <c r="L68" i="371"/>
  <c r="K68" i="371"/>
  <c r="F68" i="371"/>
  <c r="AV67" i="371"/>
  <c r="AP67" i="371"/>
  <c r="AN67" i="371"/>
  <c r="V67" i="371"/>
  <c r="U67" i="371"/>
  <c r="AO67" i="371" s="1"/>
  <c r="S67" i="371"/>
  <c r="M67" i="371"/>
  <c r="L67" i="371"/>
  <c r="K67" i="371"/>
  <c r="D67" i="371"/>
  <c r="O67" i="371" s="1"/>
  <c r="AV66" i="371"/>
  <c r="AO66" i="371"/>
  <c r="AN66" i="371"/>
  <c r="AN77" i="371" s="1"/>
  <c r="U66" i="371"/>
  <c r="V66" i="371" s="1"/>
  <c r="S66" i="371"/>
  <c r="M66" i="371" s="1"/>
  <c r="N66" i="371"/>
  <c r="L66" i="371"/>
  <c r="K66" i="371"/>
  <c r="F66" i="371"/>
  <c r="AV65" i="371"/>
  <c r="AP65" i="371"/>
  <c r="AN65" i="371"/>
  <c r="S65" i="371"/>
  <c r="N65" i="371"/>
  <c r="U65" i="371" s="1"/>
  <c r="M65" i="371"/>
  <c r="K65" i="371"/>
  <c r="L65" i="371" s="1"/>
  <c r="O65" i="371" s="1"/>
  <c r="F65" i="371"/>
  <c r="AV64" i="371"/>
  <c r="AN64" i="371"/>
  <c r="AP64" i="371" s="1"/>
  <c r="S64" i="371"/>
  <c r="N64" i="371"/>
  <c r="K64" i="371"/>
  <c r="L64" i="371" s="1"/>
  <c r="F64" i="371"/>
  <c r="AV63" i="371"/>
  <c r="AO63" i="371"/>
  <c r="AN63" i="371"/>
  <c r="AP63" i="371" s="1"/>
  <c r="U63" i="371"/>
  <c r="V63" i="371" s="1"/>
  <c r="S63" i="371"/>
  <c r="M63" i="371" s="1"/>
  <c r="N63" i="371"/>
  <c r="L63" i="371"/>
  <c r="K63" i="371"/>
  <c r="F63" i="371"/>
  <c r="AV62" i="371"/>
  <c r="AP62" i="371"/>
  <c r="AN62" i="371"/>
  <c r="Q62" i="371"/>
  <c r="S62" i="371" s="1"/>
  <c r="M62" i="371" s="1"/>
  <c r="N62" i="371"/>
  <c r="U62" i="371" s="1"/>
  <c r="K62" i="371"/>
  <c r="L62" i="371" s="1"/>
  <c r="F62" i="371"/>
  <c r="D62" i="371"/>
  <c r="AV61" i="371"/>
  <c r="AP61" i="371"/>
  <c r="AN61" i="371"/>
  <c r="S61" i="371"/>
  <c r="N61" i="371"/>
  <c r="L61" i="371"/>
  <c r="P61" i="371" s="1"/>
  <c r="K61" i="371"/>
  <c r="F61" i="371"/>
  <c r="AV60" i="371"/>
  <c r="AP60" i="371"/>
  <c r="AN60" i="371"/>
  <c r="S60" i="371"/>
  <c r="N60" i="371"/>
  <c r="L60" i="371"/>
  <c r="P60" i="371" s="1"/>
  <c r="K60" i="371"/>
  <c r="D60" i="371"/>
  <c r="F60" i="371" s="1"/>
  <c r="AV59" i="371"/>
  <c r="AN59" i="371"/>
  <c r="AP59" i="371" s="1"/>
  <c r="S59" i="371"/>
  <c r="N59" i="371"/>
  <c r="L59" i="371"/>
  <c r="P59" i="371" s="1"/>
  <c r="K59" i="371"/>
  <c r="D59" i="371"/>
  <c r="AV58" i="371"/>
  <c r="AN58" i="371"/>
  <c r="AP58" i="371" s="1"/>
  <c r="S58" i="371"/>
  <c r="N58" i="371"/>
  <c r="K58" i="371"/>
  <c r="L58" i="371" s="1"/>
  <c r="F58" i="371"/>
  <c r="AV57" i="371"/>
  <c r="AN57" i="371"/>
  <c r="AP57" i="371" s="1"/>
  <c r="S57" i="371"/>
  <c r="L57" i="371"/>
  <c r="P57" i="371" s="1"/>
  <c r="K57" i="371"/>
  <c r="F57" i="371"/>
  <c r="AV56" i="371"/>
  <c r="AN56" i="371"/>
  <c r="AP56" i="371" s="1"/>
  <c r="S56" i="371"/>
  <c r="N56" i="371"/>
  <c r="L56" i="371"/>
  <c r="K56" i="371"/>
  <c r="F56" i="371"/>
  <c r="AV55" i="371"/>
  <c r="AN55" i="371"/>
  <c r="AP55" i="371" s="1"/>
  <c r="S55" i="371"/>
  <c r="N55" i="371"/>
  <c r="L55" i="371"/>
  <c r="K55" i="371"/>
  <c r="F55" i="371"/>
  <c r="AV54" i="371"/>
  <c r="AN54" i="371"/>
  <c r="AP54" i="371" s="1"/>
  <c r="S54" i="371"/>
  <c r="N54" i="371"/>
  <c r="L54" i="371"/>
  <c r="K54" i="371"/>
  <c r="F54" i="371"/>
  <c r="AV53" i="371"/>
  <c r="AN53" i="371"/>
  <c r="AP53" i="371" s="1"/>
  <c r="S53" i="371"/>
  <c r="L53" i="371"/>
  <c r="K53" i="371"/>
  <c r="F53" i="371"/>
  <c r="AV52" i="371"/>
  <c r="AP52" i="371"/>
  <c r="AN52" i="371"/>
  <c r="S52" i="371"/>
  <c r="K52" i="371"/>
  <c r="L52" i="371" s="1"/>
  <c r="F52" i="371"/>
  <c r="D52" i="371"/>
  <c r="AV51" i="371"/>
  <c r="AP51" i="371"/>
  <c r="AN51" i="371"/>
  <c r="S51" i="371"/>
  <c r="N51" i="371"/>
  <c r="K51" i="371"/>
  <c r="L51" i="371" s="1"/>
  <c r="F51" i="371"/>
  <c r="AV50" i="371"/>
  <c r="AP50" i="371"/>
  <c r="AN50" i="371"/>
  <c r="S50" i="371"/>
  <c r="N50" i="371"/>
  <c r="K50" i="371"/>
  <c r="L50" i="371" s="1"/>
  <c r="D50" i="371"/>
  <c r="F50" i="371" s="1"/>
  <c r="AV49" i="371"/>
  <c r="AN49" i="371"/>
  <c r="AP49" i="371" s="1"/>
  <c r="S49" i="371"/>
  <c r="K49" i="371"/>
  <c r="L49" i="371" s="1"/>
  <c r="P49" i="371" s="1"/>
  <c r="G49" i="371"/>
  <c r="D49" i="371"/>
  <c r="AV48" i="371"/>
  <c r="AN48" i="371"/>
  <c r="AP48" i="371" s="1"/>
  <c r="V48" i="371"/>
  <c r="S48" i="371"/>
  <c r="K48" i="371"/>
  <c r="L48" i="371" s="1"/>
  <c r="F48" i="371"/>
  <c r="AV47" i="371"/>
  <c r="AP47" i="371"/>
  <c r="AN47" i="371"/>
  <c r="S47" i="371"/>
  <c r="K47" i="371"/>
  <c r="L47" i="371" s="1"/>
  <c r="F47" i="371"/>
  <c r="AV46" i="371"/>
  <c r="AP46" i="371"/>
  <c r="AN46" i="371"/>
  <c r="AA46" i="371"/>
  <c r="AA74" i="371" s="1"/>
  <c r="S46" i="371"/>
  <c r="N46" i="371"/>
  <c r="K46" i="371"/>
  <c r="L46" i="371" s="1"/>
  <c r="D46" i="371"/>
  <c r="F46" i="371" s="1"/>
  <c r="AV45" i="371"/>
  <c r="AN45" i="371"/>
  <c r="AP45" i="371" s="1"/>
  <c r="S45" i="371"/>
  <c r="K45" i="371"/>
  <c r="L45" i="371" s="1"/>
  <c r="F45" i="371"/>
  <c r="AV44" i="371"/>
  <c r="AP44" i="371"/>
  <c r="AN44" i="371"/>
  <c r="S44" i="371"/>
  <c r="N44" i="371"/>
  <c r="L44" i="371"/>
  <c r="P44" i="371" s="1"/>
  <c r="K44" i="371"/>
  <c r="F44" i="371"/>
  <c r="AV43" i="371"/>
  <c r="AP43" i="371"/>
  <c r="AN43" i="371"/>
  <c r="S43" i="371"/>
  <c r="N43" i="371"/>
  <c r="L43" i="371"/>
  <c r="P43" i="371" s="1"/>
  <c r="K43" i="371"/>
  <c r="F43" i="371"/>
  <c r="AV42" i="371"/>
  <c r="AP42" i="371"/>
  <c r="AN42" i="371"/>
  <c r="S42" i="371"/>
  <c r="N42" i="371"/>
  <c r="K42" i="371"/>
  <c r="L42" i="371" s="1"/>
  <c r="G42" i="371"/>
  <c r="F42" i="371"/>
  <c r="AV41" i="371"/>
  <c r="AN41" i="371"/>
  <c r="AP41" i="371" s="1"/>
  <c r="S41" i="371"/>
  <c r="N41" i="371"/>
  <c r="L41" i="371"/>
  <c r="K41" i="371"/>
  <c r="G41" i="371"/>
  <c r="G74" i="371" s="1"/>
  <c r="F41" i="371"/>
  <c r="AV40" i="371"/>
  <c r="AN40" i="371"/>
  <c r="AP40" i="371" s="1"/>
  <c r="S40" i="371"/>
  <c r="N40" i="371"/>
  <c r="K40" i="371"/>
  <c r="L40" i="371" s="1"/>
  <c r="P40" i="371" s="1"/>
  <c r="D40" i="371"/>
  <c r="AV39" i="371"/>
  <c r="AP39" i="371"/>
  <c r="AN39" i="371"/>
  <c r="S39" i="371"/>
  <c r="N39" i="371"/>
  <c r="K39" i="371"/>
  <c r="L39" i="371" s="1"/>
  <c r="F39" i="371"/>
  <c r="D39" i="371"/>
  <c r="AV38" i="371"/>
  <c r="AP38" i="371"/>
  <c r="AN38" i="371"/>
  <c r="S38" i="371"/>
  <c r="K38" i="371"/>
  <c r="L38" i="371" s="1"/>
  <c r="F38" i="371"/>
  <c r="D38" i="371"/>
  <c r="AV37" i="371"/>
  <c r="AP37" i="371"/>
  <c r="AN37" i="371"/>
  <c r="S37" i="371"/>
  <c r="N37" i="371"/>
  <c r="K37" i="371"/>
  <c r="L37" i="371" s="1"/>
  <c r="F37" i="371"/>
  <c r="AV36" i="371"/>
  <c r="AP36" i="371"/>
  <c r="AN36" i="371"/>
  <c r="S36" i="371"/>
  <c r="N36" i="371"/>
  <c r="K36" i="371"/>
  <c r="L36" i="371" s="1"/>
  <c r="F36" i="371"/>
  <c r="AV35" i="371"/>
  <c r="AP35" i="371"/>
  <c r="AN35" i="371"/>
  <c r="S35" i="371"/>
  <c r="K35" i="371"/>
  <c r="L35" i="371" s="1"/>
  <c r="F35" i="371"/>
  <c r="AV34" i="371"/>
  <c r="AP34" i="371"/>
  <c r="AN34" i="371"/>
  <c r="S34" i="371"/>
  <c r="K34" i="371"/>
  <c r="L34" i="371" s="1"/>
  <c r="F34" i="371"/>
  <c r="AV33" i="371"/>
  <c r="AN33" i="371"/>
  <c r="AP33" i="371" s="1"/>
  <c r="S33" i="371"/>
  <c r="N33" i="371"/>
  <c r="K33" i="371"/>
  <c r="L33" i="371" s="1"/>
  <c r="F33" i="371"/>
  <c r="AV32" i="371"/>
  <c r="AN32" i="371"/>
  <c r="AP32" i="371" s="1"/>
  <c r="S32" i="371"/>
  <c r="L32" i="371"/>
  <c r="P32" i="371" s="1"/>
  <c r="K32" i="371"/>
  <c r="D32" i="371"/>
  <c r="AV31" i="371"/>
  <c r="AN31" i="371"/>
  <c r="AP31" i="371" s="1"/>
  <c r="S31" i="371"/>
  <c r="N31" i="371"/>
  <c r="K31" i="371"/>
  <c r="L31" i="371" s="1"/>
  <c r="F31" i="371"/>
  <c r="AV30" i="371"/>
  <c r="AN30" i="371"/>
  <c r="AP30" i="371" s="1"/>
  <c r="S30" i="371"/>
  <c r="N30" i="371"/>
  <c r="K30" i="371"/>
  <c r="L30" i="371" s="1"/>
  <c r="P30" i="371" s="1"/>
  <c r="D30" i="371"/>
  <c r="AV29" i="371"/>
  <c r="AP29" i="371"/>
  <c r="AN29" i="371"/>
  <c r="S29" i="371"/>
  <c r="K29" i="371"/>
  <c r="L29" i="371" s="1"/>
  <c r="F29" i="371"/>
  <c r="AV28" i="371"/>
  <c r="AN28" i="371"/>
  <c r="AP28" i="371" s="1"/>
  <c r="S28" i="371"/>
  <c r="N28" i="371"/>
  <c r="K28" i="371"/>
  <c r="L28" i="371" s="1"/>
  <c r="F28" i="371"/>
  <c r="AV27" i="371"/>
  <c r="AN27" i="371"/>
  <c r="AP27" i="371" s="1"/>
  <c r="S27" i="371"/>
  <c r="N27" i="371"/>
  <c r="K27" i="371"/>
  <c r="L27" i="371" s="1"/>
  <c r="P27" i="371" s="1"/>
  <c r="D27" i="371"/>
  <c r="AV26" i="371"/>
  <c r="AP26" i="371"/>
  <c r="AN26" i="371"/>
  <c r="S26" i="371"/>
  <c r="K26" i="371"/>
  <c r="L26" i="371" s="1"/>
  <c r="F26" i="371"/>
  <c r="AV25" i="371"/>
  <c r="AN25" i="371"/>
  <c r="AP25" i="371" s="1"/>
  <c r="N25" i="371"/>
  <c r="L25" i="371"/>
  <c r="K25" i="371"/>
  <c r="F25" i="371"/>
  <c r="AV24" i="371"/>
  <c r="AN24" i="371"/>
  <c r="AP24" i="371" s="1"/>
  <c r="N24" i="371"/>
  <c r="L24" i="371"/>
  <c r="P24" i="371" s="1"/>
  <c r="K24" i="371"/>
  <c r="F24" i="371"/>
  <c r="AV23" i="371"/>
  <c r="AP23" i="371"/>
  <c r="AN23" i="371"/>
  <c r="S23" i="371"/>
  <c r="K23" i="371"/>
  <c r="L23" i="371" s="1"/>
  <c r="F23" i="371"/>
  <c r="AV22" i="371"/>
  <c r="AP22" i="371"/>
  <c r="AN22" i="371"/>
  <c r="S22" i="371"/>
  <c r="N22" i="371"/>
  <c r="K22" i="371"/>
  <c r="L22" i="371" s="1"/>
  <c r="F22" i="371"/>
  <c r="AV21" i="371"/>
  <c r="AP21" i="371"/>
  <c r="AN21" i="371"/>
  <c r="S21" i="371"/>
  <c r="K21" i="371"/>
  <c r="L21" i="371" s="1"/>
  <c r="F21" i="371"/>
  <c r="D21" i="371"/>
  <c r="AV20" i="371"/>
  <c r="AP20" i="371"/>
  <c r="AN20" i="371"/>
  <c r="S20" i="371"/>
  <c r="N20" i="371"/>
  <c r="K20" i="371"/>
  <c r="L20" i="371" s="1"/>
  <c r="F20" i="371"/>
  <c r="AV19" i="371"/>
  <c r="AP19" i="371"/>
  <c r="AN19" i="371"/>
  <c r="S19" i="371"/>
  <c r="K19" i="371"/>
  <c r="L19" i="371" s="1"/>
  <c r="F19" i="371"/>
  <c r="AV18" i="371"/>
  <c r="AN18" i="371"/>
  <c r="AP18" i="371" s="1"/>
  <c r="S18" i="371"/>
  <c r="N18" i="371"/>
  <c r="K18" i="371"/>
  <c r="L18" i="371" s="1"/>
  <c r="F18" i="371"/>
  <c r="AV17" i="371"/>
  <c r="AO17" i="371"/>
  <c r="AN17" i="371"/>
  <c r="AP17" i="371" s="1"/>
  <c r="V17" i="371"/>
  <c r="S17" i="371"/>
  <c r="L17" i="371"/>
  <c r="P17" i="371" s="1"/>
  <c r="K17" i="371"/>
  <c r="D17" i="371"/>
  <c r="AV16" i="371"/>
  <c r="AN16" i="371"/>
  <c r="AP16" i="371" s="1"/>
  <c r="S16" i="371"/>
  <c r="N16" i="371"/>
  <c r="L16" i="371"/>
  <c r="K16" i="371"/>
  <c r="F16" i="371"/>
  <c r="AV15" i="371"/>
  <c r="AN15" i="371"/>
  <c r="AP15" i="371" s="1"/>
  <c r="AF15" i="371"/>
  <c r="AF74" i="371" s="1"/>
  <c r="S15" i="371"/>
  <c r="N15" i="371"/>
  <c r="K15" i="371"/>
  <c r="L15" i="371" s="1"/>
  <c r="F15" i="371"/>
  <c r="AV14" i="371"/>
  <c r="AN14" i="371"/>
  <c r="AP14" i="371" s="1"/>
  <c r="S14" i="371"/>
  <c r="N14" i="371"/>
  <c r="K14" i="371"/>
  <c r="L14" i="371" s="1"/>
  <c r="P14" i="371" s="1"/>
  <c r="F14" i="371"/>
  <c r="D14" i="371"/>
  <c r="AV13" i="371"/>
  <c r="AP13" i="371"/>
  <c r="AO13" i="371"/>
  <c r="AN13" i="371"/>
  <c r="V13" i="371"/>
  <c r="S13" i="371"/>
  <c r="L13" i="371"/>
  <c r="P13" i="371" s="1"/>
  <c r="K13" i="371"/>
  <c r="D13" i="371"/>
  <c r="AV12" i="371"/>
  <c r="AN12" i="371"/>
  <c r="AP12" i="371" s="1"/>
  <c r="S12" i="371"/>
  <c r="L12" i="371"/>
  <c r="P12" i="371" s="1"/>
  <c r="K12" i="371"/>
  <c r="F12" i="371"/>
  <c r="AV11" i="371"/>
  <c r="AN11" i="371"/>
  <c r="AP11" i="371" s="1"/>
  <c r="S11" i="371"/>
  <c r="L11" i="371"/>
  <c r="K11" i="371"/>
  <c r="F11" i="371"/>
  <c r="AV10" i="371"/>
  <c r="AP10" i="371"/>
  <c r="AN10" i="371"/>
  <c r="S10" i="371"/>
  <c r="N10" i="371"/>
  <c r="L10" i="371"/>
  <c r="P10" i="371" s="1"/>
  <c r="K10" i="371"/>
  <c r="D10" i="371"/>
  <c r="F10" i="371" s="1"/>
  <c r="AV9" i="371"/>
  <c r="AN9" i="371"/>
  <c r="AP9" i="371" s="1"/>
  <c r="S9" i="371"/>
  <c r="N9" i="371"/>
  <c r="L9" i="371"/>
  <c r="K9" i="371"/>
  <c r="F9" i="371"/>
  <c r="AV8" i="371"/>
  <c r="AN8" i="371"/>
  <c r="AP8" i="371" s="1"/>
  <c r="S8" i="371"/>
  <c r="N8" i="371"/>
  <c r="L8" i="371"/>
  <c r="K8" i="371"/>
  <c r="F8" i="371"/>
  <c r="AV7" i="371"/>
  <c r="AN7" i="371"/>
  <c r="AP7" i="371" s="1"/>
  <c r="S7" i="371"/>
  <c r="N7" i="371"/>
  <c r="L7" i="371"/>
  <c r="P7" i="371" s="1"/>
  <c r="K7" i="371"/>
  <c r="D7" i="371"/>
  <c r="A7" i="371"/>
  <c r="A8" i="371" s="1"/>
  <c r="A9" i="371" s="1"/>
  <c r="A10" i="371" s="1"/>
  <c r="A11" i="371" s="1"/>
  <c r="A12" i="371" s="1"/>
  <c r="A13" i="371" s="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A45" i="371" s="1"/>
  <c r="A46" i="371" s="1"/>
  <c r="A47" i="371" s="1"/>
  <c r="A48" i="371" s="1"/>
  <c r="A49" i="371" s="1"/>
  <c r="A50" i="371" s="1"/>
  <c r="A51" i="371" s="1"/>
  <c r="A52" i="371" s="1"/>
  <c r="A53" i="371" s="1"/>
  <c r="A54" i="371" s="1"/>
  <c r="A55" i="371" s="1"/>
  <c r="A56" i="371" s="1"/>
  <c r="A57" i="371" s="1"/>
  <c r="A58" i="371" s="1"/>
  <c r="A59" i="371" s="1"/>
  <c r="A60" i="371" s="1"/>
  <c r="A61" i="371" s="1"/>
  <c r="A62" i="371" s="1"/>
  <c r="A63" i="371" s="1"/>
  <c r="A64" i="371" s="1"/>
  <c r="A65" i="371" s="1"/>
  <c r="A66" i="371" s="1"/>
  <c r="A67" i="371" s="1"/>
  <c r="A68" i="371" s="1"/>
  <c r="A69" i="371" s="1"/>
  <c r="A70" i="371" s="1"/>
  <c r="A71" i="371" s="1"/>
  <c r="A72" i="371" s="1"/>
  <c r="A73" i="371" s="1"/>
  <c r="A74" i="371" s="1"/>
  <c r="Z7" i="370" s="1"/>
  <c r="AV6" i="371"/>
  <c r="AV74" i="371" s="1"/>
  <c r="AN6" i="371"/>
  <c r="AP6" i="371" s="1"/>
  <c r="S6" i="371"/>
  <c r="N6" i="371"/>
  <c r="N74" i="371" s="1"/>
  <c r="L7" i="370" s="1"/>
  <c r="K6" i="371"/>
  <c r="L6" i="371" s="1"/>
  <c r="F6" i="371"/>
  <c r="D6" i="371"/>
  <c r="AX34" i="370"/>
  <c r="AW34" i="370"/>
  <c r="AV34" i="370"/>
  <c r="AU34" i="370"/>
  <c r="AT34" i="370"/>
  <c r="AS34" i="370"/>
  <c r="AR34" i="370"/>
  <c r="AQ34" i="370"/>
  <c r="AP34" i="370"/>
  <c r="AO34" i="370"/>
  <c r="AN34" i="370"/>
  <c r="AM34" i="370"/>
  <c r="AL34" i="370"/>
  <c r="AJ34" i="370"/>
  <c r="AI34" i="370"/>
  <c r="AH34" i="370"/>
  <c r="AG34" i="370"/>
  <c r="AF34" i="370"/>
  <c r="AE34" i="370"/>
  <c r="AD34" i="370"/>
  <c r="AC34" i="370"/>
  <c r="AB34" i="370"/>
  <c r="AK33" i="370"/>
  <c r="AK31" i="370"/>
  <c r="AK30" i="370"/>
  <c r="AK29" i="370"/>
  <c r="AK28" i="370"/>
  <c r="AA28" i="370"/>
  <c r="AK27" i="370"/>
  <c r="AA27" i="370"/>
  <c r="AA34" i="370" s="1"/>
  <c r="AK26" i="370"/>
  <c r="AK25" i="370"/>
  <c r="AA25" i="370"/>
  <c r="Y21" i="370"/>
  <c r="X21" i="370"/>
  <c r="W21" i="370"/>
  <c r="V21" i="370"/>
  <c r="U21" i="370"/>
  <c r="T21" i="370"/>
  <c r="AX15" i="370"/>
  <c r="AW15" i="370"/>
  <c r="AV15" i="370"/>
  <c r="AU15" i="370"/>
  <c r="AS15" i="370"/>
  <c r="AR15" i="370"/>
  <c r="AQ15" i="370"/>
  <c r="AP15" i="370"/>
  <c r="AO15" i="370"/>
  <c r="AM15" i="370"/>
  <c r="AI15" i="370"/>
  <c r="AH15" i="370"/>
  <c r="AG15" i="370"/>
  <c r="AF15" i="370"/>
  <c r="AE15" i="370"/>
  <c r="AD15" i="370"/>
  <c r="AC15" i="370"/>
  <c r="AB15" i="370"/>
  <c r="AA15" i="370"/>
  <c r="Y15" i="370"/>
  <c r="X15" i="370"/>
  <c r="W15" i="370"/>
  <c r="V15" i="370"/>
  <c r="P15" i="370"/>
  <c r="O15" i="370"/>
  <c r="L15" i="370"/>
  <c r="G15" i="370"/>
  <c r="F15" i="370"/>
  <c r="C15" i="370"/>
  <c r="B15" i="370"/>
  <c r="AX14" i="370"/>
  <c r="AW14" i="370"/>
  <c r="AV14" i="370"/>
  <c r="AU14" i="370"/>
  <c r="AT14" i="370"/>
  <c r="AS14" i="370"/>
  <c r="AR14" i="370"/>
  <c r="AQ14" i="370"/>
  <c r="AP14" i="370"/>
  <c r="AO14" i="370"/>
  <c r="AN14" i="370"/>
  <c r="AK14" i="370"/>
  <c r="AJ14" i="370"/>
  <c r="AI14" i="370"/>
  <c r="AH14" i="370"/>
  <c r="AG14" i="370"/>
  <c r="AF14" i="370"/>
  <c r="AE14" i="370"/>
  <c r="AD14" i="370"/>
  <c r="AC14" i="370"/>
  <c r="AB14" i="370"/>
  <c r="AA14" i="370"/>
  <c r="Z14" i="370"/>
  <c r="Y14" i="370"/>
  <c r="X14" i="370"/>
  <c r="W14" i="370"/>
  <c r="V14" i="370"/>
  <c r="U14" i="370"/>
  <c r="Q14" i="370"/>
  <c r="P14" i="370"/>
  <c r="O14" i="370"/>
  <c r="L14" i="370"/>
  <c r="J14" i="370"/>
  <c r="I14" i="370"/>
  <c r="H14" i="370"/>
  <c r="G14" i="370"/>
  <c r="F14" i="370"/>
  <c r="E14" i="370"/>
  <c r="D14" i="370"/>
  <c r="C14" i="370"/>
  <c r="B14" i="370"/>
  <c r="AX13" i="370"/>
  <c r="AW13" i="370"/>
  <c r="AV13" i="370"/>
  <c r="AU13" i="370"/>
  <c r="AT13" i="370"/>
  <c r="AS13" i="370"/>
  <c r="AR13" i="370"/>
  <c r="AQ13" i="370"/>
  <c r="AP13" i="370"/>
  <c r="AO13" i="370"/>
  <c r="AN13" i="370"/>
  <c r="AM13" i="370"/>
  <c r="AK13" i="370"/>
  <c r="AJ13" i="370"/>
  <c r="AI13" i="370"/>
  <c r="AH13" i="370"/>
  <c r="AG13" i="370"/>
  <c r="AF13" i="370"/>
  <c r="AE13" i="370"/>
  <c r="AD13" i="370"/>
  <c r="AC13" i="370"/>
  <c r="AA13" i="370"/>
  <c r="Z13" i="370"/>
  <c r="Y13" i="370"/>
  <c r="X13" i="370"/>
  <c r="W13" i="370"/>
  <c r="V13" i="370"/>
  <c r="Q13" i="370"/>
  <c r="P13" i="370"/>
  <c r="O13" i="370"/>
  <c r="L13" i="370"/>
  <c r="H13" i="370"/>
  <c r="G13" i="370"/>
  <c r="C13" i="370"/>
  <c r="AX12" i="370"/>
  <c r="AW12" i="370"/>
  <c r="AV12" i="370"/>
  <c r="AU12" i="370"/>
  <c r="AT12" i="370"/>
  <c r="AS12" i="370"/>
  <c r="AR12" i="370"/>
  <c r="AQ12" i="370"/>
  <c r="AP12" i="370"/>
  <c r="AO12" i="370"/>
  <c r="AN12" i="370"/>
  <c r="AM12" i="370"/>
  <c r="AK12" i="370"/>
  <c r="AJ12" i="370"/>
  <c r="AI12" i="370"/>
  <c r="AH12" i="370"/>
  <c r="AG12" i="370"/>
  <c r="AF12" i="370"/>
  <c r="AE12" i="370"/>
  <c r="AD12" i="370"/>
  <c r="AC12" i="370"/>
  <c r="AB12" i="370"/>
  <c r="AA12" i="370"/>
  <c r="Z12" i="370"/>
  <c r="Y12" i="370"/>
  <c r="X12" i="370"/>
  <c r="W12" i="370"/>
  <c r="V12" i="370"/>
  <c r="U12" i="370"/>
  <c r="Q12" i="370"/>
  <c r="P12" i="370"/>
  <c r="O12" i="370"/>
  <c r="L12" i="370"/>
  <c r="I12" i="370"/>
  <c r="H12" i="370"/>
  <c r="G12" i="370"/>
  <c r="F12" i="370"/>
  <c r="E12" i="370"/>
  <c r="D12" i="370"/>
  <c r="C12" i="370"/>
  <c r="B12" i="370"/>
  <c r="AX11" i="370"/>
  <c r="AW11" i="370"/>
  <c r="AV11" i="370"/>
  <c r="AU11" i="370"/>
  <c r="AS11" i="370"/>
  <c r="AR11" i="370"/>
  <c r="AQ11" i="370"/>
  <c r="AP11" i="370"/>
  <c r="AO11" i="370"/>
  <c r="AM11" i="370"/>
  <c r="AJ11" i="370"/>
  <c r="AI11" i="370"/>
  <c r="AH11" i="370"/>
  <c r="AG11" i="370"/>
  <c r="AF11" i="370"/>
  <c r="AE11" i="370"/>
  <c r="AD11" i="370"/>
  <c r="AC11" i="370"/>
  <c r="AB11" i="370"/>
  <c r="AA11" i="370"/>
  <c r="Z11" i="370"/>
  <c r="Y11" i="370"/>
  <c r="X11" i="370"/>
  <c r="W11" i="370"/>
  <c r="V11" i="370"/>
  <c r="T11" i="370"/>
  <c r="P11" i="370"/>
  <c r="O11" i="370"/>
  <c r="I11" i="370"/>
  <c r="H11" i="370"/>
  <c r="G11" i="370"/>
  <c r="F11" i="370"/>
  <c r="E11" i="370"/>
  <c r="C11" i="370"/>
  <c r="B11" i="370"/>
  <c r="AX10" i="370"/>
  <c r="AW10" i="370"/>
  <c r="AV10" i="370"/>
  <c r="AU10" i="370"/>
  <c r="AT10" i="370"/>
  <c r="AS10" i="370"/>
  <c r="AR10" i="370"/>
  <c r="AQ10" i="370"/>
  <c r="AP10" i="370"/>
  <c r="AO10" i="370"/>
  <c r="AN10" i="370"/>
  <c r="AM10" i="370"/>
  <c r="AJ10" i="370"/>
  <c r="AI10" i="370"/>
  <c r="AH10" i="370"/>
  <c r="AG10" i="370"/>
  <c r="AF10" i="370"/>
  <c r="AE10" i="370"/>
  <c r="AD10" i="370"/>
  <c r="AC10" i="370"/>
  <c r="AB10" i="370"/>
  <c r="AA10" i="370"/>
  <c r="Z10" i="370"/>
  <c r="Y10" i="370"/>
  <c r="X10" i="370"/>
  <c r="W10" i="370"/>
  <c r="V10" i="370"/>
  <c r="T10" i="370"/>
  <c r="P10" i="370"/>
  <c r="O10" i="370"/>
  <c r="L10" i="370"/>
  <c r="J10" i="370"/>
  <c r="I10" i="370"/>
  <c r="H10" i="370"/>
  <c r="G10" i="370"/>
  <c r="F10" i="370"/>
  <c r="E10" i="370"/>
  <c r="D10" i="370"/>
  <c r="C10" i="370"/>
  <c r="B10" i="370"/>
  <c r="AX9" i="370"/>
  <c r="AW9" i="370"/>
  <c r="AV9" i="370"/>
  <c r="AU9" i="370"/>
  <c r="AT9" i="370"/>
  <c r="AS9" i="370"/>
  <c r="AR9" i="370"/>
  <c r="AQ9" i="370"/>
  <c r="AP9" i="370"/>
  <c r="AO9" i="370"/>
  <c r="AM9" i="370"/>
  <c r="AJ9" i="370"/>
  <c r="AI9" i="370"/>
  <c r="AH9" i="370"/>
  <c r="AG9" i="370"/>
  <c r="AF9" i="370"/>
  <c r="AE9" i="370"/>
  <c r="AD9" i="370"/>
  <c r="AC9" i="370"/>
  <c r="AB9" i="370"/>
  <c r="AA9" i="370"/>
  <c r="X9" i="370"/>
  <c r="W9" i="370"/>
  <c r="V9" i="370"/>
  <c r="P9" i="370"/>
  <c r="H9" i="370"/>
  <c r="F9" i="370"/>
  <c r="E9" i="370"/>
  <c r="C9" i="370"/>
  <c r="B9" i="370"/>
  <c r="AW8" i="370"/>
  <c r="AV8" i="370"/>
  <c r="AU8" i="370"/>
  <c r="AT8" i="370"/>
  <c r="AQ8" i="370"/>
  <c r="AP8" i="370"/>
  <c r="AO8" i="370"/>
  <c r="AN8" i="370"/>
  <c r="AJ8" i="370"/>
  <c r="AI8" i="370"/>
  <c r="AG8" i="370"/>
  <c r="AF8" i="370"/>
  <c r="AD8" i="370"/>
  <c r="AC8" i="370"/>
  <c r="AB8" i="370"/>
  <c r="AA8" i="370"/>
  <c r="Y8" i="370"/>
  <c r="X8" i="370"/>
  <c r="W8" i="370"/>
  <c r="V8" i="370"/>
  <c r="P8" i="370"/>
  <c r="G8" i="370"/>
  <c r="F8" i="370"/>
  <c r="AX7" i="370"/>
  <c r="AW7" i="370"/>
  <c r="AV7" i="370"/>
  <c r="AU7" i="370"/>
  <c r="AT7" i="370"/>
  <c r="AS7" i="370"/>
  <c r="AR7" i="370"/>
  <c r="AQ7" i="370"/>
  <c r="AP7" i="370"/>
  <c r="AP16" i="370" s="1"/>
  <c r="G23" i="40" s="1"/>
  <c r="AO7" i="370"/>
  <c r="AN7" i="370"/>
  <c r="AJ7" i="370"/>
  <c r="AI7" i="370"/>
  <c r="AH7" i="370"/>
  <c r="AG7" i="370"/>
  <c r="AG16" i="370" s="1"/>
  <c r="AF7" i="370"/>
  <c r="AE7" i="370"/>
  <c r="AD7" i="370"/>
  <c r="AC7" i="370"/>
  <c r="AB7" i="370"/>
  <c r="AA7" i="370"/>
  <c r="Y7" i="370"/>
  <c r="X7" i="370"/>
  <c r="W7" i="370"/>
  <c r="V7" i="370"/>
  <c r="U7" i="370"/>
  <c r="P7" i="370"/>
  <c r="H7" i="370"/>
  <c r="G7" i="370"/>
  <c r="F7" i="370"/>
  <c r="E7" i="370"/>
  <c r="C7" i="370"/>
  <c r="X28" i="349"/>
  <c r="X30" i="349" s="1"/>
  <c r="P28" i="349"/>
  <c r="P30" i="349" s="1"/>
  <c r="H28" i="349"/>
  <c r="H30" i="349" s="1"/>
  <c r="AC27" i="349"/>
  <c r="AB27" i="349"/>
  <c r="AA27" i="349"/>
  <c r="Z27" i="349"/>
  <c r="Y27" i="349"/>
  <c r="X27" i="349"/>
  <c r="W27" i="349"/>
  <c r="V27" i="349"/>
  <c r="U27" i="349"/>
  <c r="T27" i="349"/>
  <c r="S27" i="349"/>
  <c r="R27" i="349"/>
  <c r="Q27" i="349"/>
  <c r="P27" i="349"/>
  <c r="O27" i="349"/>
  <c r="N27" i="349"/>
  <c r="M27" i="349"/>
  <c r="L27" i="349"/>
  <c r="K27" i="349"/>
  <c r="J27" i="349"/>
  <c r="I27" i="349"/>
  <c r="H27" i="349"/>
  <c r="G27" i="349"/>
  <c r="F27" i="349"/>
  <c r="E27" i="349"/>
  <c r="D27" i="349"/>
  <c r="C27" i="349"/>
  <c r="B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P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C26" i="349"/>
  <c r="B26" i="349"/>
  <c r="AC25" i="349"/>
  <c r="AB25" i="349"/>
  <c r="AA25" i="349"/>
  <c r="Z25" i="349"/>
  <c r="Y25" i="349"/>
  <c r="X25" i="349"/>
  <c r="W25" i="349"/>
  <c r="V25" i="349"/>
  <c r="U25" i="349"/>
  <c r="T25" i="349"/>
  <c r="S25" i="349"/>
  <c r="R25" i="349"/>
  <c r="Q25" i="349"/>
  <c r="P25" i="349"/>
  <c r="O25" i="349"/>
  <c r="N25" i="349"/>
  <c r="M25" i="349"/>
  <c r="L25" i="349"/>
  <c r="K25" i="349"/>
  <c r="J25" i="349"/>
  <c r="I25" i="349"/>
  <c r="H25" i="349"/>
  <c r="G25" i="349"/>
  <c r="F25" i="349"/>
  <c r="E25" i="349"/>
  <c r="D25" i="349"/>
  <c r="C25" i="349"/>
  <c r="B25" i="349"/>
  <c r="AC24" i="349"/>
  <c r="AB24" i="349"/>
  <c r="AA24" i="349"/>
  <c r="Z24" i="349"/>
  <c r="Y24" i="349"/>
  <c r="X24" i="349"/>
  <c r="W24" i="349"/>
  <c r="V24" i="349"/>
  <c r="U24" i="349"/>
  <c r="T24" i="349"/>
  <c r="S24" i="349"/>
  <c r="R24" i="349"/>
  <c r="Q24" i="349"/>
  <c r="P24" i="349"/>
  <c r="O24" i="349"/>
  <c r="N24" i="349"/>
  <c r="M24" i="349"/>
  <c r="L24" i="349"/>
  <c r="K24" i="349"/>
  <c r="J24" i="349"/>
  <c r="I24" i="349"/>
  <c r="H24" i="349"/>
  <c r="G24" i="349"/>
  <c r="F24" i="349"/>
  <c r="E24" i="349"/>
  <c r="D24" i="349"/>
  <c r="C24" i="349"/>
  <c r="B24" i="349"/>
  <c r="AC23" i="349"/>
  <c r="AB23" i="349"/>
  <c r="AA23" i="349"/>
  <c r="Z23" i="349"/>
  <c r="Y23" i="349"/>
  <c r="X23" i="349"/>
  <c r="W23" i="349"/>
  <c r="V23" i="349"/>
  <c r="U23" i="349"/>
  <c r="T23" i="349"/>
  <c r="S23" i="349"/>
  <c r="R23" i="349"/>
  <c r="Q23" i="349"/>
  <c r="P23" i="349"/>
  <c r="O23" i="349"/>
  <c r="N23" i="349"/>
  <c r="M23" i="349"/>
  <c r="L23" i="349"/>
  <c r="K23" i="349"/>
  <c r="J23" i="349"/>
  <c r="I23" i="349"/>
  <c r="H23" i="349"/>
  <c r="G23" i="349"/>
  <c r="F23" i="349"/>
  <c r="E23" i="349"/>
  <c r="D23" i="349"/>
  <c r="C23" i="349"/>
  <c r="B23" i="349"/>
  <c r="AC22" i="349"/>
  <c r="AB22" i="349"/>
  <c r="AA22" i="349"/>
  <c r="Z22" i="349"/>
  <c r="Y22" i="349"/>
  <c r="X22" i="349"/>
  <c r="W22" i="349"/>
  <c r="V22" i="349"/>
  <c r="U22" i="349"/>
  <c r="T22" i="349"/>
  <c r="S22" i="349"/>
  <c r="R22" i="349"/>
  <c r="Q22" i="349"/>
  <c r="P22" i="349"/>
  <c r="O22" i="349"/>
  <c r="N22" i="349"/>
  <c r="M22" i="349"/>
  <c r="L22" i="349"/>
  <c r="K22" i="349"/>
  <c r="J22" i="349"/>
  <c r="I22" i="349"/>
  <c r="H22" i="349"/>
  <c r="G22" i="349"/>
  <c r="F22" i="349"/>
  <c r="E22" i="349"/>
  <c r="D22" i="349"/>
  <c r="C22" i="349"/>
  <c r="B22" i="349"/>
  <c r="AC21" i="349"/>
  <c r="AB21" i="349"/>
  <c r="AA21" i="349"/>
  <c r="Z21" i="349"/>
  <c r="Y21" i="349"/>
  <c r="X21" i="349"/>
  <c r="W21" i="349"/>
  <c r="V21" i="349"/>
  <c r="U21" i="349"/>
  <c r="T21" i="349"/>
  <c r="S21" i="349"/>
  <c r="R21" i="349"/>
  <c r="Q21" i="349"/>
  <c r="P21" i="349"/>
  <c r="O21" i="349"/>
  <c r="N21" i="349"/>
  <c r="M21" i="349"/>
  <c r="L21" i="349"/>
  <c r="K21" i="349"/>
  <c r="J21" i="349"/>
  <c r="I21" i="349"/>
  <c r="H21" i="349"/>
  <c r="G21" i="349"/>
  <c r="F21" i="349"/>
  <c r="E21" i="349"/>
  <c r="D21" i="349"/>
  <c r="C21" i="349"/>
  <c r="B21" i="349"/>
  <c r="A21" i="349"/>
  <c r="A22" i="349" s="1"/>
  <c r="A23" i="349" s="1"/>
  <c r="A24" i="349" s="1"/>
  <c r="A25" i="349" s="1"/>
  <c r="A26" i="349" s="1"/>
  <c r="A27" i="349" s="1"/>
  <c r="A28" i="349" s="1"/>
  <c r="AC20" i="349"/>
  <c r="AB20" i="349"/>
  <c r="AA20" i="349"/>
  <c r="Z20" i="349"/>
  <c r="Y20" i="349"/>
  <c r="X20" i="349"/>
  <c r="W20" i="349"/>
  <c r="V20" i="349"/>
  <c r="U20" i="349"/>
  <c r="T20" i="349"/>
  <c r="S20" i="349"/>
  <c r="R20" i="349"/>
  <c r="Q20" i="349"/>
  <c r="P20" i="349"/>
  <c r="O20" i="349"/>
  <c r="N20" i="349"/>
  <c r="M20" i="349"/>
  <c r="L20" i="349"/>
  <c r="K20" i="349"/>
  <c r="J20" i="349"/>
  <c r="I20" i="349"/>
  <c r="H20" i="349"/>
  <c r="G20" i="349"/>
  <c r="F20" i="349"/>
  <c r="E20" i="349"/>
  <c r="D20" i="349"/>
  <c r="C20" i="349"/>
  <c r="B20" i="349"/>
  <c r="A20" i="349"/>
  <c r="AC19" i="349"/>
  <c r="AB19" i="349"/>
  <c r="AA19" i="349"/>
  <c r="AA28" i="349" s="1"/>
  <c r="Z19" i="349"/>
  <c r="Z28" i="349" s="1"/>
  <c r="Y19" i="349"/>
  <c r="Y28" i="349" s="1"/>
  <c r="X19" i="349"/>
  <c r="W19" i="349"/>
  <c r="W28" i="349" s="1"/>
  <c r="V19" i="349"/>
  <c r="V28" i="349" s="1"/>
  <c r="U19" i="349"/>
  <c r="U28" i="349" s="1"/>
  <c r="T19" i="349"/>
  <c r="T28" i="349" s="1"/>
  <c r="T30" i="349" s="1"/>
  <c r="S19" i="349"/>
  <c r="S28" i="349" s="1"/>
  <c r="R19" i="349"/>
  <c r="R28" i="349" s="1"/>
  <c r="Q19" i="349"/>
  <c r="Q28" i="349" s="1"/>
  <c r="P19" i="349"/>
  <c r="O19" i="349"/>
  <c r="O28" i="349" s="1"/>
  <c r="N19" i="349"/>
  <c r="N28" i="349" s="1"/>
  <c r="M19" i="349"/>
  <c r="M28" i="349" s="1"/>
  <c r="L19" i="349"/>
  <c r="L28" i="349" s="1"/>
  <c r="L30" i="349" s="1"/>
  <c r="K19" i="349"/>
  <c r="K28" i="349" s="1"/>
  <c r="J19" i="349"/>
  <c r="J28" i="349" s="1"/>
  <c r="I19" i="349"/>
  <c r="I28" i="349" s="1"/>
  <c r="H19" i="349"/>
  <c r="G19" i="349"/>
  <c r="G28" i="349" s="1"/>
  <c r="F19" i="349"/>
  <c r="F28" i="349" s="1"/>
  <c r="E19" i="349"/>
  <c r="E28" i="349" s="1"/>
  <c r="D19" i="349"/>
  <c r="D28" i="349" s="1"/>
  <c r="D30" i="349" s="1"/>
  <c r="C19" i="349"/>
  <c r="B19" i="349"/>
  <c r="X15" i="349"/>
  <c r="T15" i="349"/>
  <c r="P15" i="349"/>
  <c r="L15" i="349"/>
  <c r="H15" i="349"/>
  <c r="D15" i="349"/>
  <c r="AC14" i="349"/>
  <c r="AB14" i="349"/>
  <c r="AA14" i="349"/>
  <c r="Z14" i="349"/>
  <c r="Y14" i="349"/>
  <c r="X14" i="349"/>
  <c r="W14" i="349"/>
  <c r="V14" i="349"/>
  <c r="U14" i="349"/>
  <c r="T14" i="349"/>
  <c r="S14" i="349"/>
  <c r="R14" i="349"/>
  <c r="Q14" i="349"/>
  <c r="P14" i="349"/>
  <c r="O14" i="349"/>
  <c r="N14" i="349"/>
  <c r="M14" i="349"/>
  <c r="L14" i="349"/>
  <c r="K14" i="349"/>
  <c r="J14" i="349"/>
  <c r="I14" i="349"/>
  <c r="H14" i="349"/>
  <c r="G14" i="349"/>
  <c r="F14" i="349"/>
  <c r="E14" i="349"/>
  <c r="D14" i="349"/>
  <c r="C14" i="349"/>
  <c r="B14" i="349"/>
  <c r="AC13" i="349"/>
  <c r="AB13" i="349"/>
  <c r="AA13" i="349"/>
  <c r="Z13" i="349"/>
  <c r="Y13" i="349"/>
  <c r="X13" i="349"/>
  <c r="W13" i="349"/>
  <c r="V13" i="349"/>
  <c r="U13" i="349"/>
  <c r="T13" i="349"/>
  <c r="S13" i="349"/>
  <c r="R13" i="349"/>
  <c r="Q13" i="349"/>
  <c r="P13" i="349"/>
  <c r="O13" i="349"/>
  <c r="N13" i="349"/>
  <c r="M13" i="349"/>
  <c r="L13" i="349"/>
  <c r="K13" i="349"/>
  <c r="J13" i="349"/>
  <c r="I13" i="349"/>
  <c r="H13" i="349"/>
  <c r="G13" i="349"/>
  <c r="F13" i="349"/>
  <c r="E13" i="349"/>
  <c r="D13" i="349"/>
  <c r="C13" i="349"/>
  <c r="B13" i="349"/>
  <c r="AC12" i="349"/>
  <c r="AB12" i="349"/>
  <c r="AA12" i="349"/>
  <c r="Z12" i="349"/>
  <c r="Y12" i="349"/>
  <c r="X12" i="349"/>
  <c r="W12" i="349"/>
  <c r="V12" i="349"/>
  <c r="U12" i="349"/>
  <c r="T12" i="349"/>
  <c r="S12" i="349"/>
  <c r="R12" i="349"/>
  <c r="Q12" i="349"/>
  <c r="P12" i="349"/>
  <c r="O12" i="349"/>
  <c r="N12" i="349"/>
  <c r="M12" i="349"/>
  <c r="L12" i="349"/>
  <c r="K12" i="349"/>
  <c r="J12" i="349"/>
  <c r="I12" i="349"/>
  <c r="H12" i="349"/>
  <c r="G12" i="349"/>
  <c r="F12" i="349"/>
  <c r="E12" i="349"/>
  <c r="D12" i="349"/>
  <c r="C12" i="349"/>
  <c r="B12" i="349"/>
  <c r="AC11" i="349"/>
  <c r="AB11" i="349"/>
  <c r="AA11" i="349"/>
  <c r="Z11" i="349"/>
  <c r="Y11" i="349"/>
  <c r="X11" i="349"/>
  <c r="W11" i="349"/>
  <c r="V11" i="349"/>
  <c r="U11" i="349"/>
  <c r="T11" i="349"/>
  <c r="S11" i="349"/>
  <c r="R11" i="349"/>
  <c r="Q11" i="349"/>
  <c r="P11" i="349"/>
  <c r="O11" i="349"/>
  <c r="N11" i="349"/>
  <c r="M11" i="349"/>
  <c r="L11" i="349"/>
  <c r="K11" i="349"/>
  <c r="J11" i="349"/>
  <c r="I11" i="349"/>
  <c r="H11" i="349"/>
  <c r="G11" i="349"/>
  <c r="F11" i="349"/>
  <c r="E11" i="349"/>
  <c r="D11" i="349"/>
  <c r="C11" i="349"/>
  <c r="B11" i="349"/>
  <c r="AC10" i="349"/>
  <c r="AB10" i="349"/>
  <c r="AA10" i="349"/>
  <c r="Z10" i="349"/>
  <c r="Y10" i="349"/>
  <c r="X10" i="349"/>
  <c r="W10" i="349"/>
  <c r="V10" i="349"/>
  <c r="U10" i="349"/>
  <c r="T10" i="349"/>
  <c r="S10" i="349"/>
  <c r="R10" i="349"/>
  <c r="Q10" i="349"/>
  <c r="P10" i="349"/>
  <c r="O10" i="349"/>
  <c r="N10" i="349"/>
  <c r="M10" i="349"/>
  <c r="L10" i="349"/>
  <c r="K10" i="349"/>
  <c r="J10" i="349"/>
  <c r="I10" i="349"/>
  <c r="H10" i="349"/>
  <c r="G10" i="349"/>
  <c r="F10" i="349"/>
  <c r="E10" i="349"/>
  <c r="D10" i="349"/>
  <c r="C10" i="349"/>
  <c r="B10" i="349"/>
  <c r="AC9" i="349"/>
  <c r="AB9" i="349"/>
  <c r="AA9" i="349"/>
  <c r="Z9" i="349"/>
  <c r="Y9" i="349"/>
  <c r="X9" i="349"/>
  <c r="W9" i="349"/>
  <c r="V9" i="349"/>
  <c r="U9" i="349"/>
  <c r="T9" i="349"/>
  <c r="S9" i="349"/>
  <c r="R9" i="349"/>
  <c r="Q9" i="349"/>
  <c r="P9" i="349"/>
  <c r="O9" i="349"/>
  <c r="N9" i="349"/>
  <c r="M9" i="349"/>
  <c r="L9" i="349"/>
  <c r="K9" i="349"/>
  <c r="J9" i="349"/>
  <c r="I9" i="349"/>
  <c r="H9" i="349"/>
  <c r="G9" i="349"/>
  <c r="F9" i="349"/>
  <c r="E9" i="349"/>
  <c r="D9" i="349"/>
  <c r="C9" i="349"/>
  <c r="B9" i="349"/>
  <c r="AC8" i="349"/>
  <c r="AB8" i="349"/>
  <c r="AA8" i="349"/>
  <c r="Z8" i="349"/>
  <c r="Y8" i="349"/>
  <c r="X8" i="349"/>
  <c r="W8" i="349"/>
  <c r="V8" i="349"/>
  <c r="U8" i="349"/>
  <c r="T8" i="349"/>
  <c r="S8" i="349"/>
  <c r="R8" i="349"/>
  <c r="Q8" i="349"/>
  <c r="P8" i="349"/>
  <c r="O8" i="349"/>
  <c r="N8" i="349"/>
  <c r="M8" i="349"/>
  <c r="L8" i="349"/>
  <c r="K8" i="349"/>
  <c r="J8" i="349"/>
  <c r="I8" i="349"/>
  <c r="H8" i="349"/>
  <c r="G8" i="349"/>
  <c r="F8" i="349"/>
  <c r="E8" i="349"/>
  <c r="D8" i="349"/>
  <c r="C8" i="349"/>
  <c r="B8" i="349"/>
  <c r="A8" i="349"/>
  <c r="A9" i="349" s="1"/>
  <c r="A10" i="349" s="1"/>
  <c r="A11" i="349" s="1"/>
  <c r="A12" i="349" s="1"/>
  <c r="A13" i="349" s="1"/>
  <c r="A14" i="349" s="1"/>
  <c r="A15" i="349" s="1"/>
  <c r="AC7" i="349"/>
  <c r="AB7" i="349"/>
  <c r="AA7" i="349"/>
  <c r="Z7" i="349"/>
  <c r="Y7" i="349"/>
  <c r="X7" i="349"/>
  <c r="W7" i="349"/>
  <c r="V7" i="349"/>
  <c r="U7" i="349"/>
  <c r="T7" i="349"/>
  <c r="S7" i="349"/>
  <c r="R7" i="349"/>
  <c r="Q7" i="349"/>
  <c r="P7" i="349"/>
  <c r="O7" i="349"/>
  <c r="N7" i="349"/>
  <c r="M7" i="349"/>
  <c r="L7" i="349"/>
  <c r="K7" i="349"/>
  <c r="J7" i="349"/>
  <c r="I7" i="349"/>
  <c r="H7" i="349"/>
  <c r="G7" i="349"/>
  <c r="F7" i="349"/>
  <c r="E7" i="349"/>
  <c r="D7" i="349"/>
  <c r="C7" i="349"/>
  <c r="B7" i="349"/>
  <c r="A7" i="349"/>
  <c r="AC6" i="349"/>
  <c r="AB6" i="349"/>
  <c r="AA6" i="349"/>
  <c r="Z6" i="349"/>
  <c r="Y6" i="349"/>
  <c r="X6" i="349"/>
  <c r="W6" i="349"/>
  <c r="V6" i="349"/>
  <c r="U6" i="349"/>
  <c r="T6" i="349"/>
  <c r="S6" i="349"/>
  <c r="R6" i="349"/>
  <c r="Q6" i="349"/>
  <c r="P6" i="349"/>
  <c r="O6" i="349"/>
  <c r="N6" i="349"/>
  <c r="M6" i="349"/>
  <c r="L6" i="349"/>
  <c r="K6" i="349"/>
  <c r="J6" i="349"/>
  <c r="I6" i="349"/>
  <c r="H6" i="349"/>
  <c r="G6" i="349"/>
  <c r="F6" i="349"/>
  <c r="E6" i="349"/>
  <c r="D6" i="349"/>
  <c r="C6" i="349"/>
  <c r="B6" i="349"/>
  <c r="A6" i="349"/>
  <c r="AD5" i="349"/>
  <c r="AC5" i="349"/>
  <c r="AB5" i="349"/>
  <c r="AA5" i="349"/>
  <c r="AA15" i="349" s="1"/>
  <c r="Z5" i="349"/>
  <c r="Z15" i="349" s="1"/>
  <c r="Y5" i="349"/>
  <c r="Y15" i="349" s="1"/>
  <c r="X5" i="349"/>
  <c r="W5" i="349"/>
  <c r="W15" i="349" s="1"/>
  <c r="V5" i="349"/>
  <c r="V15" i="349" s="1"/>
  <c r="U5" i="349"/>
  <c r="U15" i="349" s="1"/>
  <c r="T5" i="349"/>
  <c r="S5" i="349"/>
  <c r="S15" i="349" s="1"/>
  <c r="R5" i="349"/>
  <c r="R15" i="349" s="1"/>
  <c r="Q5" i="349"/>
  <c r="Q15" i="349" s="1"/>
  <c r="P5" i="349"/>
  <c r="O5" i="349"/>
  <c r="O15" i="349" s="1"/>
  <c r="N5" i="349"/>
  <c r="N15" i="349" s="1"/>
  <c r="M5" i="349"/>
  <c r="M15" i="349" s="1"/>
  <c r="L5" i="349"/>
  <c r="K5" i="349"/>
  <c r="K15" i="349" s="1"/>
  <c r="L17" i="349" s="1"/>
  <c r="J5" i="349"/>
  <c r="J15" i="349" s="1"/>
  <c r="I5" i="349"/>
  <c r="I15" i="349" s="1"/>
  <c r="H5" i="349"/>
  <c r="G5" i="349"/>
  <c r="G15" i="349" s="1"/>
  <c r="P17" i="349" s="1"/>
  <c r="M17" i="349" s="1"/>
  <c r="F5" i="349"/>
  <c r="F15" i="349" s="1"/>
  <c r="E5" i="349"/>
  <c r="E15" i="349" s="1"/>
  <c r="D5" i="349"/>
  <c r="C5" i="349"/>
  <c r="B5" i="349"/>
  <c r="X35" i="346"/>
  <c r="T35" i="346"/>
  <c r="P35" i="346"/>
  <c r="L35" i="346"/>
  <c r="H35" i="346"/>
  <c r="D35" i="346"/>
  <c r="AC34" i="346"/>
  <c r="AB34" i="346"/>
  <c r="AA34" i="346"/>
  <c r="Z34" i="346"/>
  <c r="Y34" i="346"/>
  <c r="X34" i="346"/>
  <c r="W34" i="346"/>
  <c r="V34" i="346"/>
  <c r="U34" i="346"/>
  <c r="T34" i="346"/>
  <c r="S34" i="346"/>
  <c r="R34" i="346"/>
  <c r="Q34" i="346"/>
  <c r="P34" i="346"/>
  <c r="O34" i="346"/>
  <c r="N34" i="346"/>
  <c r="M34" i="346"/>
  <c r="L34" i="346"/>
  <c r="K34" i="346"/>
  <c r="J34" i="346"/>
  <c r="I34" i="346"/>
  <c r="H34" i="346"/>
  <c r="G34" i="346"/>
  <c r="F34" i="346"/>
  <c r="E34" i="346"/>
  <c r="D34" i="346"/>
  <c r="C34" i="346"/>
  <c r="B34" i="346"/>
  <c r="AC33" i="346"/>
  <c r="AB33" i="346"/>
  <c r="AA33" i="346"/>
  <c r="Z33" i="346"/>
  <c r="Y33" i="346"/>
  <c r="X33" i="346"/>
  <c r="W33" i="346"/>
  <c r="V33" i="346"/>
  <c r="U33" i="346"/>
  <c r="T33" i="346"/>
  <c r="S33" i="346"/>
  <c r="R33" i="346"/>
  <c r="Q33" i="346"/>
  <c r="P33" i="346"/>
  <c r="O33" i="346"/>
  <c r="N33" i="346"/>
  <c r="M33" i="346"/>
  <c r="L33" i="346"/>
  <c r="K33" i="346"/>
  <c r="J33" i="346"/>
  <c r="I33" i="346"/>
  <c r="H33" i="346"/>
  <c r="G33" i="346"/>
  <c r="F33" i="346"/>
  <c r="E33" i="346"/>
  <c r="D33" i="346"/>
  <c r="C33" i="346"/>
  <c r="B33" i="346"/>
  <c r="AC32" i="346"/>
  <c r="AB32" i="346"/>
  <c r="AA32" i="346"/>
  <c r="Z32" i="346"/>
  <c r="Y32" i="346"/>
  <c r="X32" i="346"/>
  <c r="W32" i="346"/>
  <c r="V32" i="346"/>
  <c r="U32" i="346"/>
  <c r="T32" i="346"/>
  <c r="S32" i="346"/>
  <c r="R32" i="346"/>
  <c r="Q32" i="346"/>
  <c r="P32" i="346"/>
  <c r="O32" i="346"/>
  <c r="N32" i="346"/>
  <c r="M32" i="346"/>
  <c r="L32" i="346"/>
  <c r="K32" i="346"/>
  <c r="J32" i="346"/>
  <c r="I32" i="346"/>
  <c r="H32" i="346"/>
  <c r="G32" i="346"/>
  <c r="F32" i="346"/>
  <c r="E32" i="346"/>
  <c r="D32" i="346"/>
  <c r="C32" i="346"/>
  <c r="B32" i="346"/>
  <c r="AC31" i="346"/>
  <c r="AB31" i="346"/>
  <c r="AA31" i="346"/>
  <c r="Z31" i="346"/>
  <c r="Y31" i="346"/>
  <c r="X31" i="346"/>
  <c r="W31" i="346"/>
  <c r="V31" i="346"/>
  <c r="U31" i="346"/>
  <c r="T31" i="346"/>
  <c r="S31" i="346"/>
  <c r="R31" i="346"/>
  <c r="Q31" i="346"/>
  <c r="P31" i="346"/>
  <c r="O31" i="346"/>
  <c r="N31" i="346"/>
  <c r="M31" i="346"/>
  <c r="L31" i="346"/>
  <c r="K31" i="346"/>
  <c r="J31" i="346"/>
  <c r="I31" i="346"/>
  <c r="H31" i="346"/>
  <c r="G31" i="346"/>
  <c r="F31" i="346"/>
  <c r="E31" i="346"/>
  <c r="D31" i="346"/>
  <c r="C31" i="346"/>
  <c r="B31" i="346"/>
  <c r="AC30" i="346"/>
  <c r="AB30" i="346"/>
  <c r="AA30" i="346"/>
  <c r="AA35" i="346" s="1"/>
  <c r="Z30" i="346"/>
  <c r="Z35" i="346" s="1"/>
  <c r="Y30" i="346"/>
  <c r="Y35" i="346" s="1"/>
  <c r="X30" i="346"/>
  <c r="W30" i="346"/>
  <c r="W35" i="346" s="1"/>
  <c r="V30" i="346"/>
  <c r="V35" i="346" s="1"/>
  <c r="U30" i="346"/>
  <c r="U35" i="346" s="1"/>
  <c r="T30" i="346"/>
  <c r="S30" i="346"/>
  <c r="S35" i="346" s="1"/>
  <c r="R30" i="346"/>
  <c r="R35" i="346" s="1"/>
  <c r="Q30" i="346"/>
  <c r="Q35" i="346" s="1"/>
  <c r="P30" i="346"/>
  <c r="O30" i="346"/>
  <c r="O35" i="346" s="1"/>
  <c r="N30" i="346"/>
  <c r="N35" i="346" s="1"/>
  <c r="M30" i="346"/>
  <c r="M35" i="346" s="1"/>
  <c r="L30" i="346"/>
  <c r="K30" i="346"/>
  <c r="K35" i="346" s="1"/>
  <c r="J30" i="346"/>
  <c r="J35" i="346" s="1"/>
  <c r="I30" i="346"/>
  <c r="I35" i="346" s="1"/>
  <c r="H30" i="346"/>
  <c r="G30" i="346"/>
  <c r="G35" i="346" s="1"/>
  <c r="F30" i="346"/>
  <c r="F35" i="346" s="1"/>
  <c r="E30" i="346"/>
  <c r="E35" i="346" s="1"/>
  <c r="D30" i="346"/>
  <c r="C30" i="346"/>
  <c r="B30" i="346"/>
  <c r="Y29" i="346"/>
  <c r="U29" i="346"/>
  <c r="Q29" i="346"/>
  <c r="M29" i="346"/>
  <c r="I29" i="346"/>
  <c r="E29" i="346"/>
  <c r="AC28" i="346"/>
  <c r="AB28" i="346"/>
  <c r="AA28" i="346"/>
  <c r="AA29" i="346" s="1"/>
  <c r="Z28" i="346"/>
  <c r="Z29" i="346" s="1"/>
  <c r="Y28" i="346"/>
  <c r="X28" i="346"/>
  <c r="X29" i="346" s="1"/>
  <c r="W28" i="346"/>
  <c r="W29" i="346" s="1"/>
  <c r="V28" i="346"/>
  <c r="V29" i="346" s="1"/>
  <c r="U28" i="346"/>
  <c r="T28" i="346"/>
  <c r="T29" i="346" s="1"/>
  <c r="S28" i="346"/>
  <c r="S29" i="346" s="1"/>
  <c r="R28" i="346"/>
  <c r="R29" i="346" s="1"/>
  <c r="Q28" i="346"/>
  <c r="P28" i="346"/>
  <c r="P29" i="346" s="1"/>
  <c r="O28" i="346"/>
  <c r="O29" i="346" s="1"/>
  <c r="N28" i="346"/>
  <c r="N29" i="346" s="1"/>
  <c r="M28" i="346"/>
  <c r="L28" i="346"/>
  <c r="L29" i="346" s="1"/>
  <c r="K28" i="346"/>
  <c r="K29" i="346" s="1"/>
  <c r="J28" i="346"/>
  <c r="J29" i="346" s="1"/>
  <c r="I28" i="346"/>
  <c r="H28" i="346"/>
  <c r="H29" i="346" s="1"/>
  <c r="G28" i="346"/>
  <c r="G29" i="346" s="1"/>
  <c r="F28" i="346"/>
  <c r="F29" i="346" s="1"/>
  <c r="E28" i="346"/>
  <c r="D28" i="346"/>
  <c r="D29" i="346" s="1"/>
  <c r="C28" i="346"/>
  <c r="B28" i="346"/>
  <c r="Z27" i="346"/>
  <c r="V27" i="346"/>
  <c r="R27" i="346"/>
  <c r="N27" i="346"/>
  <c r="J27" i="346"/>
  <c r="F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P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C26" i="346"/>
  <c r="B26" i="346"/>
  <c r="AC25" i="346"/>
  <c r="AB25" i="346"/>
  <c r="AA25" i="346"/>
  <c r="AA27" i="346" s="1"/>
  <c r="Z25" i="346"/>
  <c r="Y25" i="346"/>
  <c r="Y27" i="346" s="1"/>
  <c r="X25" i="346"/>
  <c r="X27" i="346" s="1"/>
  <c r="W25" i="346"/>
  <c r="W27" i="346" s="1"/>
  <c r="V25" i="346"/>
  <c r="U25" i="346"/>
  <c r="U27" i="346" s="1"/>
  <c r="T25" i="346"/>
  <c r="T27" i="346" s="1"/>
  <c r="S25" i="346"/>
  <c r="S27" i="346" s="1"/>
  <c r="R25" i="346"/>
  <c r="Q25" i="346"/>
  <c r="Q27" i="346" s="1"/>
  <c r="P25" i="346"/>
  <c r="P27" i="346" s="1"/>
  <c r="O25" i="346"/>
  <c r="O27" i="346" s="1"/>
  <c r="N25" i="346"/>
  <c r="M25" i="346"/>
  <c r="M27" i="346" s="1"/>
  <c r="L25" i="346"/>
  <c r="L27" i="346" s="1"/>
  <c r="K25" i="346"/>
  <c r="K27" i="346" s="1"/>
  <c r="J25" i="346"/>
  <c r="I25" i="346"/>
  <c r="I27" i="346" s="1"/>
  <c r="H25" i="346"/>
  <c r="H27" i="346" s="1"/>
  <c r="G25" i="346"/>
  <c r="G27" i="346" s="1"/>
  <c r="F25" i="346"/>
  <c r="E25" i="346"/>
  <c r="E27" i="346" s="1"/>
  <c r="D25" i="346"/>
  <c r="D27" i="346" s="1"/>
  <c r="C25" i="346"/>
  <c r="B25" i="346"/>
  <c r="A25" i="346"/>
  <c r="A26" i="346" s="1"/>
  <c r="A28" i="346" s="1"/>
  <c r="A30" i="346" s="1"/>
  <c r="A31" i="346" s="1"/>
  <c r="A32" i="346" s="1"/>
  <c r="A33" i="346" s="1"/>
  <c r="A34" i="346" s="1"/>
  <c r="A36" i="346" s="1"/>
  <c r="A38" i="346" s="1"/>
  <c r="X24" i="346"/>
  <c r="T24" i="346"/>
  <c r="P24" i="346"/>
  <c r="L24" i="346"/>
  <c r="H24" i="346"/>
  <c r="D24" i="346"/>
  <c r="AC23" i="346"/>
  <c r="AB23" i="346"/>
  <c r="AA23" i="346"/>
  <c r="AA24" i="346" s="1"/>
  <c r="Z23" i="346"/>
  <c r="Z24" i="346" s="1"/>
  <c r="Y23" i="346"/>
  <c r="Y24" i="346" s="1"/>
  <c r="X23" i="346"/>
  <c r="W23" i="346"/>
  <c r="W24" i="346" s="1"/>
  <c r="V23" i="346"/>
  <c r="V24" i="346" s="1"/>
  <c r="U23" i="346"/>
  <c r="U24" i="346" s="1"/>
  <c r="T23" i="346"/>
  <c r="S23" i="346"/>
  <c r="S24" i="346" s="1"/>
  <c r="R23" i="346"/>
  <c r="R24" i="346" s="1"/>
  <c r="Q23" i="346"/>
  <c r="Q24" i="346" s="1"/>
  <c r="P23" i="346"/>
  <c r="O23" i="346"/>
  <c r="O24" i="346" s="1"/>
  <c r="N23" i="346"/>
  <c r="N24" i="346" s="1"/>
  <c r="M23" i="346"/>
  <c r="M24" i="346" s="1"/>
  <c r="L23" i="346"/>
  <c r="K23" i="346"/>
  <c r="K24" i="346" s="1"/>
  <c r="J23" i="346"/>
  <c r="J24" i="346" s="1"/>
  <c r="I23" i="346"/>
  <c r="I24" i="346" s="1"/>
  <c r="H23" i="346"/>
  <c r="G23" i="346"/>
  <c r="G24" i="346" s="1"/>
  <c r="F23" i="346"/>
  <c r="F24" i="346" s="1"/>
  <c r="E23" i="346"/>
  <c r="E24" i="346" s="1"/>
  <c r="D23" i="346"/>
  <c r="C23" i="346"/>
  <c r="B23" i="346"/>
  <c r="X19" i="346"/>
  <c r="T19" i="346"/>
  <c r="P19" i="346"/>
  <c r="L19" i="346"/>
  <c r="H19" i="346"/>
  <c r="D19" i="346"/>
  <c r="AC18" i="346"/>
  <c r="AB18" i="346"/>
  <c r="AA18" i="346"/>
  <c r="AA19" i="346" s="1"/>
  <c r="Z18" i="346"/>
  <c r="Z19" i="346" s="1"/>
  <c r="Z20" i="346" s="1"/>
  <c r="Y18" i="346"/>
  <c r="Y19" i="346" s="1"/>
  <c r="X18" i="346"/>
  <c r="W18" i="346"/>
  <c r="W19" i="346" s="1"/>
  <c r="V18" i="346"/>
  <c r="V19" i="346" s="1"/>
  <c r="V20" i="346" s="1"/>
  <c r="U18" i="346"/>
  <c r="U19" i="346" s="1"/>
  <c r="T18" i="346"/>
  <c r="S18" i="346"/>
  <c r="S19" i="346" s="1"/>
  <c r="R18" i="346"/>
  <c r="R19" i="346" s="1"/>
  <c r="R20" i="346" s="1"/>
  <c r="Q18" i="346"/>
  <c r="Q19" i="346" s="1"/>
  <c r="P18" i="346"/>
  <c r="O18" i="346"/>
  <c r="O19" i="346" s="1"/>
  <c r="N18" i="346"/>
  <c r="N19" i="346" s="1"/>
  <c r="N20" i="346" s="1"/>
  <c r="M18" i="346"/>
  <c r="M19" i="346" s="1"/>
  <c r="L18" i="346"/>
  <c r="K18" i="346"/>
  <c r="K19" i="346" s="1"/>
  <c r="J18" i="346"/>
  <c r="J19" i="346" s="1"/>
  <c r="J20" i="346" s="1"/>
  <c r="I18" i="346"/>
  <c r="I19" i="346" s="1"/>
  <c r="H18" i="346"/>
  <c r="G18" i="346"/>
  <c r="G19" i="346" s="1"/>
  <c r="F18" i="346"/>
  <c r="F19" i="346" s="1"/>
  <c r="F20" i="346" s="1"/>
  <c r="E18" i="346"/>
  <c r="E19" i="346" s="1"/>
  <c r="D18" i="346"/>
  <c r="C18" i="346"/>
  <c r="B18" i="346"/>
  <c r="Y17" i="346"/>
  <c r="U17" i="346"/>
  <c r="Q17" i="346"/>
  <c r="M17" i="346"/>
  <c r="I17" i="346"/>
  <c r="E17" i="346"/>
  <c r="AC16" i="346"/>
  <c r="AB16" i="346"/>
  <c r="AA16" i="346"/>
  <c r="AA17" i="346" s="1"/>
  <c r="Z16" i="346"/>
  <c r="Z17" i="346" s="1"/>
  <c r="Y16" i="346"/>
  <c r="X16" i="346"/>
  <c r="X17" i="346" s="1"/>
  <c r="W16" i="346"/>
  <c r="W17" i="346" s="1"/>
  <c r="V16" i="346"/>
  <c r="V17" i="346" s="1"/>
  <c r="U16" i="346"/>
  <c r="T16" i="346"/>
  <c r="T17" i="346" s="1"/>
  <c r="S16" i="346"/>
  <c r="S17" i="346" s="1"/>
  <c r="R16" i="346"/>
  <c r="R17" i="346" s="1"/>
  <c r="Q16" i="346"/>
  <c r="P16" i="346"/>
  <c r="P17" i="346" s="1"/>
  <c r="O16" i="346"/>
  <c r="O17" i="346" s="1"/>
  <c r="N16" i="346"/>
  <c r="N17" i="346" s="1"/>
  <c r="M16" i="346"/>
  <c r="L16" i="346"/>
  <c r="L17" i="346" s="1"/>
  <c r="K16" i="346"/>
  <c r="K17" i="346" s="1"/>
  <c r="J16" i="346"/>
  <c r="J17" i="346" s="1"/>
  <c r="I16" i="346"/>
  <c r="H16" i="346"/>
  <c r="H17" i="346" s="1"/>
  <c r="G16" i="346"/>
  <c r="G17" i="346" s="1"/>
  <c r="F16" i="346"/>
  <c r="F17" i="346" s="1"/>
  <c r="E16" i="346"/>
  <c r="D16" i="346"/>
  <c r="D17" i="346" s="1"/>
  <c r="C16" i="346"/>
  <c r="B16" i="346"/>
  <c r="Z15" i="346"/>
  <c r="V15" i="346"/>
  <c r="R15" i="346"/>
  <c r="N15" i="346"/>
  <c r="J15" i="346"/>
  <c r="F15" i="346"/>
  <c r="AC14" i="346"/>
  <c r="AB14" i="346"/>
  <c r="AA14" i="346"/>
  <c r="Z14" i="346"/>
  <c r="Y14" i="346"/>
  <c r="X14" i="346"/>
  <c r="W14" i="346"/>
  <c r="V14" i="346"/>
  <c r="U14" i="346"/>
  <c r="T14" i="346"/>
  <c r="S14" i="346"/>
  <c r="R14" i="346"/>
  <c r="Q14" i="346"/>
  <c r="P14" i="346"/>
  <c r="O14" i="346"/>
  <c r="N14" i="346"/>
  <c r="M14" i="346"/>
  <c r="L14" i="346"/>
  <c r="K14" i="346"/>
  <c r="J14" i="346"/>
  <c r="I14" i="346"/>
  <c r="H14" i="346"/>
  <c r="G14" i="346"/>
  <c r="F14" i="346"/>
  <c r="E14" i="346"/>
  <c r="D14" i="346"/>
  <c r="C14" i="346"/>
  <c r="B14" i="346"/>
  <c r="AC13" i="346"/>
  <c r="AB13" i="346"/>
  <c r="AA13" i="346"/>
  <c r="AA15" i="346" s="1"/>
  <c r="Z13" i="346"/>
  <c r="Y13" i="346"/>
  <c r="Y15" i="346" s="1"/>
  <c r="X13" i="346"/>
  <c r="X15" i="346" s="1"/>
  <c r="W13" i="346"/>
  <c r="W15" i="346" s="1"/>
  <c r="V13" i="346"/>
  <c r="U13" i="346"/>
  <c r="U15" i="346" s="1"/>
  <c r="T13" i="346"/>
  <c r="T15" i="346" s="1"/>
  <c r="S13" i="346"/>
  <c r="S15" i="346" s="1"/>
  <c r="R13" i="346"/>
  <c r="Q13" i="346"/>
  <c r="Q15" i="346" s="1"/>
  <c r="P13" i="346"/>
  <c r="P15" i="346" s="1"/>
  <c r="O13" i="346"/>
  <c r="O15" i="346" s="1"/>
  <c r="N13" i="346"/>
  <c r="M13" i="346"/>
  <c r="M15" i="346" s="1"/>
  <c r="L13" i="346"/>
  <c r="L15" i="346" s="1"/>
  <c r="K13" i="346"/>
  <c r="K15" i="346" s="1"/>
  <c r="J13" i="346"/>
  <c r="I13" i="346"/>
  <c r="I15" i="346" s="1"/>
  <c r="H13" i="346"/>
  <c r="H15" i="346" s="1"/>
  <c r="G13" i="346"/>
  <c r="G15" i="346" s="1"/>
  <c r="F13" i="346"/>
  <c r="E13" i="346"/>
  <c r="E15" i="346" s="1"/>
  <c r="D13" i="346"/>
  <c r="D15" i="346" s="1"/>
  <c r="C13" i="346"/>
  <c r="B13" i="346"/>
  <c r="X12" i="346"/>
  <c r="T12" i="346"/>
  <c r="P12" i="346"/>
  <c r="L12" i="346"/>
  <c r="H12" i="346"/>
  <c r="D12" i="346"/>
  <c r="AC11" i="346"/>
  <c r="AB11" i="346"/>
  <c r="AA11" i="346"/>
  <c r="Z11" i="346"/>
  <c r="Y11" i="346"/>
  <c r="X11" i="346"/>
  <c r="W11" i="346"/>
  <c r="V11" i="346"/>
  <c r="U11" i="346"/>
  <c r="T11" i="346"/>
  <c r="S11" i="346"/>
  <c r="R11" i="346"/>
  <c r="Q11" i="346"/>
  <c r="P11" i="346"/>
  <c r="O11" i="346"/>
  <c r="N11" i="346"/>
  <c r="M11" i="346"/>
  <c r="L11" i="346"/>
  <c r="K11" i="346"/>
  <c r="J11" i="346"/>
  <c r="I11" i="346"/>
  <c r="H11" i="346"/>
  <c r="G11" i="346"/>
  <c r="F11" i="346"/>
  <c r="E11" i="346"/>
  <c r="D11" i="346"/>
  <c r="C11" i="346"/>
  <c r="B11" i="346"/>
  <c r="AC10" i="346"/>
  <c r="AB10" i="346"/>
  <c r="AA10" i="346"/>
  <c r="Z10" i="346"/>
  <c r="Y10" i="346"/>
  <c r="X10" i="346"/>
  <c r="W10" i="346"/>
  <c r="V10" i="346"/>
  <c r="U10" i="346"/>
  <c r="T10" i="346"/>
  <c r="S10" i="346"/>
  <c r="R10" i="346"/>
  <c r="Q10" i="346"/>
  <c r="P10" i="346"/>
  <c r="O10" i="346"/>
  <c r="N10" i="346"/>
  <c r="M10" i="346"/>
  <c r="L10" i="346"/>
  <c r="K10" i="346"/>
  <c r="J10" i="346"/>
  <c r="I10" i="346"/>
  <c r="H10" i="346"/>
  <c r="G10" i="346"/>
  <c r="F10" i="346"/>
  <c r="E10" i="346"/>
  <c r="D10" i="346"/>
  <c r="C10" i="346"/>
  <c r="B10" i="346"/>
  <c r="AC9" i="346"/>
  <c r="AB9" i="346"/>
  <c r="AA9" i="346"/>
  <c r="Z9" i="346"/>
  <c r="Y9" i="346"/>
  <c r="X9" i="346"/>
  <c r="W9" i="346"/>
  <c r="V9" i="346"/>
  <c r="U9" i="346"/>
  <c r="T9" i="346"/>
  <c r="S9" i="346"/>
  <c r="R9" i="346"/>
  <c r="Q9" i="346"/>
  <c r="P9" i="346"/>
  <c r="O9" i="346"/>
  <c r="N9" i="346"/>
  <c r="M9" i="346"/>
  <c r="L9" i="346"/>
  <c r="K9" i="346"/>
  <c r="J9" i="346"/>
  <c r="I9" i="346"/>
  <c r="H9" i="346"/>
  <c r="G9" i="346"/>
  <c r="F9" i="346"/>
  <c r="E9" i="346"/>
  <c r="D9" i="346"/>
  <c r="C9" i="346"/>
  <c r="B9" i="346"/>
  <c r="AC8" i="346"/>
  <c r="AB8" i="346"/>
  <c r="AA8" i="346"/>
  <c r="Z8" i="346"/>
  <c r="Y8" i="346"/>
  <c r="X8" i="346"/>
  <c r="W8" i="346"/>
  <c r="V8" i="346"/>
  <c r="U8" i="346"/>
  <c r="T8" i="346"/>
  <c r="S8" i="346"/>
  <c r="R8" i="346"/>
  <c r="Q8" i="346"/>
  <c r="P8" i="346"/>
  <c r="O8" i="346"/>
  <c r="N8" i="346"/>
  <c r="M8" i="346"/>
  <c r="L8" i="346"/>
  <c r="K8" i="346"/>
  <c r="J8" i="346"/>
  <c r="I8" i="346"/>
  <c r="H8" i="346"/>
  <c r="G8" i="346"/>
  <c r="F8" i="346"/>
  <c r="E8" i="346"/>
  <c r="D8" i="346"/>
  <c r="C8" i="346"/>
  <c r="B8" i="346"/>
  <c r="A8" i="346"/>
  <c r="A9" i="346" s="1"/>
  <c r="A10" i="346" s="1"/>
  <c r="A11" i="346" s="1"/>
  <c r="A13" i="346" s="1"/>
  <c r="A14" i="346" s="1"/>
  <c r="A16" i="346" s="1"/>
  <c r="A18" i="346" s="1"/>
  <c r="A20" i="346" s="1"/>
  <c r="AC7" i="346"/>
  <c r="AB7" i="346"/>
  <c r="AA7" i="346"/>
  <c r="AA12" i="346" s="1"/>
  <c r="Z7" i="346"/>
  <c r="Z12" i="346" s="1"/>
  <c r="Y7" i="346"/>
  <c r="Y12" i="346" s="1"/>
  <c r="X7" i="346"/>
  <c r="W7" i="346"/>
  <c r="W12" i="346" s="1"/>
  <c r="V7" i="346"/>
  <c r="V12" i="346" s="1"/>
  <c r="U7" i="346"/>
  <c r="U12" i="346" s="1"/>
  <c r="T7" i="346"/>
  <c r="S7" i="346"/>
  <c r="S12" i="346" s="1"/>
  <c r="R7" i="346"/>
  <c r="R12" i="346" s="1"/>
  <c r="Q7" i="346"/>
  <c r="Q12" i="346" s="1"/>
  <c r="P7" i="346"/>
  <c r="O7" i="346"/>
  <c r="O12" i="346" s="1"/>
  <c r="N7" i="346"/>
  <c r="N12" i="346" s="1"/>
  <c r="M7" i="346"/>
  <c r="M12" i="346" s="1"/>
  <c r="L7" i="346"/>
  <c r="K7" i="346"/>
  <c r="K12" i="346" s="1"/>
  <c r="J7" i="346"/>
  <c r="J12" i="346" s="1"/>
  <c r="I7" i="346"/>
  <c r="I12" i="346" s="1"/>
  <c r="H7" i="346"/>
  <c r="G7" i="346"/>
  <c r="G12" i="346" s="1"/>
  <c r="F7" i="346"/>
  <c r="F12" i="346" s="1"/>
  <c r="E7" i="346"/>
  <c r="E12" i="346" s="1"/>
  <c r="D7" i="346"/>
  <c r="C7" i="346"/>
  <c r="B7" i="346"/>
  <c r="A7" i="346"/>
  <c r="Z6" i="346"/>
  <c r="Y6" i="346"/>
  <c r="V6" i="346"/>
  <c r="U6" i="346"/>
  <c r="R6" i="346"/>
  <c r="Q6" i="346"/>
  <c r="N6" i="346"/>
  <c r="M6" i="346"/>
  <c r="J6" i="346"/>
  <c r="I6" i="346"/>
  <c r="F6" i="346"/>
  <c r="E6" i="346"/>
  <c r="AC5" i="346"/>
  <c r="AB5" i="346"/>
  <c r="AA5" i="346"/>
  <c r="AA6" i="346" s="1"/>
  <c r="Z5" i="346"/>
  <c r="Y5" i="346"/>
  <c r="X5" i="346"/>
  <c r="X6" i="346" s="1"/>
  <c r="W5" i="346"/>
  <c r="W6" i="346" s="1"/>
  <c r="V5" i="346"/>
  <c r="U5" i="346"/>
  <c r="T5" i="346"/>
  <c r="T6" i="346" s="1"/>
  <c r="S5" i="346"/>
  <c r="S6" i="346" s="1"/>
  <c r="R5" i="346"/>
  <c r="Q5" i="346"/>
  <c r="P5" i="346"/>
  <c r="P6" i="346" s="1"/>
  <c r="O5" i="346"/>
  <c r="O6" i="346" s="1"/>
  <c r="N5" i="346"/>
  <c r="M5" i="346"/>
  <c r="L5" i="346"/>
  <c r="L6" i="346" s="1"/>
  <c r="K5" i="346"/>
  <c r="K6" i="346" s="1"/>
  <c r="J5" i="346"/>
  <c r="I5" i="346"/>
  <c r="H5" i="346"/>
  <c r="H6" i="346" s="1"/>
  <c r="G5" i="346"/>
  <c r="G6" i="346" s="1"/>
  <c r="F5" i="346"/>
  <c r="E5" i="346"/>
  <c r="D5" i="346"/>
  <c r="D6" i="346" s="1"/>
  <c r="C5" i="346"/>
  <c r="B5" i="346"/>
  <c r="AB16" i="358"/>
  <c r="S15" i="358"/>
  <c r="L15" i="358"/>
  <c r="P15" i="358" s="1"/>
  <c r="K15" i="358"/>
  <c r="F15" i="358"/>
  <c r="S14" i="358"/>
  <c r="K14" i="358"/>
  <c r="L14" i="358" s="1"/>
  <c r="F14" i="358"/>
  <c r="S13" i="358"/>
  <c r="K13" i="358"/>
  <c r="L13" i="358" s="1"/>
  <c r="P13" i="358" s="1"/>
  <c r="M13" i="358" s="1"/>
  <c r="F13" i="358"/>
  <c r="S12" i="358"/>
  <c r="K12" i="358"/>
  <c r="L12" i="358" s="1"/>
  <c r="D16" i="358"/>
  <c r="F17" i="358" s="1"/>
  <c r="S11" i="358"/>
  <c r="K11" i="358"/>
  <c r="L11" i="358" s="1"/>
  <c r="P11" i="358" s="1"/>
  <c r="F11" i="358"/>
  <c r="S10" i="358"/>
  <c r="K10" i="358"/>
  <c r="L10" i="358" s="1"/>
  <c r="P10" i="358" s="1"/>
  <c r="M10" i="358" s="1"/>
  <c r="F10" i="358"/>
  <c r="Q9" i="358"/>
  <c r="Q16" i="358" s="1"/>
  <c r="K9" i="358"/>
  <c r="L9" i="358" s="1"/>
  <c r="P9" i="358" s="1"/>
  <c r="F9" i="358"/>
  <c r="S8" i="358"/>
  <c r="K8" i="358"/>
  <c r="L8" i="358" s="1"/>
  <c r="P8" i="358" s="1"/>
  <c r="F8" i="358"/>
  <c r="S7" i="358"/>
  <c r="K7" i="358"/>
  <c r="L7" i="358" s="1"/>
  <c r="P7" i="358" s="1"/>
  <c r="M7" i="358" s="1"/>
  <c r="F7" i="358"/>
  <c r="S6" i="358"/>
  <c r="K6" i="358"/>
  <c r="F6" i="358"/>
  <c r="A6" i="358"/>
  <c r="A7" i="358" s="1"/>
  <c r="A8" i="358" s="1"/>
  <c r="A9" i="358" s="1"/>
  <c r="A10" i="358" s="1"/>
  <c r="A11" i="358" s="1"/>
  <c r="A12" i="358" s="1"/>
  <c r="A13" i="358" s="1"/>
  <c r="A14" i="358" s="1"/>
  <c r="A15" i="358" s="1"/>
  <c r="S5" i="358"/>
  <c r="K5" i="358"/>
  <c r="L5" i="358" s="1"/>
  <c r="P5" i="358" s="1"/>
  <c r="F5" i="358"/>
  <c r="P16" i="12"/>
  <c r="G16" i="12"/>
  <c r="S12" i="359"/>
  <c r="K12" i="359"/>
  <c r="L12" i="359" s="1"/>
  <c r="P12" i="359" s="1"/>
  <c r="F12" i="359"/>
  <c r="V16" i="12"/>
  <c r="S11" i="359"/>
  <c r="K11" i="359"/>
  <c r="L11" i="359" s="1"/>
  <c r="P11" i="359" s="1"/>
  <c r="F11" i="359"/>
  <c r="S10" i="359"/>
  <c r="K10" i="359"/>
  <c r="L10" i="359" s="1"/>
  <c r="D10" i="359"/>
  <c r="F10" i="359" s="1"/>
  <c r="S9" i="359"/>
  <c r="K9" i="359"/>
  <c r="L9" i="359" s="1"/>
  <c r="P9" i="359" s="1"/>
  <c r="F9" i="359"/>
  <c r="S8" i="359"/>
  <c r="K8" i="359"/>
  <c r="L8" i="359" s="1"/>
  <c r="F8" i="359"/>
  <c r="S7" i="359"/>
  <c r="K7" i="359"/>
  <c r="L7" i="359" s="1"/>
  <c r="F7" i="359"/>
  <c r="S6" i="359"/>
  <c r="K6" i="359"/>
  <c r="L6" i="359" s="1"/>
  <c r="P6" i="359" s="1"/>
  <c r="F6" i="359"/>
  <c r="A6" i="359"/>
  <c r="S5" i="359"/>
  <c r="K5" i="359"/>
  <c r="D5" i="359"/>
  <c r="D13" i="359" s="1"/>
  <c r="AA17" i="345"/>
  <c r="Z17" i="345"/>
  <c r="Y17" i="345"/>
  <c r="X17" i="345"/>
  <c r="W17" i="345"/>
  <c r="R17" i="345"/>
  <c r="Q17" i="345"/>
  <c r="N17" i="345"/>
  <c r="J17" i="345"/>
  <c r="I17" i="345"/>
  <c r="H17" i="345"/>
  <c r="G17" i="345"/>
  <c r="E17" i="345"/>
  <c r="D17" i="345"/>
  <c r="S16" i="345"/>
  <c r="L16" i="345"/>
  <c r="P16" i="345" s="1"/>
  <c r="K16" i="345"/>
  <c r="F16" i="345"/>
  <c r="S15" i="345"/>
  <c r="K15" i="345"/>
  <c r="L15" i="345" s="1"/>
  <c r="F15" i="345"/>
  <c r="S14" i="345"/>
  <c r="K14" i="345"/>
  <c r="L14" i="345" s="1"/>
  <c r="F14" i="345"/>
  <c r="S13" i="345"/>
  <c r="K13" i="345"/>
  <c r="L13" i="345" s="1"/>
  <c r="F13" i="345"/>
  <c r="S12" i="345"/>
  <c r="L12" i="345"/>
  <c r="P12" i="345" s="1"/>
  <c r="K12" i="345"/>
  <c r="F12" i="345"/>
  <c r="S11" i="345"/>
  <c r="K11" i="345"/>
  <c r="L11" i="345" s="1"/>
  <c r="F11" i="345"/>
  <c r="S10" i="345"/>
  <c r="K10" i="345"/>
  <c r="L10" i="345" s="1"/>
  <c r="F10" i="345"/>
  <c r="S9" i="345"/>
  <c r="K9" i="345"/>
  <c r="L9" i="345" s="1"/>
  <c r="F9" i="345"/>
  <c r="S8" i="345"/>
  <c r="L8" i="345"/>
  <c r="P8" i="345" s="1"/>
  <c r="K8" i="345"/>
  <c r="F8" i="345"/>
  <c r="S7" i="345"/>
  <c r="K7" i="345"/>
  <c r="L7" i="345" s="1"/>
  <c r="F7" i="345"/>
  <c r="A7" i="345"/>
  <c r="A8" i="345" s="1"/>
  <c r="A9" i="345" s="1"/>
  <c r="A10" i="345" s="1"/>
  <c r="A11" i="345" s="1"/>
  <c r="A12" i="345" s="1"/>
  <c r="A13" i="345" s="1"/>
  <c r="A14" i="345" s="1"/>
  <c r="A15" i="345" s="1"/>
  <c r="A16" i="345" s="1"/>
  <c r="A17" i="345" s="1"/>
  <c r="S6" i="345"/>
  <c r="L6" i="345"/>
  <c r="P6" i="345" s="1"/>
  <c r="K6" i="345"/>
  <c r="F6" i="345"/>
  <c r="A6" i="345"/>
  <c r="S5" i="345"/>
  <c r="S17" i="345" s="1"/>
  <c r="K5" i="345"/>
  <c r="K17" i="345" s="1"/>
  <c r="F5" i="345"/>
  <c r="F17" i="345" s="1"/>
  <c r="S19" i="357"/>
  <c r="K19" i="357"/>
  <c r="L19" i="357" s="1"/>
  <c r="P19" i="357" s="1"/>
  <c r="F19" i="357"/>
  <c r="V15" i="12"/>
  <c r="S18" i="357"/>
  <c r="K18" i="357"/>
  <c r="L18" i="357" s="1"/>
  <c r="F18" i="357"/>
  <c r="S16" i="357"/>
  <c r="K16" i="357"/>
  <c r="L16" i="357" s="1"/>
  <c r="F16" i="357"/>
  <c r="S15" i="357"/>
  <c r="K15" i="357"/>
  <c r="L15" i="357" s="1"/>
  <c r="P15" i="357" s="1"/>
  <c r="F15" i="357"/>
  <c r="S14" i="357"/>
  <c r="K14" i="357"/>
  <c r="L14" i="357" s="1"/>
  <c r="P14" i="357" s="1"/>
  <c r="F14" i="357"/>
  <c r="S13" i="357"/>
  <c r="K13" i="357"/>
  <c r="L13" i="357" s="1"/>
  <c r="F13" i="357"/>
  <c r="S12" i="357"/>
  <c r="K12" i="357"/>
  <c r="L12" i="357" s="1"/>
  <c r="P12" i="357" s="1"/>
  <c r="F12" i="357"/>
  <c r="S11" i="357"/>
  <c r="K11" i="357"/>
  <c r="L11" i="357" s="1"/>
  <c r="F11" i="357"/>
  <c r="S10" i="357"/>
  <c r="K10" i="357"/>
  <c r="F10" i="357"/>
  <c r="S9" i="357"/>
  <c r="K9" i="357"/>
  <c r="L9" i="357" s="1"/>
  <c r="F9" i="357"/>
  <c r="S8" i="357"/>
  <c r="K8" i="357"/>
  <c r="L8" i="357" s="1"/>
  <c r="F8" i="357"/>
  <c r="S7" i="357"/>
  <c r="K7" i="357"/>
  <c r="L7" i="357" s="1"/>
  <c r="P7" i="357" s="1"/>
  <c r="M7" i="357" s="1"/>
  <c r="F7" i="357"/>
  <c r="S6" i="357"/>
  <c r="K6" i="357"/>
  <c r="L6" i="357" s="1"/>
  <c r="P6" i="357" s="1"/>
  <c r="F6" i="357"/>
  <c r="A6" i="357"/>
  <c r="A7" i="357" s="1"/>
  <c r="S5" i="357"/>
  <c r="K5" i="357"/>
  <c r="F5" i="357"/>
  <c r="AC19" i="347"/>
  <c r="AB19" i="347"/>
  <c r="AA19" i="347"/>
  <c r="Z19" i="347"/>
  <c r="Y19" i="347"/>
  <c r="X19" i="347"/>
  <c r="W19" i="347"/>
  <c r="V19" i="347"/>
  <c r="U19" i="347"/>
  <c r="T19" i="347"/>
  <c r="S19" i="347"/>
  <c r="R19" i="347"/>
  <c r="Q19" i="347"/>
  <c r="P19" i="347"/>
  <c r="O19" i="347"/>
  <c r="N19" i="347"/>
  <c r="M19" i="347"/>
  <c r="L19" i="347"/>
  <c r="K19" i="347"/>
  <c r="J19" i="347"/>
  <c r="I19" i="347"/>
  <c r="H19" i="347"/>
  <c r="G19" i="347"/>
  <c r="F19" i="347"/>
  <c r="E19" i="347"/>
  <c r="D19" i="347"/>
  <c r="C19" i="347"/>
  <c r="B19" i="347"/>
  <c r="AC18" i="347"/>
  <c r="AB18" i="347"/>
  <c r="AA18" i="347"/>
  <c r="Z18" i="347"/>
  <c r="Y18" i="347"/>
  <c r="X18" i="347"/>
  <c r="W18" i="347"/>
  <c r="V18" i="347"/>
  <c r="U18" i="347"/>
  <c r="T18" i="347"/>
  <c r="S18" i="347"/>
  <c r="R18" i="347"/>
  <c r="Q18" i="347"/>
  <c r="P18" i="347"/>
  <c r="O18" i="347"/>
  <c r="N18" i="347"/>
  <c r="M18" i="347"/>
  <c r="L18" i="347"/>
  <c r="K18" i="347"/>
  <c r="J18" i="347"/>
  <c r="I18" i="347"/>
  <c r="H18" i="347"/>
  <c r="G18" i="347"/>
  <c r="F18" i="347"/>
  <c r="E18" i="347"/>
  <c r="D18" i="347"/>
  <c r="C18" i="347"/>
  <c r="B18" i="347"/>
  <c r="AC17" i="347"/>
  <c r="AB17" i="347"/>
  <c r="AA17" i="347"/>
  <c r="Z17" i="347"/>
  <c r="Y17" i="347"/>
  <c r="X17" i="347"/>
  <c r="W17" i="347"/>
  <c r="V17" i="347"/>
  <c r="U17" i="347"/>
  <c r="T17" i="347"/>
  <c r="S17" i="347"/>
  <c r="R17" i="347"/>
  <c r="Q17" i="347"/>
  <c r="P17" i="347"/>
  <c r="O17" i="347"/>
  <c r="N17" i="347"/>
  <c r="M17" i="347"/>
  <c r="L17" i="347"/>
  <c r="K17" i="347"/>
  <c r="J17" i="347"/>
  <c r="I17" i="347"/>
  <c r="H17" i="347"/>
  <c r="G17" i="347"/>
  <c r="F17" i="347"/>
  <c r="E17" i="347"/>
  <c r="D17" i="347"/>
  <c r="C17" i="347"/>
  <c r="B17" i="347"/>
  <c r="AC16" i="347"/>
  <c r="AB16" i="347"/>
  <c r="AA16" i="347"/>
  <c r="AA20" i="347" s="1"/>
  <c r="Z16" i="347"/>
  <c r="Z20" i="347" s="1"/>
  <c r="Y16" i="347"/>
  <c r="Y20" i="347" s="1"/>
  <c r="X16" i="347"/>
  <c r="X20" i="347" s="1"/>
  <c r="W16" i="347"/>
  <c r="W20" i="347" s="1"/>
  <c r="V16" i="347"/>
  <c r="V20" i="347" s="1"/>
  <c r="U16" i="347"/>
  <c r="U20" i="347" s="1"/>
  <c r="T16" i="347"/>
  <c r="T20" i="347" s="1"/>
  <c r="S16" i="347"/>
  <c r="S20" i="347" s="1"/>
  <c r="R16" i="347"/>
  <c r="R20" i="347" s="1"/>
  <c r="Q16" i="347"/>
  <c r="Q20" i="347" s="1"/>
  <c r="P16" i="347"/>
  <c r="P20" i="347" s="1"/>
  <c r="O16" i="347"/>
  <c r="O20" i="347" s="1"/>
  <c r="N16" i="347"/>
  <c r="N20" i="347" s="1"/>
  <c r="M16" i="347"/>
  <c r="M20" i="347" s="1"/>
  <c r="L16" i="347"/>
  <c r="L20" i="347" s="1"/>
  <c r="K16" i="347"/>
  <c r="K20" i="347" s="1"/>
  <c r="J16" i="347"/>
  <c r="J20" i="347" s="1"/>
  <c r="I16" i="347"/>
  <c r="I20" i="347" s="1"/>
  <c r="H16" i="347"/>
  <c r="H20" i="347" s="1"/>
  <c r="G16" i="347"/>
  <c r="G20" i="347" s="1"/>
  <c r="F16" i="347"/>
  <c r="F20" i="347" s="1"/>
  <c r="E16" i="347"/>
  <c r="E20" i="347" s="1"/>
  <c r="D16" i="347"/>
  <c r="D20" i="347" s="1"/>
  <c r="C16" i="347"/>
  <c r="B16" i="347"/>
  <c r="AC14" i="347"/>
  <c r="AB14" i="347"/>
  <c r="AA14" i="347"/>
  <c r="Z14" i="347"/>
  <c r="Y14" i="347"/>
  <c r="X14" i="347"/>
  <c r="W14" i="347"/>
  <c r="V14" i="347"/>
  <c r="U14" i="347"/>
  <c r="T14" i="347"/>
  <c r="S14" i="347"/>
  <c r="R14" i="347"/>
  <c r="Q14" i="347"/>
  <c r="P14" i="347"/>
  <c r="O14" i="347"/>
  <c r="N14" i="347"/>
  <c r="M14" i="347"/>
  <c r="L14" i="347"/>
  <c r="K14" i="347"/>
  <c r="J14" i="347"/>
  <c r="I14" i="347"/>
  <c r="H14" i="347"/>
  <c r="G14" i="347"/>
  <c r="F14" i="347"/>
  <c r="E14" i="347"/>
  <c r="D14" i="347"/>
  <c r="C14" i="347"/>
  <c r="B14" i="347"/>
  <c r="AC13" i="347"/>
  <c r="AB13" i="347"/>
  <c r="AA13" i="347"/>
  <c r="Z13" i="347"/>
  <c r="Y13" i="347"/>
  <c r="X13" i="347"/>
  <c r="W13" i="347"/>
  <c r="V13" i="347"/>
  <c r="U13" i="347"/>
  <c r="T13" i="347"/>
  <c r="S13" i="347"/>
  <c r="R13" i="347"/>
  <c r="Q13" i="347"/>
  <c r="P13" i="347"/>
  <c r="O13" i="347"/>
  <c r="N13" i="347"/>
  <c r="M13" i="347"/>
  <c r="L13" i="347"/>
  <c r="K13" i="347"/>
  <c r="J13" i="347"/>
  <c r="I13" i="347"/>
  <c r="H13" i="347"/>
  <c r="G13" i="347"/>
  <c r="F13" i="347"/>
  <c r="E13" i="347"/>
  <c r="D13" i="347"/>
  <c r="C13" i="347"/>
  <c r="B13" i="347"/>
  <c r="AC12" i="347"/>
  <c r="AB12" i="347"/>
  <c r="AA12" i="347"/>
  <c r="Z12" i="347"/>
  <c r="Y12" i="347"/>
  <c r="X12" i="347"/>
  <c r="W12" i="347"/>
  <c r="V12" i="347"/>
  <c r="U12" i="347"/>
  <c r="T12" i="347"/>
  <c r="S12" i="347"/>
  <c r="R12" i="347"/>
  <c r="Q12" i="347"/>
  <c r="P12" i="347"/>
  <c r="O12" i="347"/>
  <c r="N12" i="347"/>
  <c r="M12" i="347"/>
  <c r="L12" i="347"/>
  <c r="K12" i="347"/>
  <c r="J12" i="347"/>
  <c r="I12" i="347"/>
  <c r="H12" i="347"/>
  <c r="G12" i="347"/>
  <c r="F12" i="347"/>
  <c r="E12" i="347"/>
  <c r="D12" i="347"/>
  <c r="C12" i="347"/>
  <c r="B12" i="347"/>
  <c r="AC11" i="347"/>
  <c r="AB11" i="347"/>
  <c r="AA11" i="347"/>
  <c r="AA15" i="347" s="1"/>
  <c r="Z11" i="347"/>
  <c r="Z15" i="347" s="1"/>
  <c r="Y11" i="347"/>
  <c r="Y15" i="347" s="1"/>
  <c r="X11" i="347"/>
  <c r="X15" i="347" s="1"/>
  <c r="W11" i="347"/>
  <c r="W15" i="347" s="1"/>
  <c r="V11" i="347"/>
  <c r="V15" i="347" s="1"/>
  <c r="U11" i="347"/>
  <c r="U15" i="347" s="1"/>
  <c r="T11" i="347"/>
  <c r="T15" i="347" s="1"/>
  <c r="S11" i="347"/>
  <c r="S15" i="347" s="1"/>
  <c r="R11" i="347"/>
  <c r="R15" i="347" s="1"/>
  <c r="Q11" i="347"/>
  <c r="Q15" i="347" s="1"/>
  <c r="P11" i="347"/>
  <c r="P15" i="347" s="1"/>
  <c r="O11" i="347"/>
  <c r="O15" i="347" s="1"/>
  <c r="N11" i="347"/>
  <c r="N15" i="347" s="1"/>
  <c r="M11" i="347"/>
  <c r="M15" i="347" s="1"/>
  <c r="L11" i="347"/>
  <c r="L15" i="347" s="1"/>
  <c r="K11" i="347"/>
  <c r="K15" i="347" s="1"/>
  <c r="J11" i="347"/>
  <c r="J15" i="347" s="1"/>
  <c r="I11" i="347"/>
  <c r="I15" i="347" s="1"/>
  <c r="H11" i="347"/>
  <c r="H15" i="347" s="1"/>
  <c r="G11" i="347"/>
  <c r="G15" i="347" s="1"/>
  <c r="F11" i="347"/>
  <c r="F15" i="347" s="1"/>
  <c r="E11" i="347"/>
  <c r="E15" i="347" s="1"/>
  <c r="D11" i="347"/>
  <c r="D15" i="347" s="1"/>
  <c r="C11" i="347"/>
  <c r="B11" i="347"/>
  <c r="Y10" i="347"/>
  <c r="U10" i="347"/>
  <c r="Q10" i="347"/>
  <c r="M10" i="347"/>
  <c r="I10" i="347"/>
  <c r="E10" i="347"/>
  <c r="AC9" i="347"/>
  <c r="AB9" i="347"/>
  <c r="AA9" i="347"/>
  <c r="AA10" i="347" s="1"/>
  <c r="Z9" i="347"/>
  <c r="Z10" i="347" s="1"/>
  <c r="Y9" i="347"/>
  <c r="X9" i="347"/>
  <c r="X10" i="347" s="1"/>
  <c r="W9" i="347"/>
  <c r="W10" i="347" s="1"/>
  <c r="V9" i="347"/>
  <c r="V10" i="347" s="1"/>
  <c r="U9" i="347"/>
  <c r="T9" i="347"/>
  <c r="T10" i="347" s="1"/>
  <c r="S9" i="347"/>
  <c r="S10" i="347" s="1"/>
  <c r="R9" i="347"/>
  <c r="R10" i="347" s="1"/>
  <c r="Q9" i="347"/>
  <c r="P9" i="347"/>
  <c r="P10" i="347" s="1"/>
  <c r="O9" i="347"/>
  <c r="O10" i="347" s="1"/>
  <c r="N9" i="347"/>
  <c r="N10" i="347" s="1"/>
  <c r="M9" i="347"/>
  <c r="L9" i="347"/>
  <c r="L10" i="347" s="1"/>
  <c r="K9" i="347"/>
  <c r="K10" i="347" s="1"/>
  <c r="J9" i="347"/>
  <c r="J10" i="347" s="1"/>
  <c r="I9" i="347"/>
  <c r="H9" i="347"/>
  <c r="H10" i="347" s="1"/>
  <c r="G9" i="347"/>
  <c r="G10" i="347" s="1"/>
  <c r="F9" i="347"/>
  <c r="F10" i="347" s="1"/>
  <c r="E9" i="347"/>
  <c r="D9" i="347"/>
  <c r="D10" i="347" s="1"/>
  <c r="C9" i="347"/>
  <c r="B9" i="347"/>
  <c r="AC7" i="347"/>
  <c r="AB7" i="347"/>
  <c r="AA7" i="347"/>
  <c r="Z7" i="347"/>
  <c r="Y7" i="347"/>
  <c r="X7" i="347"/>
  <c r="W7" i="347"/>
  <c r="V7" i="347"/>
  <c r="U7" i="347"/>
  <c r="T7" i="347"/>
  <c r="S7" i="347"/>
  <c r="R7" i="347"/>
  <c r="Q7" i="347"/>
  <c r="P7" i="347"/>
  <c r="O7" i="347"/>
  <c r="N7" i="347"/>
  <c r="M7" i="347"/>
  <c r="L7" i="347"/>
  <c r="K7" i="347"/>
  <c r="J7" i="347"/>
  <c r="I7" i="347"/>
  <c r="H7" i="347"/>
  <c r="G7" i="347"/>
  <c r="F7" i="347"/>
  <c r="E7" i="347"/>
  <c r="D7" i="347"/>
  <c r="C7" i="347"/>
  <c r="B7" i="347"/>
  <c r="AC6" i="347"/>
  <c r="AB6" i="347"/>
  <c r="AA6" i="347"/>
  <c r="Z6" i="347"/>
  <c r="Y6" i="347"/>
  <c r="X6" i="347"/>
  <c r="W6" i="347"/>
  <c r="V6" i="347"/>
  <c r="U6" i="347"/>
  <c r="T6" i="347"/>
  <c r="S6" i="347"/>
  <c r="R6" i="347"/>
  <c r="Q6" i="347"/>
  <c r="P6" i="347"/>
  <c r="O6" i="347"/>
  <c r="N6" i="347"/>
  <c r="M6" i="347"/>
  <c r="L6" i="347"/>
  <c r="K6" i="347"/>
  <c r="J6" i="347"/>
  <c r="I6" i="347"/>
  <c r="H6" i="347"/>
  <c r="G6" i="347"/>
  <c r="F6" i="347"/>
  <c r="E6" i="347"/>
  <c r="D6" i="347"/>
  <c r="C6" i="347"/>
  <c r="B6" i="347"/>
  <c r="A6" i="347"/>
  <c r="A7" i="347" s="1"/>
  <c r="A9" i="347" s="1"/>
  <c r="A11" i="347" s="1"/>
  <c r="A12" i="347" s="1"/>
  <c r="A13" i="347" s="1"/>
  <c r="A14" i="347" s="1"/>
  <c r="A16" i="347" s="1"/>
  <c r="A17" i="347" s="1"/>
  <c r="A18" i="347" s="1"/>
  <c r="A19" i="347" s="1"/>
  <c r="A21" i="347" s="1"/>
  <c r="AC5" i="347"/>
  <c r="AB5" i="347"/>
  <c r="AA5" i="347"/>
  <c r="AA8" i="347" s="1"/>
  <c r="Z5" i="347"/>
  <c r="Z8" i="347" s="1"/>
  <c r="Y5" i="347"/>
  <c r="Y8" i="347" s="1"/>
  <c r="X5" i="347"/>
  <c r="X8" i="347" s="1"/>
  <c r="W5" i="347"/>
  <c r="W8" i="347" s="1"/>
  <c r="V5" i="347"/>
  <c r="V8" i="347" s="1"/>
  <c r="U5" i="347"/>
  <c r="U8" i="347" s="1"/>
  <c r="T5" i="347"/>
  <c r="T8" i="347" s="1"/>
  <c r="S5" i="347"/>
  <c r="S8" i="347" s="1"/>
  <c r="R5" i="347"/>
  <c r="R8" i="347" s="1"/>
  <c r="Q5" i="347"/>
  <c r="Q8" i="347" s="1"/>
  <c r="P5" i="347"/>
  <c r="P8" i="347" s="1"/>
  <c r="O5" i="347"/>
  <c r="O8" i="347" s="1"/>
  <c r="N5" i="347"/>
  <c r="N8" i="347" s="1"/>
  <c r="M5" i="347"/>
  <c r="M8" i="347" s="1"/>
  <c r="L5" i="347"/>
  <c r="L8" i="347" s="1"/>
  <c r="K5" i="347"/>
  <c r="K8" i="347" s="1"/>
  <c r="J5" i="347"/>
  <c r="J8" i="347" s="1"/>
  <c r="I5" i="347"/>
  <c r="I8" i="347" s="1"/>
  <c r="H5" i="347"/>
  <c r="H8" i="347" s="1"/>
  <c r="G5" i="347"/>
  <c r="G8" i="347" s="1"/>
  <c r="F5" i="347"/>
  <c r="F8" i="347" s="1"/>
  <c r="E5" i="347"/>
  <c r="E8" i="347" s="1"/>
  <c r="D5" i="347"/>
  <c r="D8" i="347" s="1"/>
  <c r="C5" i="347"/>
  <c r="B5" i="347"/>
  <c r="S18" i="356"/>
  <c r="K18" i="356"/>
  <c r="F18" i="356"/>
  <c r="S16" i="356"/>
  <c r="K16" i="356"/>
  <c r="L16" i="356" s="1"/>
  <c r="D16" i="356"/>
  <c r="F16" i="356" s="1"/>
  <c r="S15" i="356"/>
  <c r="N15" i="356"/>
  <c r="K15" i="356"/>
  <c r="L15" i="356" s="1"/>
  <c r="D15" i="356"/>
  <c r="F15" i="356" s="1"/>
  <c r="S14" i="356"/>
  <c r="K14" i="356"/>
  <c r="L14" i="356" s="1"/>
  <c r="P14" i="356" s="1"/>
  <c r="F14" i="356"/>
  <c r="S13" i="356"/>
  <c r="K13" i="356"/>
  <c r="L13" i="356" s="1"/>
  <c r="P13" i="356" s="1"/>
  <c r="M13" i="356" s="1"/>
  <c r="F13" i="356"/>
  <c r="S11" i="356"/>
  <c r="K11" i="356"/>
  <c r="L11" i="356" s="1"/>
  <c r="P11" i="356" s="1"/>
  <c r="M11" i="356" s="1"/>
  <c r="F11" i="356"/>
  <c r="S10" i="356"/>
  <c r="K10" i="356"/>
  <c r="L10" i="356" s="1"/>
  <c r="P10" i="356" s="1"/>
  <c r="F10" i="356"/>
  <c r="S9" i="356"/>
  <c r="K9" i="356"/>
  <c r="L9" i="356" s="1"/>
  <c r="D9" i="356"/>
  <c r="F9" i="356" s="1"/>
  <c r="S8" i="356"/>
  <c r="N19" i="356"/>
  <c r="K8" i="356"/>
  <c r="L8" i="356" s="1"/>
  <c r="P8" i="356" s="1"/>
  <c r="M8" i="356" s="1"/>
  <c r="D8" i="356"/>
  <c r="D19" i="356" s="1"/>
  <c r="S7" i="356"/>
  <c r="K7" i="356"/>
  <c r="L7" i="356" s="1"/>
  <c r="P7" i="356" s="1"/>
  <c r="F7" i="356"/>
  <c r="S6" i="356"/>
  <c r="K6" i="356"/>
  <c r="L6" i="356" s="1"/>
  <c r="F6" i="356"/>
  <c r="A6" i="356"/>
  <c r="S5" i="356"/>
  <c r="K5" i="356"/>
  <c r="F5" i="356"/>
  <c r="Z7" i="343"/>
  <c r="Y7" i="343"/>
  <c r="X7" i="343"/>
  <c r="W7" i="343"/>
  <c r="R7" i="343"/>
  <c r="Q7" i="343"/>
  <c r="N7" i="343"/>
  <c r="J7" i="343"/>
  <c r="I7" i="343"/>
  <c r="H7" i="343"/>
  <c r="G7" i="343"/>
  <c r="E7" i="343"/>
  <c r="AA6" i="343"/>
  <c r="S6" i="343"/>
  <c r="L6" i="343"/>
  <c r="P6" i="343" s="1"/>
  <c r="K6" i="343"/>
  <c r="F6" i="343"/>
  <c r="D6" i="343"/>
  <c r="D7" i="343" s="1"/>
  <c r="A6" i="343"/>
  <c r="A7" i="343" s="1"/>
  <c r="AA5" i="343"/>
  <c r="AA7" i="343" s="1"/>
  <c r="S5" i="343"/>
  <c r="S7" i="343" s="1"/>
  <c r="K5" i="343"/>
  <c r="K7" i="343" s="1"/>
  <c r="F5" i="343"/>
  <c r="F7" i="343" s="1"/>
  <c r="S9" i="355"/>
  <c r="K9" i="355"/>
  <c r="L9" i="355" s="1"/>
  <c r="F9" i="355"/>
  <c r="S8" i="355"/>
  <c r="K8" i="355"/>
  <c r="F8" i="355"/>
  <c r="S11" i="355"/>
  <c r="K11" i="355"/>
  <c r="L11" i="355" s="1"/>
  <c r="P11" i="355" s="1"/>
  <c r="F11" i="355"/>
  <c r="S10" i="355"/>
  <c r="K10" i="355"/>
  <c r="L10" i="355" s="1"/>
  <c r="P10" i="355" s="1"/>
  <c r="F10" i="355"/>
  <c r="U13" i="355"/>
  <c r="V13" i="355" s="1"/>
  <c r="O13" i="355"/>
  <c r="F13" i="355"/>
  <c r="U12" i="355"/>
  <c r="V12" i="355" s="1"/>
  <c r="O12" i="355"/>
  <c r="F12" i="355"/>
  <c r="S6" i="355"/>
  <c r="K6" i="355"/>
  <c r="L6" i="355" s="1"/>
  <c r="F6" i="355"/>
  <c r="A6" i="355"/>
  <c r="A7" i="355" s="1"/>
  <c r="A8" i="355" s="1"/>
  <c r="A9" i="355" s="1"/>
  <c r="S5" i="355"/>
  <c r="N5" i="355"/>
  <c r="N15" i="355" s="1"/>
  <c r="K5" i="355"/>
  <c r="F5" i="355"/>
  <c r="AC15" i="342"/>
  <c r="AB15" i="342"/>
  <c r="AA15" i="342"/>
  <c r="Z15" i="342"/>
  <c r="Y15" i="342"/>
  <c r="X15" i="342"/>
  <c r="W15" i="342"/>
  <c r="W16" i="342" s="1"/>
  <c r="V15" i="342"/>
  <c r="V16" i="342" s="1"/>
  <c r="U15" i="342"/>
  <c r="U16" i="342" s="1"/>
  <c r="U17" i="342" s="1"/>
  <c r="T15" i="342"/>
  <c r="T16" i="342" s="1"/>
  <c r="T17" i="342" s="1"/>
  <c r="S15" i="342"/>
  <c r="S16" i="342" s="1"/>
  <c r="R15" i="342"/>
  <c r="R16" i="342" s="1"/>
  <c r="Q15" i="342"/>
  <c r="Q16" i="342" s="1"/>
  <c r="Q17" i="342" s="1"/>
  <c r="P15" i="342"/>
  <c r="P16" i="342" s="1"/>
  <c r="P17" i="342" s="1"/>
  <c r="O15" i="342"/>
  <c r="O16" i="342" s="1"/>
  <c r="N15" i="342"/>
  <c r="N16" i="342" s="1"/>
  <c r="M15" i="342"/>
  <c r="M16" i="342" s="1"/>
  <c r="M17" i="342" s="1"/>
  <c r="L15" i="342"/>
  <c r="L16" i="342" s="1"/>
  <c r="L17" i="342" s="1"/>
  <c r="K15" i="342"/>
  <c r="K16" i="342" s="1"/>
  <c r="J15" i="342"/>
  <c r="J16" i="342" s="1"/>
  <c r="I15" i="342"/>
  <c r="I16" i="342" s="1"/>
  <c r="I17" i="342" s="1"/>
  <c r="H15" i="342"/>
  <c r="H16" i="342" s="1"/>
  <c r="H17" i="342" s="1"/>
  <c r="G15" i="342"/>
  <c r="G16" i="342" s="1"/>
  <c r="F15" i="342"/>
  <c r="F16" i="342" s="1"/>
  <c r="E15" i="342"/>
  <c r="E16" i="342" s="1"/>
  <c r="E17" i="342" s="1"/>
  <c r="D15" i="342"/>
  <c r="D16" i="342" s="1"/>
  <c r="D17" i="342" s="1"/>
  <c r="C15" i="342"/>
  <c r="B15" i="342"/>
  <c r="AC13" i="342"/>
  <c r="AB13" i="342"/>
  <c r="AA13" i="342"/>
  <c r="Z13" i="342"/>
  <c r="Y13" i="342"/>
  <c r="X13" i="342"/>
  <c r="W13" i="342"/>
  <c r="V13" i="342"/>
  <c r="U13" i="342"/>
  <c r="T13" i="342"/>
  <c r="S13" i="342"/>
  <c r="R13" i="342"/>
  <c r="Q13" i="342"/>
  <c r="P13" i="342"/>
  <c r="O13" i="342"/>
  <c r="N13" i="342"/>
  <c r="M13" i="342"/>
  <c r="L13" i="342"/>
  <c r="K13" i="342"/>
  <c r="J13" i="342"/>
  <c r="I13" i="342"/>
  <c r="H13" i="342"/>
  <c r="G13" i="342"/>
  <c r="F13" i="342"/>
  <c r="E13" i="342"/>
  <c r="D13" i="342"/>
  <c r="C13" i="342"/>
  <c r="B13" i="342"/>
  <c r="AC12" i="342"/>
  <c r="AB12" i="342"/>
  <c r="AA12" i="342"/>
  <c r="Z12" i="342"/>
  <c r="Y12" i="342"/>
  <c r="X12" i="342"/>
  <c r="W12" i="342"/>
  <c r="V12" i="342"/>
  <c r="U12" i="342"/>
  <c r="T12" i="342"/>
  <c r="S12" i="342"/>
  <c r="R12" i="342"/>
  <c r="Q12" i="342"/>
  <c r="P12" i="342"/>
  <c r="O12" i="342"/>
  <c r="N12" i="342"/>
  <c r="M12" i="342"/>
  <c r="L12" i="342"/>
  <c r="K12" i="342"/>
  <c r="J12" i="342"/>
  <c r="I12" i="342"/>
  <c r="H12" i="342"/>
  <c r="G12" i="342"/>
  <c r="F12" i="342"/>
  <c r="E12" i="342"/>
  <c r="D12" i="342"/>
  <c r="C12" i="342"/>
  <c r="B12" i="342"/>
  <c r="AC11" i="342"/>
  <c r="AB11" i="342"/>
  <c r="AA11" i="342"/>
  <c r="Z11" i="342"/>
  <c r="Y11" i="342"/>
  <c r="X11" i="342"/>
  <c r="W11" i="342"/>
  <c r="V11" i="342"/>
  <c r="U11" i="342"/>
  <c r="T11" i="342"/>
  <c r="S11" i="342"/>
  <c r="R11" i="342"/>
  <c r="Q11" i="342"/>
  <c r="P11" i="342"/>
  <c r="O11" i="342"/>
  <c r="N11" i="342"/>
  <c r="M11" i="342"/>
  <c r="L11" i="342"/>
  <c r="K11" i="342"/>
  <c r="J11" i="342"/>
  <c r="I11" i="342"/>
  <c r="H11" i="342"/>
  <c r="G11" i="342"/>
  <c r="F11" i="342"/>
  <c r="E11" i="342"/>
  <c r="D11" i="342"/>
  <c r="C11" i="342"/>
  <c r="B11" i="342"/>
  <c r="AC10" i="342"/>
  <c r="AB10" i="342"/>
  <c r="AA10" i="342"/>
  <c r="Z10" i="342"/>
  <c r="Y10" i="342"/>
  <c r="X10" i="342"/>
  <c r="W10" i="342"/>
  <c r="V10" i="342"/>
  <c r="U10" i="342"/>
  <c r="T10" i="342"/>
  <c r="S10" i="342"/>
  <c r="R10" i="342"/>
  <c r="Q10" i="342"/>
  <c r="P10" i="342"/>
  <c r="O10" i="342"/>
  <c r="N10" i="342"/>
  <c r="M10" i="342"/>
  <c r="L10" i="342"/>
  <c r="K10" i="342"/>
  <c r="J10" i="342"/>
  <c r="I10" i="342"/>
  <c r="H10" i="342"/>
  <c r="G10" i="342"/>
  <c r="F10" i="342"/>
  <c r="E10" i="342"/>
  <c r="D10" i="342"/>
  <c r="C10" i="342"/>
  <c r="B10" i="342"/>
  <c r="AC9" i="342"/>
  <c r="AB9" i="342"/>
  <c r="AA9" i="342"/>
  <c r="Z9" i="342"/>
  <c r="Y9" i="342"/>
  <c r="X9" i="342"/>
  <c r="W9" i="342"/>
  <c r="V9" i="342"/>
  <c r="U9" i="342"/>
  <c r="T9" i="342"/>
  <c r="S9" i="342"/>
  <c r="R9" i="342"/>
  <c r="Q9" i="342"/>
  <c r="P9" i="342"/>
  <c r="O9" i="342"/>
  <c r="N9" i="342"/>
  <c r="M9" i="342"/>
  <c r="L9" i="342"/>
  <c r="K9" i="342"/>
  <c r="J9" i="342"/>
  <c r="I9" i="342"/>
  <c r="H9" i="342"/>
  <c r="G9" i="342"/>
  <c r="F9" i="342"/>
  <c r="E9" i="342"/>
  <c r="D9" i="342"/>
  <c r="C9" i="342"/>
  <c r="B9" i="342"/>
  <c r="AC8" i="342"/>
  <c r="AB8" i="342"/>
  <c r="AA8" i="342"/>
  <c r="Z8" i="342"/>
  <c r="Y8" i="342"/>
  <c r="X8" i="342"/>
  <c r="W8" i="342"/>
  <c r="V8" i="342"/>
  <c r="U8" i="342"/>
  <c r="T8" i="342"/>
  <c r="S8" i="342"/>
  <c r="R8" i="342"/>
  <c r="Q8" i="342"/>
  <c r="P8" i="342"/>
  <c r="O8" i="342"/>
  <c r="N8" i="342"/>
  <c r="M8" i="342"/>
  <c r="L8" i="342"/>
  <c r="K8" i="342"/>
  <c r="J8" i="342"/>
  <c r="I8" i="342"/>
  <c r="H8" i="342"/>
  <c r="G8" i="342"/>
  <c r="F8" i="342"/>
  <c r="E8" i="342"/>
  <c r="D8" i="342"/>
  <c r="C8" i="342"/>
  <c r="B8" i="342"/>
  <c r="AC7" i="342"/>
  <c r="AB7" i="342"/>
  <c r="AA7" i="342"/>
  <c r="Z7" i="342"/>
  <c r="Y7" i="342"/>
  <c r="X7" i="342"/>
  <c r="W7" i="342"/>
  <c r="V7" i="342"/>
  <c r="U7" i="342"/>
  <c r="T7" i="342"/>
  <c r="S7" i="342"/>
  <c r="R7" i="342"/>
  <c r="Q7" i="342"/>
  <c r="P7" i="342"/>
  <c r="O7" i="342"/>
  <c r="N7" i="342"/>
  <c r="M7" i="342"/>
  <c r="L7" i="342"/>
  <c r="K7" i="342"/>
  <c r="J7" i="342"/>
  <c r="I7" i="342"/>
  <c r="H7" i="342"/>
  <c r="G7" i="342"/>
  <c r="F7" i="342"/>
  <c r="E7" i="342"/>
  <c r="D7" i="342"/>
  <c r="C7" i="342"/>
  <c r="B7" i="342"/>
  <c r="AC6" i="342"/>
  <c r="AB6" i="342"/>
  <c r="AA6" i="342"/>
  <c r="Z6" i="342"/>
  <c r="Y6" i="342"/>
  <c r="X6" i="342"/>
  <c r="W6" i="342"/>
  <c r="V6" i="342"/>
  <c r="U6" i="342"/>
  <c r="T6" i="342"/>
  <c r="S6" i="342"/>
  <c r="R6" i="342"/>
  <c r="Q6" i="342"/>
  <c r="P6" i="342"/>
  <c r="O6" i="342"/>
  <c r="N6" i="342"/>
  <c r="M6" i="342"/>
  <c r="L6" i="342"/>
  <c r="K6" i="342"/>
  <c r="J6" i="342"/>
  <c r="I6" i="342"/>
  <c r="H6" i="342"/>
  <c r="G6" i="342"/>
  <c r="F6" i="342"/>
  <c r="E6" i="342"/>
  <c r="D6" i="342"/>
  <c r="C6" i="342"/>
  <c r="B6" i="342"/>
  <c r="A6" i="342"/>
  <c r="A7" i="342" s="1"/>
  <c r="A8" i="342" s="1"/>
  <c r="A9" i="342" s="1"/>
  <c r="A10" i="342" s="1"/>
  <c r="A11" i="342" s="1"/>
  <c r="A12" i="342" s="1"/>
  <c r="A13" i="342" s="1"/>
  <c r="A15" i="342" s="1"/>
  <c r="A17" i="342" s="1"/>
  <c r="AC5" i="342"/>
  <c r="AB5" i="342"/>
  <c r="AA5" i="342"/>
  <c r="AA17" i="342" s="1"/>
  <c r="Z5" i="342"/>
  <c r="Z17" i="342" s="1"/>
  <c r="Y5" i="342"/>
  <c r="Y17" i="342" s="1"/>
  <c r="X5" i="342"/>
  <c r="X17" i="342" s="1"/>
  <c r="W5" i="342"/>
  <c r="W14" i="342" s="1"/>
  <c r="V5" i="342"/>
  <c r="V14" i="342" s="1"/>
  <c r="U5" i="342"/>
  <c r="U14" i="342" s="1"/>
  <c r="T5" i="342"/>
  <c r="T14" i="342" s="1"/>
  <c r="S5" i="342"/>
  <c r="S14" i="342" s="1"/>
  <c r="R5" i="342"/>
  <c r="R14" i="342" s="1"/>
  <c r="Q5" i="342"/>
  <c r="Q14" i="342" s="1"/>
  <c r="P5" i="342"/>
  <c r="P14" i="342" s="1"/>
  <c r="O5" i="342"/>
  <c r="O14" i="342" s="1"/>
  <c r="N5" i="342"/>
  <c r="N14" i="342" s="1"/>
  <c r="M5" i="342"/>
  <c r="M14" i="342" s="1"/>
  <c r="L5" i="342"/>
  <c r="L14" i="342" s="1"/>
  <c r="K5" i="342"/>
  <c r="K14" i="342" s="1"/>
  <c r="J5" i="342"/>
  <c r="J14" i="342" s="1"/>
  <c r="I5" i="342"/>
  <c r="I14" i="342" s="1"/>
  <c r="H5" i="342"/>
  <c r="H14" i="342" s="1"/>
  <c r="G5" i="342"/>
  <c r="G14" i="342" s="1"/>
  <c r="F5" i="342"/>
  <c r="F14" i="342" s="1"/>
  <c r="E5" i="342"/>
  <c r="E14" i="342" s="1"/>
  <c r="D5" i="342"/>
  <c r="D14" i="342" s="1"/>
  <c r="C5" i="342"/>
  <c r="B5" i="342"/>
  <c r="AB8" i="354"/>
  <c r="AA8" i="354"/>
  <c r="Y12" i="12" s="1"/>
  <c r="Q9" i="44" s="1"/>
  <c r="Z8" i="354"/>
  <c r="X12" i="12" s="1"/>
  <c r="Y8" i="354"/>
  <c r="X8" i="354"/>
  <c r="V8" i="354"/>
  <c r="R8" i="354"/>
  <c r="P12" i="12" s="1"/>
  <c r="Q8" i="354"/>
  <c r="J8" i="354"/>
  <c r="I8" i="354"/>
  <c r="H8" i="354"/>
  <c r="F12" i="12" s="1"/>
  <c r="G8" i="354"/>
  <c r="E12" i="12" s="1"/>
  <c r="E8" i="354"/>
  <c r="A8" i="354"/>
  <c r="S7" i="354"/>
  <c r="K7" i="354"/>
  <c r="L7" i="354" s="1"/>
  <c r="P7" i="354" s="1"/>
  <c r="D7" i="354"/>
  <c r="F7" i="354" s="1"/>
  <c r="S6" i="354"/>
  <c r="K6" i="354"/>
  <c r="L6" i="354" s="1"/>
  <c r="S5" i="354"/>
  <c r="N8" i="354"/>
  <c r="L12" i="12" s="1"/>
  <c r="K5" i="354"/>
  <c r="D5" i="354"/>
  <c r="D8" i="354" s="1"/>
  <c r="S13" i="353"/>
  <c r="K13" i="353"/>
  <c r="D13" i="353"/>
  <c r="Y11" i="12"/>
  <c r="Q8" i="44" s="1"/>
  <c r="S12" i="353"/>
  <c r="K12" i="353"/>
  <c r="S11" i="353"/>
  <c r="K11" i="353"/>
  <c r="L11" i="353" s="1"/>
  <c r="S10" i="353"/>
  <c r="K10" i="353"/>
  <c r="L10" i="353" s="1"/>
  <c r="S9" i="353"/>
  <c r="K9" i="353"/>
  <c r="L9" i="353" s="1"/>
  <c r="P9" i="353" s="1"/>
  <c r="F9" i="353"/>
  <c r="S8" i="353"/>
  <c r="K8" i="353"/>
  <c r="L8" i="353" s="1"/>
  <c r="D8" i="353"/>
  <c r="F8" i="353" s="1"/>
  <c r="S7" i="353"/>
  <c r="K7" i="353"/>
  <c r="D7" i="353"/>
  <c r="F7" i="353" s="1"/>
  <c r="S6" i="353"/>
  <c r="K6" i="353"/>
  <c r="L6" i="353" s="1"/>
  <c r="P6" i="353" s="1"/>
  <c r="D6" i="353"/>
  <c r="F6" i="353" s="1"/>
  <c r="S5" i="353"/>
  <c r="K5" i="353"/>
  <c r="D5" i="353"/>
  <c r="Z23" i="341"/>
  <c r="Y23" i="341"/>
  <c r="X23" i="341"/>
  <c r="V23" i="341"/>
  <c r="R23" i="341"/>
  <c r="J23" i="341"/>
  <c r="I23" i="341"/>
  <c r="G23" i="341"/>
  <c r="E23" i="341"/>
  <c r="AA22" i="341"/>
  <c r="AA23" i="341" s="1"/>
  <c r="S22" i="341"/>
  <c r="N22" i="341"/>
  <c r="K22" i="341"/>
  <c r="L22" i="341" s="1"/>
  <c r="D22" i="341"/>
  <c r="F22" i="341" s="1"/>
  <c r="S21" i="341"/>
  <c r="L21" i="341"/>
  <c r="K21" i="341"/>
  <c r="F21" i="341"/>
  <c r="N21" i="341" s="1"/>
  <c r="S20" i="341"/>
  <c r="K20" i="341"/>
  <c r="L20" i="341" s="1"/>
  <c r="F20" i="341"/>
  <c r="S19" i="341"/>
  <c r="K19" i="341"/>
  <c r="L19" i="341" s="1"/>
  <c r="F19" i="341"/>
  <c r="N19" i="341" s="1"/>
  <c r="S18" i="341"/>
  <c r="K18" i="341"/>
  <c r="L18" i="341" s="1"/>
  <c r="P18" i="341" s="1"/>
  <c r="F18" i="341"/>
  <c r="N18" i="341" s="1"/>
  <c r="S17" i="341"/>
  <c r="K17" i="341"/>
  <c r="L17" i="341" s="1"/>
  <c r="P17" i="341" s="1"/>
  <c r="F17" i="341"/>
  <c r="D17" i="341"/>
  <c r="S16" i="341"/>
  <c r="K16" i="341"/>
  <c r="L16" i="341" s="1"/>
  <c r="P16" i="341" s="1"/>
  <c r="F16" i="341"/>
  <c r="N16" i="341" s="1"/>
  <c r="S15" i="341"/>
  <c r="N15" i="341"/>
  <c r="K15" i="341"/>
  <c r="L15" i="341" s="1"/>
  <c r="P15" i="341" s="1"/>
  <c r="D15" i="341"/>
  <c r="F15" i="341" s="1"/>
  <c r="S14" i="341"/>
  <c r="K14" i="341"/>
  <c r="L14" i="341" s="1"/>
  <c r="P14" i="341" s="1"/>
  <c r="F14" i="341"/>
  <c r="S13" i="341"/>
  <c r="K13" i="341"/>
  <c r="L13" i="341" s="1"/>
  <c r="P13" i="341" s="1"/>
  <c r="F13" i="341"/>
  <c r="N13" i="341" s="1"/>
  <c r="Q12" i="341"/>
  <c r="S12" i="341" s="1"/>
  <c r="N12" i="341"/>
  <c r="L12" i="341"/>
  <c r="P12" i="341" s="1"/>
  <c r="K12" i="341"/>
  <c r="F12" i="341"/>
  <c r="S11" i="341"/>
  <c r="L11" i="341"/>
  <c r="P11" i="341" s="1"/>
  <c r="K11" i="341"/>
  <c r="F11" i="341"/>
  <c r="N11" i="341" s="1"/>
  <c r="Q10" i="341"/>
  <c r="Q23" i="341" s="1"/>
  <c r="L10" i="341"/>
  <c r="P10" i="341" s="1"/>
  <c r="K10" i="341"/>
  <c r="F10" i="341"/>
  <c r="S9" i="341"/>
  <c r="L9" i="341"/>
  <c r="P9" i="341" s="1"/>
  <c r="K9" i="341"/>
  <c r="F9" i="341"/>
  <c r="N9" i="341" s="1"/>
  <c r="S8" i="341"/>
  <c r="L8" i="341"/>
  <c r="P8" i="341" s="1"/>
  <c r="K8" i="341"/>
  <c r="F8" i="341"/>
  <c r="N8" i="341" s="1"/>
  <c r="S7" i="341"/>
  <c r="L7" i="341"/>
  <c r="P7" i="341" s="1"/>
  <c r="K7" i="341"/>
  <c r="F7" i="341"/>
  <c r="N7" i="341" s="1"/>
  <c r="S6" i="341"/>
  <c r="L6" i="341"/>
  <c r="P6" i="341" s="1"/>
  <c r="K6" i="341"/>
  <c r="H6" i="341"/>
  <c r="H23" i="341" s="1"/>
  <c r="L24" i="341" s="1"/>
  <c r="F6" i="341"/>
  <c r="N6" i="341" s="1"/>
  <c r="A6" i="341"/>
  <c r="A7" i="341" s="1"/>
  <c r="A8" i="341" s="1"/>
  <c r="A9" i="341" s="1"/>
  <c r="A10" i="341" s="1"/>
  <c r="A11" i="341" s="1"/>
  <c r="A12" i="341" s="1"/>
  <c r="A13" i="341" s="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S5" i="341"/>
  <c r="N5" i="341"/>
  <c r="L5" i="341"/>
  <c r="P5" i="341" s="1"/>
  <c r="K5" i="341"/>
  <c r="K23" i="341" s="1"/>
  <c r="F5" i="341"/>
  <c r="F23" i="341" s="1"/>
  <c r="S16" i="352"/>
  <c r="K16" i="352"/>
  <c r="L16" i="352" s="1"/>
  <c r="P16" i="352" s="1"/>
  <c r="D16" i="352"/>
  <c r="S15" i="352"/>
  <c r="K15" i="352"/>
  <c r="L15" i="352" s="1"/>
  <c r="P15" i="352" s="1"/>
  <c r="M15" i="352" s="1"/>
  <c r="F15" i="352"/>
  <c r="S14" i="352"/>
  <c r="K14" i="352"/>
  <c r="L14" i="352" s="1"/>
  <c r="P14" i="352" s="1"/>
  <c r="M14" i="352" s="1"/>
  <c r="F14" i="352"/>
  <c r="S13" i="352"/>
  <c r="K13" i="352"/>
  <c r="L13" i="352" s="1"/>
  <c r="P13" i="352" s="1"/>
  <c r="F13" i="352"/>
  <c r="S12" i="352"/>
  <c r="K12" i="352"/>
  <c r="L12" i="352" s="1"/>
  <c r="P12" i="352" s="1"/>
  <c r="F12" i="352"/>
  <c r="S11" i="352"/>
  <c r="K11" i="352"/>
  <c r="L11" i="352" s="1"/>
  <c r="P11" i="352" s="1"/>
  <c r="F11" i="352"/>
  <c r="S10" i="352"/>
  <c r="K10" i="352"/>
  <c r="L10" i="352" s="1"/>
  <c r="P10" i="352" s="1"/>
  <c r="D10" i="352"/>
  <c r="S9" i="352"/>
  <c r="N17" i="352"/>
  <c r="K9" i="352"/>
  <c r="L9" i="352" s="1"/>
  <c r="P9" i="352" s="1"/>
  <c r="M9" i="352" s="1"/>
  <c r="F9" i="352"/>
  <c r="S8" i="352"/>
  <c r="K8" i="352"/>
  <c r="L8" i="352" s="1"/>
  <c r="P8" i="352" s="1"/>
  <c r="F8" i="352"/>
  <c r="S7" i="352"/>
  <c r="K7" i="352"/>
  <c r="L7" i="352" s="1"/>
  <c r="P7" i="352" s="1"/>
  <c r="F7" i="352"/>
  <c r="S6" i="352"/>
  <c r="K6" i="352"/>
  <c r="L6" i="352" s="1"/>
  <c r="P6" i="352" s="1"/>
  <c r="F6" i="352"/>
  <c r="A6" i="352"/>
  <c r="S5" i="352"/>
  <c r="K5" i="352"/>
  <c r="D5" i="352"/>
  <c r="D17" i="352" s="1"/>
  <c r="AC121" i="340"/>
  <c r="AB121" i="340"/>
  <c r="AA121" i="340"/>
  <c r="Z121" i="340"/>
  <c r="Y121" i="340"/>
  <c r="X121" i="340"/>
  <c r="W121" i="340"/>
  <c r="V121" i="340"/>
  <c r="U121" i="340"/>
  <c r="T121" i="340"/>
  <c r="S121" i="340"/>
  <c r="R121" i="340"/>
  <c r="Q121" i="340"/>
  <c r="P121" i="340"/>
  <c r="O121" i="340"/>
  <c r="N121" i="340"/>
  <c r="M121" i="340"/>
  <c r="L121" i="340"/>
  <c r="K121" i="340"/>
  <c r="J121" i="340"/>
  <c r="I121" i="340"/>
  <c r="H121" i="340"/>
  <c r="G121" i="340"/>
  <c r="F121" i="340"/>
  <c r="E121" i="340"/>
  <c r="D121" i="340"/>
  <c r="C121" i="340"/>
  <c r="B121" i="340"/>
  <c r="AC120" i="340"/>
  <c r="AB120" i="340"/>
  <c r="AA120" i="340"/>
  <c r="Z120" i="340"/>
  <c r="Y120" i="340"/>
  <c r="X120" i="340"/>
  <c r="W120" i="340"/>
  <c r="V120" i="340"/>
  <c r="U120" i="340"/>
  <c r="T120" i="340"/>
  <c r="S120" i="340"/>
  <c r="R120" i="340"/>
  <c r="Q120" i="340"/>
  <c r="P120" i="340"/>
  <c r="O120" i="340"/>
  <c r="N120" i="340"/>
  <c r="M120" i="340"/>
  <c r="L120" i="340"/>
  <c r="K120" i="340"/>
  <c r="J120" i="340"/>
  <c r="I120" i="340"/>
  <c r="H120" i="340"/>
  <c r="G120" i="340"/>
  <c r="F120" i="340"/>
  <c r="E120" i="340"/>
  <c r="D120" i="340"/>
  <c r="C120" i="340"/>
  <c r="B120" i="340"/>
  <c r="AC119" i="340"/>
  <c r="AB119" i="340"/>
  <c r="AA119" i="340"/>
  <c r="Z119" i="340"/>
  <c r="Y119" i="340"/>
  <c r="X119" i="340"/>
  <c r="W119" i="340"/>
  <c r="V119" i="340"/>
  <c r="U119" i="340"/>
  <c r="T119" i="340"/>
  <c r="S119" i="340"/>
  <c r="R119" i="340"/>
  <c r="Q119" i="340"/>
  <c r="P119" i="340"/>
  <c r="O119" i="340"/>
  <c r="N119" i="340"/>
  <c r="M119" i="340"/>
  <c r="L119" i="340"/>
  <c r="K119" i="340"/>
  <c r="J119" i="340"/>
  <c r="I119" i="340"/>
  <c r="H119" i="340"/>
  <c r="G119" i="340"/>
  <c r="F119" i="340"/>
  <c r="E119" i="340"/>
  <c r="D119" i="340"/>
  <c r="C119" i="340"/>
  <c r="B119" i="340"/>
  <c r="AC118" i="340"/>
  <c r="AB118" i="340"/>
  <c r="AA118" i="340"/>
  <c r="Z118" i="340"/>
  <c r="Y118" i="340"/>
  <c r="X118" i="340"/>
  <c r="W118" i="340"/>
  <c r="V118" i="340"/>
  <c r="U118" i="340"/>
  <c r="T118" i="340"/>
  <c r="S118" i="340"/>
  <c r="R118" i="340"/>
  <c r="Q118" i="340"/>
  <c r="P118" i="340"/>
  <c r="O118" i="340"/>
  <c r="N118" i="340"/>
  <c r="M118" i="340"/>
  <c r="L118" i="340"/>
  <c r="K118" i="340"/>
  <c r="J118" i="340"/>
  <c r="I118" i="340"/>
  <c r="H118" i="340"/>
  <c r="G118" i="340"/>
  <c r="F118" i="340"/>
  <c r="E118" i="340"/>
  <c r="D118" i="340"/>
  <c r="C118" i="340"/>
  <c r="B118" i="340"/>
  <c r="AC117" i="340"/>
  <c r="AB117" i="340"/>
  <c r="AA117" i="340"/>
  <c r="Z117" i="340"/>
  <c r="Y117" i="340"/>
  <c r="X117" i="340"/>
  <c r="W117" i="340"/>
  <c r="V117" i="340"/>
  <c r="U117" i="340"/>
  <c r="T117" i="340"/>
  <c r="S117" i="340"/>
  <c r="R117" i="340"/>
  <c r="Q117" i="340"/>
  <c r="P117" i="340"/>
  <c r="O117" i="340"/>
  <c r="N117" i="340"/>
  <c r="M117" i="340"/>
  <c r="L117" i="340"/>
  <c r="K117" i="340"/>
  <c r="J117" i="340"/>
  <c r="I117" i="340"/>
  <c r="H117" i="340"/>
  <c r="G117" i="340"/>
  <c r="F117" i="340"/>
  <c r="E117" i="340"/>
  <c r="D117" i="340"/>
  <c r="C117" i="340"/>
  <c r="B117" i="340"/>
  <c r="AC116" i="340"/>
  <c r="AB116" i="340"/>
  <c r="AA116" i="340"/>
  <c r="Z116" i="340"/>
  <c r="Y116" i="340"/>
  <c r="X116" i="340"/>
  <c r="W116" i="340"/>
  <c r="V116" i="340"/>
  <c r="U116" i="340"/>
  <c r="T116" i="340"/>
  <c r="S116" i="340"/>
  <c r="R116" i="340"/>
  <c r="Q116" i="340"/>
  <c r="P116" i="340"/>
  <c r="O116" i="340"/>
  <c r="N116" i="340"/>
  <c r="M116" i="340"/>
  <c r="L116" i="340"/>
  <c r="K116" i="340"/>
  <c r="J116" i="340"/>
  <c r="I116" i="340"/>
  <c r="H116" i="340"/>
  <c r="G116" i="340"/>
  <c r="F116" i="340"/>
  <c r="E116" i="340"/>
  <c r="D116" i="340"/>
  <c r="C116" i="340"/>
  <c r="B116" i="340"/>
  <c r="AC115" i="340"/>
  <c r="AB115" i="340"/>
  <c r="AA115" i="340"/>
  <c r="AA122" i="340" s="1"/>
  <c r="Z115" i="340"/>
  <c r="Z122" i="340" s="1"/>
  <c r="Y115" i="340"/>
  <c r="Y122" i="340" s="1"/>
  <c r="X115" i="340"/>
  <c r="X122" i="340" s="1"/>
  <c r="W115" i="340"/>
  <c r="W122" i="340" s="1"/>
  <c r="V115" i="340"/>
  <c r="V122" i="340" s="1"/>
  <c r="U115" i="340"/>
  <c r="U122" i="340" s="1"/>
  <c r="T115" i="340"/>
  <c r="T122" i="340" s="1"/>
  <c r="S115" i="340"/>
  <c r="S122" i="340" s="1"/>
  <c r="R115" i="340"/>
  <c r="R122" i="340" s="1"/>
  <c r="Q115" i="340"/>
  <c r="Q122" i="340" s="1"/>
  <c r="P115" i="340"/>
  <c r="P122" i="340" s="1"/>
  <c r="O115" i="340"/>
  <c r="O122" i="340" s="1"/>
  <c r="N115" i="340"/>
  <c r="N122" i="340" s="1"/>
  <c r="M115" i="340"/>
  <c r="M122" i="340" s="1"/>
  <c r="L115" i="340"/>
  <c r="L122" i="340" s="1"/>
  <c r="K115" i="340"/>
  <c r="K122" i="340" s="1"/>
  <c r="J115" i="340"/>
  <c r="J122" i="340" s="1"/>
  <c r="I115" i="340"/>
  <c r="I122" i="340" s="1"/>
  <c r="H115" i="340"/>
  <c r="H122" i="340" s="1"/>
  <c r="G115" i="340"/>
  <c r="G122" i="340" s="1"/>
  <c r="F115" i="340"/>
  <c r="F122" i="340" s="1"/>
  <c r="E115" i="340"/>
  <c r="E122" i="340" s="1"/>
  <c r="D115" i="340"/>
  <c r="D122" i="340" s="1"/>
  <c r="C115" i="340"/>
  <c r="B115" i="340"/>
  <c r="AC113" i="340"/>
  <c r="AB113" i="340"/>
  <c r="AA113" i="340"/>
  <c r="Z113" i="340"/>
  <c r="Y113" i="340"/>
  <c r="X113" i="340"/>
  <c r="W113" i="340"/>
  <c r="V113" i="340"/>
  <c r="U113" i="340"/>
  <c r="T113" i="340"/>
  <c r="S113" i="340"/>
  <c r="R113" i="340"/>
  <c r="Q113" i="340"/>
  <c r="P113" i="340"/>
  <c r="O113" i="340"/>
  <c r="N113" i="340"/>
  <c r="M113" i="340"/>
  <c r="L113" i="340"/>
  <c r="K113" i="340"/>
  <c r="J113" i="340"/>
  <c r="I113" i="340"/>
  <c r="H113" i="340"/>
  <c r="G113" i="340"/>
  <c r="F113" i="340"/>
  <c r="E113" i="340"/>
  <c r="D113" i="340"/>
  <c r="C113" i="340"/>
  <c r="B113" i="340"/>
  <c r="AC112" i="340"/>
  <c r="AB112" i="340"/>
  <c r="AA112" i="340"/>
  <c r="Z112" i="340"/>
  <c r="Y112" i="340"/>
  <c r="X112" i="340"/>
  <c r="W112" i="340"/>
  <c r="V112" i="340"/>
  <c r="U112" i="340"/>
  <c r="T112" i="340"/>
  <c r="S112" i="340"/>
  <c r="R112" i="340"/>
  <c r="Q112" i="340"/>
  <c r="P112" i="340"/>
  <c r="O112" i="340"/>
  <c r="N112" i="340"/>
  <c r="M112" i="340"/>
  <c r="L112" i="340"/>
  <c r="K112" i="340"/>
  <c r="J112" i="340"/>
  <c r="I112" i="340"/>
  <c r="H112" i="340"/>
  <c r="G112" i="340"/>
  <c r="F112" i="340"/>
  <c r="E112" i="340"/>
  <c r="D112" i="340"/>
  <c r="C112" i="340"/>
  <c r="B112" i="340"/>
  <c r="AC111" i="340"/>
  <c r="AB111" i="340"/>
  <c r="AA111" i="340"/>
  <c r="Z111" i="340"/>
  <c r="Y111" i="340"/>
  <c r="X111" i="340"/>
  <c r="W111" i="340"/>
  <c r="V111" i="340"/>
  <c r="U111" i="340"/>
  <c r="T111" i="340"/>
  <c r="S111" i="340"/>
  <c r="R111" i="340"/>
  <c r="Q111" i="340"/>
  <c r="P111" i="340"/>
  <c r="O111" i="340"/>
  <c r="N111" i="340"/>
  <c r="M111" i="340"/>
  <c r="L111" i="340"/>
  <c r="K111" i="340"/>
  <c r="J111" i="340"/>
  <c r="I111" i="340"/>
  <c r="H111" i="340"/>
  <c r="G111" i="340"/>
  <c r="F111" i="340"/>
  <c r="E111" i="340"/>
  <c r="D111" i="340"/>
  <c r="C111" i="340"/>
  <c r="B111" i="340"/>
  <c r="AC110" i="340"/>
  <c r="AB110" i="340"/>
  <c r="AA110" i="340"/>
  <c r="Z110" i="340"/>
  <c r="Y110" i="340"/>
  <c r="X110" i="340"/>
  <c r="W110" i="340"/>
  <c r="V110" i="340"/>
  <c r="U110" i="340"/>
  <c r="T110" i="340"/>
  <c r="S110" i="340"/>
  <c r="R110" i="340"/>
  <c r="Q110" i="340"/>
  <c r="P110" i="340"/>
  <c r="O110" i="340"/>
  <c r="N110" i="340"/>
  <c r="M110" i="340"/>
  <c r="L110" i="340"/>
  <c r="K110" i="340"/>
  <c r="J110" i="340"/>
  <c r="I110" i="340"/>
  <c r="H110" i="340"/>
  <c r="G110" i="340"/>
  <c r="F110" i="340"/>
  <c r="E110" i="340"/>
  <c r="D110" i="340"/>
  <c r="C110" i="340"/>
  <c r="B110" i="340"/>
  <c r="AC109" i="340"/>
  <c r="AB109" i="340"/>
  <c r="AA109" i="340"/>
  <c r="AA114" i="340" s="1"/>
  <c r="Z109" i="340"/>
  <c r="Z114" i="340" s="1"/>
  <c r="Y109" i="340"/>
  <c r="Y114" i="340" s="1"/>
  <c r="X109" i="340"/>
  <c r="X114" i="340" s="1"/>
  <c r="W109" i="340"/>
  <c r="W114" i="340" s="1"/>
  <c r="V109" i="340"/>
  <c r="V114" i="340" s="1"/>
  <c r="U109" i="340"/>
  <c r="U114" i="340" s="1"/>
  <c r="T109" i="340"/>
  <c r="T114" i="340" s="1"/>
  <c r="S109" i="340"/>
  <c r="S114" i="340" s="1"/>
  <c r="R109" i="340"/>
  <c r="R114" i="340" s="1"/>
  <c r="Q109" i="340"/>
  <c r="Q114" i="340" s="1"/>
  <c r="P109" i="340"/>
  <c r="P114" i="340" s="1"/>
  <c r="O109" i="340"/>
  <c r="O114" i="340" s="1"/>
  <c r="N109" i="340"/>
  <c r="N114" i="340" s="1"/>
  <c r="M109" i="340"/>
  <c r="M114" i="340" s="1"/>
  <c r="L109" i="340"/>
  <c r="L114" i="340" s="1"/>
  <c r="K109" i="340"/>
  <c r="K114" i="340" s="1"/>
  <c r="J109" i="340"/>
  <c r="J114" i="340" s="1"/>
  <c r="I109" i="340"/>
  <c r="I114" i="340" s="1"/>
  <c r="H109" i="340"/>
  <c r="H114" i="340" s="1"/>
  <c r="G109" i="340"/>
  <c r="G114" i="340" s="1"/>
  <c r="F109" i="340"/>
  <c r="F114" i="340" s="1"/>
  <c r="E109" i="340"/>
  <c r="E114" i="340" s="1"/>
  <c r="D109" i="340"/>
  <c r="D114" i="340" s="1"/>
  <c r="C109" i="340"/>
  <c r="B109" i="340"/>
  <c r="Z108" i="340"/>
  <c r="V108" i="340"/>
  <c r="R108" i="340"/>
  <c r="N108" i="340"/>
  <c r="J108" i="340"/>
  <c r="F108" i="340"/>
  <c r="AC107" i="340"/>
  <c r="AB107" i="340"/>
  <c r="AA107" i="340"/>
  <c r="Z107" i="340"/>
  <c r="Y107" i="340"/>
  <c r="X107" i="340"/>
  <c r="W107" i="340"/>
  <c r="V107" i="340"/>
  <c r="U107" i="340"/>
  <c r="T107" i="340"/>
  <c r="S107" i="340"/>
  <c r="R107" i="340"/>
  <c r="Q107" i="340"/>
  <c r="P107" i="340"/>
  <c r="O107" i="340"/>
  <c r="N107" i="340"/>
  <c r="M107" i="340"/>
  <c r="L107" i="340"/>
  <c r="K107" i="340"/>
  <c r="J107" i="340"/>
  <c r="I107" i="340"/>
  <c r="H107" i="340"/>
  <c r="G107" i="340"/>
  <c r="F107" i="340"/>
  <c r="E107" i="340"/>
  <c r="D107" i="340"/>
  <c r="C107" i="340"/>
  <c r="B107" i="340"/>
  <c r="AC106" i="340"/>
  <c r="AB106" i="340"/>
  <c r="AA106" i="340"/>
  <c r="AA108" i="340" s="1"/>
  <c r="Z106" i="340"/>
  <c r="Y106" i="340"/>
  <c r="Y108" i="340" s="1"/>
  <c r="X106" i="340"/>
  <c r="X108" i="340" s="1"/>
  <c r="W106" i="340"/>
  <c r="W108" i="340" s="1"/>
  <c r="V106" i="340"/>
  <c r="U106" i="340"/>
  <c r="U108" i="340" s="1"/>
  <c r="T106" i="340"/>
  <c r="T108" i="340" s="1"/>
  <c r="S106" i="340"/>
  <c r="S108" i="340" s="1"/>
  <c r="R106" i="340"/>
  <c r="Q106" i="340"/>
  <c r="Q108" i="340" s="1"/>
  <c r="P106" i="340"/>
  <c r="P108" i="340" s="1"/>
  <c r="O106" i="340"/>
  <c r="O108" i="340" s="1"/>
  <c r="N106" i="340"/>
  <c r="M106" i="340"/>
  <c r="M108" i="340" s="1"/>
  <c r="L106" i="340"/>
  <c r="L108" i="340" s="1"/>
  <c r="K106" i="340"/>
  <c r="K108" i="340" s="1"/>
  <c r="J106" i="340"/>
  <c r="I106" i="340"/>
  <c r="I108" i="340" s="1"/>
  <c r="H106" i="340"/>
  <c r="H108" i="340" s="1"/>
  <c r="G106" i="340"/>
  <c r="G108" i="340" s="1"/>
  <c r="F106" i="340"/>
  <c r="E106" i="340"/>
  <c r="E108" i="340" s="1"/>
  <c r="D106" i="340"/>
  <c r="D108" i="340" s="1"/>
  <c r="C106" i="340"/>
  <c r="B106" i="340"/>
  <c r="AC104" i="340"/>
  <c r="AB104" i="340"/>
  <c r="AA104" i="340"/>
  <c r="Z104" i="340"/>
  <c r="Y104" i="340"/>
  <c r="X104" i="340"/>
  <c r="W104" i="340"/>
  <c r="V104" i="340"/>
  <c r="U104" i="340"/>
  <c r="T104" i="340"/>
  <c r="S104" i="340"/>
  <c r="R104" i="340"/>
  <c r="Q104" i="340"/>
  <c r="P104" i="340"/>
  <c r="O104" i="340"/>
  <c r="N104" i="340"/>
  <c r="M104" i="340"/>
  <c r="L104" i="340"/>
  <c r="K104" i="340"/>
  <c r="J104" i="340"/>
  <c r="I104" i="340"/>
  <c r="H104" i="340"/>
  <c r="G104" i="340"/>
  <c r="F104" i="340"/>
  <c r="E104" i="340"/>
  <c r="D104" i="340"/>
  <c r="C104" i="340"/>
  <c r="B104" i="340"/>
  <c r="AC103" i="340"/>
  <c r="AB103" i="340"/>
  <c r="AA103" i="340"/>
  <c r="Z103" i="340"/>
  <c r="Y103" i="340"/>
  <c r="X103" i="340"/>
  <c r="W103" i="340"/>
  <c r="V103" i="340"/>
  <c r="U103" i="340"/>
  <c r="T103" i="340"/>
  <c r="S103" i="340"/>
  <c r="R103" i="340"/>
  <c r="Q103" i="340"/>
  <c r="P103" i="340"/>
  <c r="O103" i="340"/>
  <c r="N103" i="340"/>
  <c r="M103" i="340"/>
  <c r="L103" i="340"/>
  <c r="K103" i="340"/>
  <c r="J103" i="340"/>
  <c r="I103" i="340"/>
  <c r="H103" i="340"/>
  <c r="G103" i="340"/>
  <c r="F103" i="340"/>
  <c r="E103" i="340"/>
  <c r="D103" i="340"/>
  <c r="C103" i="340"/>
  <c r="B103" i="340"/>
  <c r="AC102" i="340"/>
  <c r="AB102" i="340"/>
  <c r="AA102" i="340"/>
  <c r="AA105" i="340" s="1"/>
  <c r="Z102" i="340"/>
  <c r="Z105" i="340" s="1"/>
  <c r="Y102" i="340"/>
  <c r="Y105" i="340" s="1"/>
  <c r="X102" i="340"/>
  <c r="X105" i="340" s="1"/>
  <c r="W102" i="340"/>
  <c r="W105" i="340" s="1"/>
  <c r="V102" i="340"/>
  <c r="V105" i="340" s="1"/>
  <c r="U102" i="340"/>
  <c r="U105" i="340" s="1"/>
  <c r="T102" i="340"/>
  <c r="T105" i="340" s="1"/>
  <c r="S102" i="340"/>
  <c r="S105" i="340" s="1"/>
  <c r="R102" i="340"/>
  <c r="R105" i="340" s="1"/>
  <c r="Q102" i="340"/>
  <c r="Q105" i="340" s="1"/>
  <c r="P102" i="340"/>
  <c r="P105" i="340" s="1"/>
  <c r="O102" i="340"/>
  <c r="O105" i="340" s="1"/>
  <c r="N102" i="340"/>
  <c r="N105" i="340" s="1"/>
  <c r="M102" i="340"/>
  <c r="M105" i="340" s="1"/>
  <c r="L102" i="340"/>
  <c r="L105" i="340" s="1"/>
  <c r="K102" i="340"/>
  <c r="K105" i="340" s="1"/>
  <c r="J102" i="340"/>
  <c r="J105" i="340" s="1"/>
  <c r="I102" i="340"/>
  <c r="I105" i="340" s="1"/>
  <c r="H102" i="340"/>
  <c r="H105" i="340" s="1"/>
  <c r="G102" i="340"/>
  <c r="G105" i="340" s="1"/>
  <c r="F102" i="340"/>
  <c r="F105" i="340" s="1"/>
  <c r="E102" i="340"/>
  <c r="E105" i="340" s="1"/>
  <c r="D102" i="340"/>
  <c r="D105" i="340" s="1"/>
  <c r="C102" i="340"/>
  <c r="B102" i="340"/>
  <c r="AC100" i="340"/>
  <c r="AB100" i="340"/>
  <c r="AA100" i="340"/>
  <c r="Z100" i="340"/>
  <c r="Y100" i="340"/>
  <c r="X100" i="340"/>
  <c r="W100" i="340"/>
  <c r="V100" i="340"/>
  <c r="U100" i="340"/>
  <c r="T100" i="340"/>
  <c r="S100" i="340"/>
  <c r="R100" i="340"/>
  <c r="Q100" i="340"/>
  <c r="P100" i="340"/>
  <c r="O100" i="340"/>
  <c r="N100" i="340"/>
  <c r="M100" i="340"/>
  <c r="L100" i="340"/>
  <c r="K100" i="340"/>
  <c r="J100" i="340"/>
  <c r="I100" i="340"/>
  <c r="H100" i="340"/>
  <c r="G100" i="340"/>
  <c r="F100" i="340"/>
  <c r="E100" i="340"/>
  <c r="D100" i="340"/>
  <c r="C100" i="340"/>
  <c r="B100" i="340"/>
  <c r="AC99" i="340"/>
  <c r="AB99" i="340"/>
  <c r="AA99" i="340"/>
  <c r="Z99" i="340"/>
  <c r="Y99" i="340"/>
  <c r="X99" i="340"/>
  <c r="W99" i="340"/>
  <c r="V99" i="340"/>
  <c r="U99" i="340"/>
  <c r="T99" i="340"/>
  <c r="S99" i="340"/>
  <c r="R99" i="340"/>
  <c r="Q99" i="340"/>
  <c r="P99" i="340"/>
  <c r="O99" i="340"/>
  <c r="N99" i="340"/>
  <c r="M99" i="340"/>
  <c r="L99" i="340"/>
  <c r="K99" i="340"/>
  <c r="J99" i="340"/>
  <c r="I99" i="340"/>
  <c r="H99" i="340"/>
  <c r="G99" i="340"/>
  <c r="F99" i="340"/>
  <c r="E99" i="340"/>
  <c r="D99" i="340"/>
  <c r="C99" i="340"/>
  <c r="B99" i="340"/>
  <c r="AC98" i="340"/>
  <c r="AB98" i="340"/>
  <c r="AA98" i="340"/>
  <c r="Z98" i="340"/>
  <c r="Y98" i="340"/>
  <c r="X98" i="340"/>
  <c r="W98" i="340"/>
  <c r="V98" i="340"/>
  <c r="U98" i="340"/>
  <c r="T98" i="340"/>
  <c r="S98" i="340"/>
  <c r="R98" i="340"/>
  <c r="Q98" i="340"/>
  <c r="P98" i="340"/>
  <c r="O98" i="340"/>
  <c r="N98" i="340"/>
  <c r="M98" i="340"/>
  <c r="L98" i="340"/>
  <c r="K98" i="340"/>
  <c r="J98" i="340"/>
  <c r="I98" i="340"/>
  <c r="H98" i="340"/>
  <c r="G98" i="340"/>
  <c r="F98" i="340"/>
  <c r="E98" i="340"/>
  <c r="D98" i="340"/>
  <c r="C98" i="340"/>
  <c r="B98" i="340"/>
  <c r="AC97" i="340"/>
  <c r="AB97" i="340"/>
  <c r="AA97" i="340"/>
  <c r="Z97" i="340"/>
  <c r="Y97" i="340"/>
  <c r="X97" i="340"/>
  <c r="W97" i="340"/>
  <c r="V97" i="340"/>
  <c r="U97" i="340"/>
  <c r="T97" i="340"/>
  <c r="S97" i="340"/>
  <c r="R97" i="340"/>
  <c r="Q97" i="340"/>
  <c r="P97" i="340"/>
  <c r="O97" i="340"/>
  <c r="N97" i="340"/>
  <c r="M97" i="340"/>
  <c r="L97" i="340"/>
  <c r="K97" i="340"/>
  <c r="J97" i="340"/>
  <c r="I97" i="340"/>
  <c r="H97" i="340"/>
  <c r="G97" i="340"/>
  <c r="F97" i="340"/>
  <c r="E97" i="340"/>
  <c r="D97" i="340"/>
  <c r="C97" i="340"/>
  <c r="B97" i="340"/>
  <c r="AC96" i="340"/>
  <c r="AB96" i="340"/>
  <c r="AA96" i="340"/>
  <c r="Z96" i="340"/>
  <c r="Y96" i="340"/>
  <c r="X96" i="340"/>
  <c r="W96" i="340"/>
  <c r="V96" i="340"/>
  <c r="U96" i="340"/>
  <c r="T96" i="340"/>
  <c r="S96" i="340"/>
  <c r="R96" i="340"/>
  <c r="Q96" i="340"/>
  <c r="P96" i="340"/>
  <c r="O96" i="340"/>
  <c r="N96" i="340"/>
  <c r="M96" i="340"/>
  <c r="L96" i="340"/>
  <c r="K96" i="340"/>
  <c r="J96" i="340"/>
  <c r="I96" i="340"/>
  <c r="H96" i="340"/>
  <c r="G96" i="340"/>
  <c r="F96" i="340"/>
  <c r="E96" i="340"/>
  <c r="D96" i="340"/>
  <c r="C96" i="340"/>
  <c r="B96" i="340"/>
  <c r="AC95" i="340"/>
  <c r="AB95" i="340"/>
  <c r="AA95" i="340"/>
  <c r="Z95" i="340"/>
  <c r="Y95" i="340"/>
  <c r="X95" i="340"/>
  <c r="W95" i="340"/>
  <c r="V95" i="340"/>
  <c r="U95" i="340"/>
  <c r="T95" i="340"/>
  <c r="S95" i="340"/>
  <c r="R95" i="340"/>
  <c r="Q95" i="340"/>
  <c r="P95" i="340"/>
  <c r="O95" i="340"/>
  <c r="N95" i="340"/>
  <c r="M95" i="340"/>
  <c r="L95" i="340"/>
  <c r="K95" i="340"/>
  <c r="J95" i="340"/>
  <c r="I95" i="340"/>
  <c r="H95" i="340"/>
  <c r="G95" i="340"/>
  <c r="F95" i="340"/>
  <c r="E95" i="340"/>
  <c r="D95" i="340"/>
  <c r="C95" i="340"/>
  <c r="B95" i="340"/>
  <c r="AC94" i="340"/>
  <c r="AB94" i="340"/>
  <c r="AA94" i="340"/>
  <c r="Z94" i="340"/>
  <c r="Y94" i="340"/>
  <c r="X94" i="340"/>
  <c r="W94" i="340"/>
  <c r="V94" i="340"/>
  <c r="U94" i="340"/>
  <c r="T94" i="340"/>
  <c r="S94" i="340"/>
  <c r="R94" i="340"/>
  <c r="Q94" i="340"/>
  <c r="P94" i="340"/>
  <c r="O94" i="340"/>
  <c r="N94" i="340"/>
  <c r="M94" i="340"/>
  <c r="L94" i="340"/>
  <c r="K94" i="340"/>
  <c r="J94" i="340"/>
  <c r="I94" i="340"/>
  <c r="H94" i="340"/>
  <c r="G94" i="340"/>
  <c r="F94" i="340"/>
  <c r="E94" i="340"/>
  <c r="D94" i="340"/>
  <c r="C94" i="340"/>
  <c r="B94" i="340"/>
  <c r="AC93" i="340"/>
  <c r="AB93" i="340"/>
  <c r="AA93" i="340"/>
  <c r="Z93" i="340"/>
  <c r="Y93" i="340"/>
  <c r="X93" i="340"/>
  <c r="W93" i="340"/>
  <c r="V93" i="340"/>
  <c r="U93" i="340"/>
  <c r="T93" i="340"/>
  <c r="S93" i="340"/>
  <c r="R93" i="340"/>
  <c r="Q93" i="340"/>
  <c r="P93" i="340"/>
  <c r="O93" i="340"/>
  <c r="N93" i="340"/>
  <c r="M93" i="340"/>
  <c r="L93" i="340"/>
  <c r="K93" i="340"/>
  <c r="J93" i="340"/>
  <c r="I93" i="340"/>
  <c r="H93" i="340"/>
  <c r="G93" i="340"/>
  <c r="F93" i="340"/>
  <c r="E93" i="340"/>
  <c r="D93" i="340"/>
  <c r="C93" i="340"/>
  <c r="B93" i="340"/>
  <c r="AC92" i="340"/>
  <c r="AB92" i="340"/>
  <c r="AA92" i="340"/>
  <c r="AA101" i="340" s="1"/>
  <c r="Z92" i="340"/>
  <c r="Z101" i="340" s="1"/>
  <c r="Y92" i="340"/>
  <c r="Y101" i="340" s="1"/>
  <c r="X92" i="340"/>
  <c r="X101" i="340" s="1"/>
  <c r="W92" i="340"/>
  <c r="W101" i="340" s="1"/>
  <c r="V92" i="340"/>
  <c r="V101" i="340" s="1"/>
  <c r="U92" i="340"/>
  <c r="U101" i="340" s="1"/>
  <c r="T92" i="340"/>
  <c r="T101" i="340" s="1"/>
  <c r="S92" i="340"/>
  <c r="S101" i="340" s="1"/>
  <c r="R92" i="340"/>
  <c r="R101" i="340" s="1"/>
  <c r="Q92" i="340"/>
  <c r="Q101" i="340" s="1"/>
  <c r="P92" i="340"/>
  <c r="P101" i="340" s="1"/>
  <c r="O92" i="340"/>
  <c r="O101" i="340" s="1"/>
  <c r="N92" i="340"/>
  <c r="N101" i="340" s="1"/>
  <c r="M92" i="340"/>
  <c r="M101" i="340" s="1"/>
  <c r="L92" i="340"/>
  <c r="L101" i="340" s="1"/>
  <c r="K92" i="340"/>
  <c r="K101" i="340" s="1"/>
  <c r="J92" i="340"/>
  <c r="J101" i="340" s="1"/>
  <c r="I92" i="340"/>
  <c r="I101" i="340" s="1"/>
  <c r="H92" i="340"/>
  <c r="H101" i="340" s="1"/>
  <c r="G92" i="340"/>
  <c r="G101" i="340" s="1"/>
  <c r="F92" i="340"/>
  <c r="F101" i="340" s="1"/>
  <c r="E92" i="340"/>
  <c r="E101" i="340" s="1"/>
  <c r="D92" i="340"/>
  <c r="D101" i="340" s="1"/>
  <c r="C92" i="340"/>
  <c r="B92" i="340"/>
  <c r="AC90" i="340"/>
  <c r="AB90" i="340"/>
  <c r="AA90" i="340"/>
  <c r="Z90" i="340"/>
  <c r="Y90" i="340"/>
  <c r="X90" i="340"/>
  <c r="W90" i="340"/>
  <c r="V90" i="340"/>
  <c r="U90" i="340"/>
  <c r="T90" i="340"/>
  <c r="S90" i="340"/>
  <c r="R90" i="340"/>
  <c r="Q90" i="340"/>
  <c r="P90" i="340"/>
  <c r="O90" i="340"/>
  <c r="N90" i="340"/>
  <c r="M90" i="340"/>
  <c r="L90" i="340"/>
  <c r="K90" i="340"/>
  <c r="J90" i="340"/>
  <c r="I90" i="340"/>
  <c r="H90" i="340"/>
  <c r="G90" i="340"/>
  <c r="F90" i="340"/>
  <c r="E90" i="340"/>
  <c r="D90" i="340"/>
  <c r="C90" i="340"/>
  <c r="B90" i="340"/>
  <c r="AC89" i="340"/>
  <c r="AB89" i="340"/>
  <c r="AA89" i="340"/>
  <c r="Z89" i="340"/>
  <c r="Y89" i="340"/>
  <c r="X89" i="340"/>
  <c r="W89" i="340"/>
  <c r="V89" i="340"/>
  <c r="U89" i="340"/>
  <c r="T89" i="340"/>
  <c r="S89" i="340"/>
  <c r="R89" i="340"/>
  <c r="Q89" i="340"/>
  <c r="P89" i="340"/>
  <c r="O89" i="340"/>
  <c r="N89" i="340"/>
  <c r="M89" i="340"/>
  <c r="L89" i="340"/>
  <c r="K89" i="340"/>
  <c r="J89" i="340"/>
  <c r="I89" i="340"/>
  <c r="H89" i="340"/>
  <c r="G89" i="340"/>
  <c r="F89" i="340"/>
  <c r="E89" i="340"/>
  <c r="D89" i="340"/>
  <c r="C89" i="340"/>
  <c r="B89" i="340"/>
  <c r="AC88" i="340"/>
  <c r="AB88" i="340"/>
  <c r="AA88" i="340"/>
  <c r="Z88" i="340"/>
  <c r="Y88" i="340"/>
  <c r="X88" i="340"/>
  <c r="W88" i="340"/>
  <c r="V88" i="340"/>
  <c r="U88" i="340"/>
  <c r="T88" i="340"/>
  <c r="S88" i="340"/>
  <c r="R88" i="340"/>
  <c r="Q88" i="340"/>
  <c r="P88" i="340"/>
  <c r="O88" i="340"/>
  <c r="N88" i="340"/>
  <c r="M88" i="340"/>
  <c r="L88" i="340"/>
  <c r="K88" i="340"/>
  <c r="J88" i="340"/>
  <c r="I88" i="340"/>
  <c r="H88" i="340"/>
  <c r="G88" i="340"/>
  <c r="F88" i="340"/>
  <c r="E88" i="340"/>
  <c r="D88" i="340"/>
  <c r="C88" i="340"/>
  <c r="B88" i="340"/>
  <c r="AC87" i="340"/>
  <c r="AB87" i="340"/>
  <c r="AA87" i="340"/>
  <c r="Z87" i="340"/>
  <c r="Y87" i="340"/>
  <c r="X87" i="340"/>
  <c r="W87" i="340"/>
  <c r="V87" i="340"/>
  <c r="U87" i="340"/>
  <c r="T87" i="340"/>
  <c r="S87" i="340"/>
  <c r="R87" i="340"/>
  <c r="Q87" i="340"/>
  <c r="P87" i="340"/>
  <c r="O87" i="340"/>
  <c r="N87" i="340"/>
  <c r="M87" i="340"/>
  <c r="L87" i="340"/>
  <c r="K87" i="340"/>
  <c r="J87" i="340"/>
  <c r="I87" i="340"/>
  <c r="H87" i="340"/>
  <c r="G87" i="340"/>
  <c r="F87" i="340"/>
  <c r="E87" i="340"/>
  <c r="D87" i="340"/>
  <c r="C87" i="340"/>
  <c r="B87" i="340"/>
  <c r="AC86" i="340"/>
  <c r="AB86" i="340"/>
  <c r="AA86" i="340"/>
  <c r="Z86" i="340"/>
  <c r="Y86" i="340"/>
  <c r="X86" i="340"/>
  <c r="W86" i="340"/>
  <c r="V86" i="340"/>
  <c r="U86" i="340"/>
  <c r="T86" i="340"/>
  <c r="S86" i="340"/>
  <c r="R86" i="340"/>
  <c r="Q86" i="340"/>
  <c r="P86" i="340"/>
  <c r="O86" i="340"/>
  <c r="N86" i="340"/>
  <c r="M86" i="340"/>
  <c r="L86" i="340"/>
  <c r="K86" i="340"/>
  <c r="J86" i="340"/>
  <c r="I86" i="340"/>
  <c r="H86" i="340"/>
  <c r="G86" i="340"/>
  <c r="F86" i="340"/>
  <c r="E86" i="340"/>
  <c r="D86" i="340"/>
  <c r="C86" i="340"/>
  <c r="B86" i="340"/>
  <c r="AC85" i="340"/>
  <c r="AB85" i="340"/>
  <c r="AA85" i="340"/>
  <c r="Z85" i="340"/>
  <c r="Y85" i="340"/>
  <c r="X85" i="340"/>
  <c r="W85" i="340"/>
  <c r="V85" i="340"/>
  <c r="U85" i="340"/>
  <c r="T85" i="340"/>
  <c r="S85" i="340"/>
  <c r="R85" i="340"/>
  <c r="Q85" i="340"/>
  <c r="P85" i="340"/>
  <c r="O85" i="340"/>
  <c r="N85" i="340"/>
  <c r="M85" i="340"/>
  <c r="L85" i="340"/>
  <c r="K85" i="340"/>
  <c r="J85" i="340"/>
  <c r="I85" i="340"/>
  <c r="H85" i="340"/>
  <c r="G85" i="340"/>
  <c r="F85" i="340"/>
  <c r="E85" i="340"/>
  <c r="D85" i="340"/>
  <c r="C85" i="340"/>
  <c r="B85" i="340"/>
  <c r="AC84" i="340"/>
  <c r="AB84" i="340"/>
  <c r="AA84" i="340"/>
  <c r="Z84" i="340"/>
  <c r="Y84" i="340"/>
  <c r="X84" i="340"/>
  <c r="W84" i="340"/>
  <c r="V84" i="340"/>
  <c r="U84" i="340"/>
  <c r="T84" i="340"/>
  <c r="S84" i="340"/>
  <c r="R84" i="340"/>
  <c r="Q84" i="340"/>
  <c r="P84" i="340"/>
  <c r="O84" i="340"/>
  <c r="N84" i="340"/>
  <c r="M84" i="340"/>
  <c r="L84" i="340"/>
  <c r="K84" i="340"/>
  <c r="J84" i="340"/>
  <c r="I84" i="340"/>
  <c r="H84" i="340"/>
  <c r="G84" i="340"/>
  <c r="F84" i="340"/>
  <c r="E84" i="340"/>
  <c r="D84" i="340"/>
  <c r="C84" i="340"/>
  <c r="B84" i="340"/>
  <c r="AC83" i="340"/>
  <c r="AB83" i="340"/>
  <c r="AA83" i="340"/>
  <c r="Z83" i="340"/>
  <c r="Y83" i="340"/>
  <c r="X83" i="340"/>
  <c r="W83" i="340"/>
  <c r="V83" i="340"/>
  <c r="U83" i="340"/>
  <c r="T83" i="340"/>
  <c r="S83" i="340"/>
  <c r="R83" i="340"/>
  <c r="Q83" i="340"/>
  <c r="P83" i="340"/>
  <c r="O83" i="340"/>
  <c r="N83" i="340"/>
  <c r="M83" i="340"/>
  <c r="L83" i="340"/>
  <c r="K83" i="340"/>
  <c r="J83" i="340"/>
  <c r="I83" i="340"/>
  <c r="H83" i="340"/>
  <c r="G83" i="340"/>
  <c r="F83" i="340"/>
  <c r="E83" i="340"/>
  <c r="D83" i="340"/>
  <c r="C83" i="340"/>
  <c r="B83" i="340"/>
  <c r="AC82" i="340"/>
  <c r="AB82" i="340"/>
  <c r="AA82" i="340"/>
  <c r="Z82" i="340"/>
  <c r="Y82" i="340"/>
  <c r="X82" i="340"/>
  <c r="W82" i="340"/>
  <c r="V82" i="340"/>
  <c r="U82" i="340"/>
  <c r="T82" i="340"/>
  <c r="S82" i="340"/>
  <c r="R82" i="340"/>
  <c r="Q82" i="340"/>
  <c r="P82" i="340"/>
  <c r="O82" i="340"/>
  <c r="N82" i="340"/>
  <c r="M82" i="340"/>
  <c r="L82" i="340"/>
  <c r="K82" i="340"/>
  <c r="J82" i="340"/>
  <c r="I82" i="340"/>
  <c r="H82" i="340"/>
  <c r="G82" i="340"/>
  <c r="F82" i="340"/>
  <c r="E82" i="340"/>
  <c r="D82" i="340"/>
  <c r="C82" i="340"/>
  <c r="B82" i="340"/>
  <c r="AC81" i="340"/>
  <c r="AB81" i="340"/>
  <c r="AA81" i="340"/>
  <c r="Z81" i="340"/>
  <c r="Y81" i="340"/>
  <c r="X81" i="340"/>
  <c r="W81" i="340"/>
  <c r="V81" i="340"/>
  <c r="U81" i="340"/>
  <c r="T81" i="340"/>
  <c r="S81" i="340"/>
  <c r="R81" i="340"/>
  <c r="Q81" i="340"/>
  <c r="P81" i="340"/>
  <c r="O81" i="340"/>
  <c r="N81" i="340"/>
  <c r="M81" i="340"/>
  <c r="L81" i="340"/>
  <c r="K81" i="340"/>
  <c r="J81" i="340"/>
  <c r="I81" i="340"/>
  <c r="H81" i="340"/>
  <c r="G81" i="340"/>
  <c r="F81" i="340"/>
  <c r="E81" i="340"/>
  <c r="D81" i="340"/>
  <c r="C81" i="340"/>
  <c r="B81" i="340"/>
  <c r="AC80" i="340"/>
  <c r="AB80" i="340"/>
  <c r="AA80" i="340"/>
  <c r="Z80" i="340"/>
  <c r="Y80" i="340"/>
  <c r="X80" i="340"/>
  <c r="W80" i="340"/>
  <c r="V80" i="340"/>
  <c r="U80" i="340"/>
  <c r="T80" i="340"/>
  <c r="S80" i="340"/>
  <c r="R80" i="340"/>
  <c r="Q80" i="340"/>
  <c r="P80" i="340"/>
  <c r="O80" i="340"/>
  <c r="N80" i="340"/>
  <c r="M80" i="340"/>
  <c r="L80" i="340"/>
  <c r="K80" i="340"/>
  <c r="J80" i="340"/>
  <c r="I80" i="340"/>
  <c r="H80" i="340"/>
  <c r="G80" i="340"/>
  <c r="F80" i="340"/>
  <c r="E80" i="340"/>
  <c r="D80" i="340"/>
  <c r="C80" i="340"/>
  <c r="B80" i="340"/>
  <c r="AC79" i="340"/>
  <c r="AB79" i="340"/>
  <c r="AA79" i="340"/>
  <c r="Z79" i="340"/>
  <c r="Y79" i="340"/>
  <c r="X79" i="340"/>
  <c r="W79" i="340"/>
  <c r="V79" i="340"/>
  <c r="U79" i="340"/>
  <c r="T79" i="340"/>
  <c r="S79" i="340"/>
  <c r="R79" i="340"/>
  <c r="Q79" i="340"/>
  <c r="P79" i="340"/>
  <c r="O79" i="340"/>
  <c r="N79" i="340"/>
  <c r="M79" i="340"/>
  <c r="L79" i="340"/>
  <c r="K79" i="340"/>
  <c r="J79" i="340"/>
  <c r="I79" i="340"/>
  <c r="H79" i="340"/>
  <c r="G79" i="340"/>
  <c r="F79" i="340"/>
  <c r="E79" i="340"/>
  <c r="D79" i="340"/>
  <c r="C79" i="340"/>
  <c r="B79" i="340"/>
  <c r="AC78" i="340"/>
  <c r="AB78" i="340"/>
  <c r="AA78" i="340"/>
  <c r="Z78" i="340"/>
  <c r="Y78" i="340"/>
  <c r="X78" i="340"/>
  <c r="W78" i="340"/>
  <c r="V78" i="340"/>
  <c r="U78" i="340"/>
  <c r="T78" i="340"/>
  <c r="S78" i="340"/>
  <c r="R78" i="340"/>
  <c r="Q78" i="340"/>
  <c r="P78" i="340"/>
  <c r="O78" i="340"/>
  <c r="N78" i="340"/>
  <c r="M78" i="340"/>
  <c r="L78" i="340"/>
  <c r="K78" i="340"/>
  <c r="J78" i="340"/>
  <c r="I78" i="340"/>
  <c r="H78" i="340"/>
  <c r="G78" i="340"/>
  <c r="F78" i="340"/>
  <c r="E78" i="340"/>
  <c r="D78" i="340"/>
  <c r="C78" i="340"/>
  <c r="B78" i="340"/>
  <c r="AC77" i="340"/>
  <c r="AB77" i="340"/>
  <c r="AA77" i="340"/>
  <c r="Z77" i="340"/>
  <c r="Y77" i="340"/>
  <c r="X77" i="340"/>
  <c r="W77" i="340"/>
  <c r="V77" i="340"/>
  <c r="U77" i="340"/>
  <c r="T77" i="340"/>
  <c r="S77" i="340"/>
  <c r="R77" i="340"/>
  <c r="Q77" i="340"/>
  <c r="P77" i="340"/>
  <c r="O77" i="340"/>
  <c r="N77" i="340"/>
  <c r="M77" i="340"/>
  <c r="L77" i="340"/>
  <c r="K77" i="340"/>
  <c r="J77" i="340"/>
  <c r="I77" i="340"/>
  <c r="H77" i="340"/>
  <c r="G77" i="340"/>
  <c r="F77" i="340"/>
  <c r="E77" i="340"/>
  <c r="D77" i="340"/>
  <c r="C77" i="340"/>
  <c r="B77" i="340"/>
  <c r="AC76" i="340"/>
  <c r="AB76" i="340"/>
  <c r="AA76" i="340"/>
  <c r="Z76" i="340"/>
  <c r="Y76" i="340"/>
  <c r="X76" i="340"/>
  <c r="W76" i="340"/>
  <c r="V76" i="340"/>
  <c r="U76" i="340"/>
  <c r="T76" i="340"/>
  <c r="S76" i="340"/>
  <c r="R76" i="340"/>
  <c r="Q76" i="340"/>
  <c r="P76" i="340"/>
  <c r="O76" i="340"/>
  <c r="N76" i="340"/>
  <c r="M76" i="340"/>
  <c r="L76" i="340"/>
  <c r="K76" i="340"/>
  <c r="J76" i="340"/>
  <c r="I76" i="340"/>
  <c r="H76" i="340"/>
  <c r="G76" i="340"/>
  <c r="F76" i="340"/>
  <c r="E76" i="340"/>
  <c r="D76" i="340"/>
  <c r="C76" i="340"/>
  <c r="B76" i="340"/>
  <c r="AC75" i="340"/>
  <c r="AB75" i="340"/>
  <c r="AA75" i="340"/>
  <c r="Z75" i="340"/>
  <c r="Y75" i="340"/>
  <c r="X75" i="340"/>
  <c r="W75" i="340"/>
  <c r="V75" i="340"/>
  <c r="U75" i="340"/>
  <c r="T75" i="340"/>
  <c r="S75" i="340"/>
  <c r="R75" i="340"/>
  <c r="Q75" i="340"/>
  <c r="P75" i="340"/>
  <c r="O75" i="340"/>
  <c r="N75" i="340"/>
  <c r="M75" i="340"/>
  <c r="L75" i="340"/>
  <c r="K75" i="340"/>
  <c r="J75" i="340"/>
  <c r="I75" i="340"/>
  <c r="H75" i="340"/>
  <c r="G75" i="340"/>
  <c r="F75" i="340"/>
  <c r="E75" i="340"/>
  <c r="D75" i="340"/>
  <c r="C75" i="340"/>
  <c r="B75" i="340"/>
  <c r="AC74" i="340"/>
  <c r="AB74" i="340"/>
  <c r="AA74" i="340"/>
  <c r="Z74" i="340"/>
  <c r="Y74" i="340"/>
  <c r="X74" i="340"/>
  <c r="W74" i="340"/>
  <c r="V74" i="340"/>
  <c r="U74" i="340"/>
  <c r="T74" i="340"/>
  <c r="S74" i="340"/>
  <c r="R74" i="340"/>
  <c r="Q74" i="340"/>
  <c r="P74" i="340"/>
  <c r="O74" i="340"/>
  <c r="N74" i="340"/>
  <c r="M74" i="340"/>
  <c r="L74" i="340"/>
  <c r="K74" i="340"/>
  <c r="J74" i="340"/>
  <c r="I74" i="340"/>
  <c r="H74" i="340"/>
  <c r="G74" i="340"/>
  <c r="F74" i="340"/>
  <c r="E74" i="340"/>
  <c r="D74" i="340"/>
  <c r="C74" i="340"/>
  <c r="B74" i="340"/>
  <c r="AC73" i="340"/>
  <c r="AB73" i="340"/>
  <c r="AA73" i="340"/>
  <c r="Z73" i="340"/>
  <c r="Y73" i="340"/>
  <c r="X73" i="340"/>
  <c r="W73" i="340"/>
  <c r="V73" i="340"/>
  <c r="U73" i="340"/>
  <c r="T73" i="340"/>
  <c r="S73" i="340"/>
  <c r="R73" i="340"/>
  <c r="Q73" i="340"/>
  <c r="P73" i="340"/>
  <c r="O73" i="340"/>
  <c r="N73" i="340"/>
  <c r="M73" i="340"/>
  <c r="L73" i="340"/>
  <c r="K73" i="340"/>
  <c r="J73" i="340"/>
  <c r="I73" i="340"/>
  <c r="H73" i="340"/>
  <c r="G73" i="340"/>
  <c r="F73" i="340"/>
  <c r="E73" i="340"/>
  <c r="D73" i="340"/>
  <c r="C73" i="340"/>
  <c r="B73" i="340"/>
  <c r="AC72" i="340"/>
  <c r="AB72" i="340"/>
  <c r="AA72" i="340"/>
  <c r="Z72" i="340"/>
  <c r="Y72" i="340"/>
  <c r="X72" i="340"/>
  <c r="W72" i="340"/>
  <c r="V72" i="340"/>
  <c r="U72" i="340"/>
  <c r="T72" i="340"/>
  <c r="S72" i="340"/>
  <c r="R72" i="340"/>
  <c r="Q72" i="340"/>
  <c r="P72" i="340"/>
  <c r="O72" i="340"/>
  <c r="N72" i="340"/>
  <c r="M72" i="340"/>
  <c r="L72" i="340"/>
  <c r="K72" i="340"/>
  <c r="J72" i="340"/>
  <c r="I72" i="340"/>
  <c r="H72" i="340"/>
  <c r="G72" i="340"/>
  <c r="F72" i="340"/>
  <c r="E72" i="340"/>
  <c r="D72" i="340"/>
  <c r="C72" i="340"/>
  <c r="B72" i="340"/>
  <c r="AC71" i="340"/>
  <c r="AB71" i="340"/>
  <c r="AA71" i="340"/>
  <c r="Z71" i="340"/>
  <c r="Y71" i="340"/>
  <c r="X71" i="340"/>
  <c r="W71" i="340"/>
  <c r="V71" i="340"/>
  <c r="U71" i="340"/>
  <c r="T71" i="340"/>
  <c r="S71" i="340"/>
  <c r="R71" i="340"/>
  <c r="Q71" i="340"/>
  <c r="P71" i="340"/>
  <c r="O71" i="340"/>
  <c r="N71" i="340"/>
  <c r="M71" i="340"/>
  <c r="L71" i="340"/>
  <c r="K71" i="340"/>
  <c r="J71" i="340"/>
  <c r="I71" i="340"/>
  <c r="H71" i="340"/>
  <c r="G71" i="340"/>
  <c r="F71" i="340"/>
  <c r="E71" i="340"/>
  <c r="D71" i="340"/>
  <c r="C71" i="340"/>
  <c r="B71" i="340"/>
  <c r="AC70" i="340"/>
  <c r="AB70" i="340"/>
  <c r="AA70" i="340"/>
  <c r="Z70" i="340"/>
  <c r="Y70" i="340"/>
  <c r="X70" i="340"/>
  <c r="W70" i="340"/>
  <c r="V70" i="340"/>
  <c r="U70" i="340"/>
  <c r="T70" i="340"/>
  <c r="S70" i="340"/>
  <c r="R70" i="340"/>
  <c r="Q70" i="340"/>
  <c r="P70" i="340"/>
  <c r="O70" i="340"/>
  <c r="N70" i="340"/>
  <c r="M70" i="340"/>
  <c r="L70" i="340"/>
  <c r="K70" i="340"/>
  <c r="J70" i="340"/>
  <c r="I70" i="340"/>
  <c r="H70" i="340"/>
  <c r="G70" i="340"/>
  <c r="F70" i="340"/>
  <c r="E70" i="340"/>
  <c r="D70" i="340"/>
  <c r="C70" i="340"/>
  <c r="B70" i="340"/>
  <c r="AC69" i="340"/>
  <c r="AB69" i="340"/>
  <c r="AA69" i="340"/>
  <c r="Z69" i="340"/>
  <c r="Y69" i="340"/>
  <c r="X69" i="340"/>
  <c r="W69" i="340"/>
  <c r="V69" i="340"/>
  <c r="U69" i="340"/>
  <c r="T69" i="340"/>
  <c r="S69" i="340"/>
  <c r="R69" i="340"/>
  <c r="Q69" i="340"/>
  <c r="P69" i="340"/>
  <c r="O69" i="340"/>
  <c r="N69" i="340"/>
  <c r="M69" i="340"/>
  <c r="L69" i="340"/>
  <c r="K69" i="340"/>
  <c r="J69" i="340"/>
  <c r="I69" i="340"/>
  <c r="H69" i="340"/>
  <c r="G69" i="340"/>
  <c r="F69" i="340"/>
  <c r="E69" i="340"/>
  <c r="D69" i="340"/>
  <c r="C69" i="340"/>
  <c r="B69" i="340"/>
  <c r="AC68" i="340"/>
  <c r="AB68" i="340"/>
  <c r="AA68" i="340"/>
  <c r="Z68" i="340"/>
  <c r="Y68" i="340"/>
  <c r="X68" i="340"/>
  <c r="W68" i="340"/>
  <c r="V68" i="340"/>
  <c r="U68" i="340"/>
  <c r="T68" i="340"/>
  <c r="S68" i="340"/>
  <c r="R68" i="340"/>
  <c r="Q68" i="340"/>
  <c r="P68" i="340"/>
  <c r="O68" i="340"/>
  <c r="N68" i="340"/>
  <c r="M68" i="340"/>
  <c r="L68" i="340"/>
  <c r="K68" i="340"/>
  <c r="J68" i="340"/>
  <c r="I68" i="340"/>
  <c r="H68" i="340"/>
  <c r="G68" i="340"/>
  <c r="F68" i="340"/>
  <c r="E68" i="340"/>
  <c r="D68" i="340"/>
  <c r="C68" i="340"/>
  <c r="B68" i="340"/>
  <c r="AC67" i="340"/>
  <c r="AB67" i="340"/>
  <c r="AA67" i="340"/>
  <c r="Z67" i="340"/>
  <c r="Y67" i="340"/>
  <c r="X67" i="340"/>
  <c r="W67" i="340"/>
  <c r="V67" i="340"/>
  <c r="U67" i="340"/>
  <c r="T67" i="340"/>
  <c r="S67" i="340"/>
  <c r="R67" i="340"/>
  <c r="Q67" i="340"/>
  <c r="P67" i="340"/>
  <c r="O67" i="340"/>
  <c r="N67" i="340"/>
  <c r="M67" i="340"/>
  <c r="L67" i="340"/>
  <c r="K67" i="340"/>
  <c r="J67" i="340"/>
  <c r="I67" i="340"/>
  <c r="H67" i="340"/>
  <c r="G67" i="340"/>
  <c r="F67" i="340"/>
  <c r="E67" i="340"/>
  <c r="D67" i="340"/>
  <c r="C67" i="340"/>
  <c r="B67" i="340"/>
  <c r="AC66" i="340"/>
  <c r="AB66" i="340"/>
  <c r="AA66" i="340"/>
  <c r="Z66" i="340"/>
  <c r="Y66" i="340"/>
  <c r="X66" i="340"/>
  <c r="W66" i="340"/>
  <c r="V66" i="340"/>
  <c r="U66" i="340"/>
  <c r="T66" i="340"/>
  <c r="S66" i="340"/>
  <c r="R66" i="340"/>
  <c r="Q66" i="340"/>
  <c r="P66" i="340"/>
  <c r="O66" i="340"/>
  <c r="N66" i="340"/>
  <c r="M66" i="340"/>
  <c r="L66" i="340"/>
  <c r="K66" i="340"/>
  <c r="J66" i="340"/>
  <c r="I66" i="340"/>
  <c r="H66" i="340"/>
  <c r="G66" i="340"/>
  <c r="F66" i="340"/>
  <c r="E66" i="340"/>
  <c r="D66" i="340"/>
  <c r="C66" i="340"/>
  <c r="B66" i="340"/>
  <c r="AC65" i="340"/>
  <c r="AB65" i="340"/>
  <c r="AA65" i="340"/>
  <c r="Z65" i="340"/>
  <c r="Y65" i="340"/>
  <c r="X65" i="340"/>
  <c r="W65" i="340"/>
  <c r="V65" i="340"/>
  <c r="U65" i="340"/>
  <c r="T65" i="340"/>
  <c r="S65" i="340"/>
  <c r="R65" i="340"/>
  <c r="Q65" i="340"/>
  <c r="P65" i="340"/>
  <c r="O65" i="340"/>
  <c r="N65" i="340"/>
  <c r="M65" i="340"/>
  <c r="L65" i="340"/>
  <c r="K65" i="340"/>
  <c r="J65" i="340"/>
  <c r="I65" i="340"/>
  <c r="H65" i="340"/>
  <c r="G65" i="340"/>
  <c r="F65" i="340"/>
  <c r="E65" i="340"/>
  <c r="D65" i="340"/>
  <c r="C65" i="340"/>
  <c r="B65" i="340"/>
  <c r="AC64" i="340"/>
  <c r="AB64" i="340"/>
  <c r="AA64" i="340"/>
  <c r="Z64" i="340"/>
  <c r="Y64" i="340"/>
  <c r="X64" i="340"/>
  <c r="W64" i="340"/>
  <c r="V64" i="340"/>
  <c r="U64" i="340"/>
  <c r="T64" i="340"/>
  <c r="S64" i="340"/>
  <c r="R64" i="340"/>
  <c r="Q64" i="340"/>
  <c r="P64" i="340"/>
  <c r="O64" i="340"/>
  <c r="N64" i="340"/>
  <c r="M64" i="340"/>
  <c r="L64" i="340"/>
  <c r="K64" i="340"/>
  <c r="J64" i="340"/>
  <c r="I64" i="340"/>
  <c r="H64" i="340"/>
  <c r="G64" i="340"/>
  <c r="F64" i="340"/>
  <c r="E64" i="340"/>
  <c r="D64" i="340"/>
  <c r="C64" i="340"/>
  <c r="B64" i="340"/>
  <c r="AC63" i="340"/>
  <c r="AB63" i="340"/>
  <c r="AA63" i="340"/>
  <c r="Z63" i="340"/>
  <c r="Y63" i="340"/>
  <c r="X63" i="340"/>
  <c r="W63" i="340"/>
  <c r="V63" i="340"/>
  <c r="U63" i="340"/>
  <c r="T63" i="340"/>
  <c r="S63" i="340"/>
  <c r="R63" i="340"/>
  <c r="Q63" i="340"/>
  <c r="P63" i="340"/>
  <c r="O63" i="340"/>
  <c r="N63" i="340"/>
  <c r="M63" i="340"/>
  <c r="L63" i="340"/>
  <c r="K63" i="340"/>
  <c r="J63" i="340"/>
  <c r="I63" i="340"/>
  <c r="H63" i="340"/>
  <c r="G63" i="340"/>
  <c r="F63" i="340"/>
  <c r="E63" i="340"/>
  <c r="D63" i="340"/>
  <c r="C63" i="340"/>
  <c r="B63" i="340"/>
  <c r="AC62" i="340"/>
  <c r="AB62" i="340"/>
  <c r="AA62" i="340"/>
  <c r="AA91" i="340" s="1"/>
  <c r="Z62" i="340"/>
  <c r="Z91" i="340" s="1"/>
  <c r="Y62" i="340"/>
  <c r="Y91" i="340" s="1"/>
  <c r="X62" i="340"/>
  <c r="X91" i="340" s="1"/>
  <c r="W62" i="340"/>
  <c r="W91" i="340" s="1"/>
  <c r="V62" i="340"/>
  <c r="V91" i="340" s="1"/>
  <c r="U62" i="340"/>
  <c r="U91" i="340" s="1"/>
  <c r="T62" i="340"/>
  <c r="T91" i="340" s="1"/>
  <c r="S62" i="340"/>
  <c r="S91" i="340" s="1"/>
  <c r="R62" i="340"/>
  <c r="R91" i="340" s="1"/>
  <c r="Q62" i="340"/>
  <c r="Q91" i="340" s="1"/>
  <c r="P62" i="340"/>
  <c r="P91" i="340" s="1"/>
  <c r="O62" i="340"/>
  <c r="O91" i="340" s="1"/>
  <c r="N62" i="340"/>
  <c r="N91" i="340" s="1"/>
  <c r="M62" i="340"/>
  <c r="M91" i="340" s="1"/>
  <c r="L62" i="340"/>
  <c r="L91" i="340" s="1"/>
  <c r="K62" i="340"/>
  <c r="K91" i="340" s="1"/>
  <c r="J62" i="340"/>
  <c r="J91" i="340" s="1"/>
  <c r="I62" i="340"/>
  <c r="I91" i="340" s="1"/>
  <c r="H62" i="340"/>
  <c r="H91" i="340" s="1"/>
  <c r="G62" i="340"/>
  <c r="G91" i="340" s="1"/>
  <c r="F62" i="340"/>
  <c r="F91" i="340" s="1"/>
  <c r="E62" i="340"/>
  <c r="E91" i="340" s="1"/>
  <c r="D62" i="340"/>
  <c r="D91" i="340" s="1"/>
  <c r="C62" i="340"/>
  <c r="B62" i="340"/>
  <c r="Y61" i="340"/>
  <c r="X61" i="340"/>
  <c r="U61" i="340"/>
  <c r="T61" i="340"/>
  <c r="Q61" i="340"/>
  <c r="P61" i="340"/>
  <c r="M61" i="340"/>
  <c r="L61" i="340"/>
  <c r="I61" i="340"/>
  <c r="H61" i="340"/>
  <c r="E61" i="340"/>
  <c r="D61" i="340"/>
  <c r="AC60" i="340"/>
  <c r="AB60" i="340"/>
  <c r="AA60" i="340"/>
  <c r="AA61" i="340" s="1"/>
  <c r="Z60" i="340"/>
  <c r="Z61" i="340" s="1"/>
  <c r="Y60" i="340"/>
  <c r="X60" i="340"/>
  <c r="W60" i="340"/>
  <c r="W61" i="340" s="1"/>
  <c r="V60" i="340"/>
  <c r="V61" i="340" s="1"/>
  <c r="U60" i="340"/>
  <c r="T60" i="340"/>
  <c r="S60" i="340"/>
  <c r="S61" i="340" s="1"/>
  <c r="R60" i="340"/>
  <c r="R61" i="340" s="1"/>
  <c r="Q60" i="340"/>
  <c r="P60" i="340"/>
  <c r="O60" i="340"/>
  <c r="O61" i="340" s="1"/>
  <c r="N60" i="340"/>
  <c r="N61" i="340" s="1"/>
  <c r="M60" i="340"/>
  <c r="L60" i="340"/>
  <c r="K60" i="340"/>
  <c r="K61" i="340" s="1"/>
  <c r="J60" i="340"/>
  <c r="J61" i="340" s="1"/>
  <c r="I60" i="340"/>
  <c r="H60" i="340"/>
  <c r="G60" i="340"/>
  <c r="G61" i="340" s="1"/>
  <c r="F60" i="340"/>
  <c r="F61" i="340" s="1"/>
  <c r="E60" i="340"/>
  <c r="D60" i="340"/>
  <c r="C60" i="340"/>
  <c r="B60" i="340"/>
  <c r="Z59" i="340"/>
  <c r="Y59" i="340"/>
  <c r="V59" i="340"/>
  <c r="U59" i="340"/>
  <c r="R59" i="340"/>
  <c r="Q59" i="340"/>
  <c r="N59" i="340"/>
  <c r="M59" i="340"/>
  <c r="J59" i="340"/>
  <c r="I59" i="340"/>
  <c r="F59" i="340"/>
  <c r="E59" i="340"/>
  <c r="AC58" i="340"/>
  <c r="AB58" i="340"/>
  <c r="AA58" i="340"/>
  <c r="AA59" i="340" s="1"/>
  <c r="Z58" i="340"/>
  <c r="Y58" i="340"/>
  <c r="X58" i="340"/>
  <c r="X59" i="340" s="1"/>
  <c r="W58" i="340"/>
  <c r="W59" i="340" s="1"/>
  <c r="V58" i="340"/>
  <c r="U58" i="340"/>
  <c r="T58" i="340"/>
  <c r="T59" i="340" s="1"/>
  <c r="S58" i="340"/>
  <c r="S59" i="340" s="1"/>
  <c r="R58" i="340"/>
  <c r="Q58" i="340"/>
  <c r="P58" i="340"/>
  <c r="P59" i="340" s="1"/>
  <c r="O58" i="340"/>
  <c r="O59" i="340" s="1"/>
  <c r="N58" i="340"/>
  <c r="M58" i="340"/>
  <c r="L58" i="340"/>
  <c r="L59" i="340" s="1"/>
  <c r="K58" i="340"/>
  <c r="K59" i="340" s="1"/>
  <c r="J58" i="340"/>
  <c r="I58" i="340"/>
  <c r="H58" i="340"/>
  <c r="H59" i="340" s="1"/>
  <c r="G58" i="340"/>
  <c r="G59" i="340" s="1"/>
  <c r="F58" i="340"/>
  <c r="E58" i="340"/>
  <c r="D58" i="340"/>
  <c r="D59" i="340" s="1"/>
  <c r="C58" i="340"/>
  <c r="B58" i="340"/>
  <c r="AC56" i="340"/>
  <c r="AB56" i="340"/>
  <c r="AA56" i="340"/>
  <c r="Z56" i="340"/>
  <c r="Y56" i="340"/>
  <c r="X56" i="340"/>
  <c r="W56" i="340"/>
  <c r="V56" i="340"/>
  <c r="U56" i="340"/>
  <c r="T56" i="340"/>
  <c r="S56" i="340"/>
  <c r="R56" i="340"/>
  <c r="Q56" i="340"/>
  <c r="P56" i="340"/>
  <c r="O56" i="340"/>
  <c r="N56" i="340"/>
  <c r="M56" i="340"/>
  <c r="L56" i="340"/>
  <c r="K56" i="340"/>
  <c r="J56" i="340"/>
  <c r="I56" i="340"/>
  <c r="H56" i="340"/>
  <c r="G56" i="340"/>
  <c r="F56" i="340"/>
  <c r="E56" i="340"/>
  <c r="D56" i="340"/>
  <c r="C56" i="340"/>
  <c r="B56" i="340"/>
  <c r="AC55" i="340"/>
  <c r="AB55" i="340"/>
  <c r="AA55" i="340"/>
  <c r="Z55" i="340"/>
  <c r="Y55" i="340"/>
  <c r="X55" i="340"/>
  <c r="W55" i="340"/>
  <c r="V55" i="340"/>
  <c r="U55" i="340"/>
  <c r="T55" i="340"/>
  <c r="S55" i="340"/>
  <c r="R55" i="340"/>
  <c r="Q55" i="340"/>
  <c r="P55" i="340"/>
  <c r="O55" i="340"/>
  <c r="N55" i="340"/>
  <c r="M55" i="340"/>
  <c r="L55" i="340"/>
  <c r="K55" i="340"/>
  <c r="J55" i="340"/>
  <c r="I55" i="340"/>
  <c r="H55" i="340"/>
  <c r="G55" i="340"/>
  <c r="F55" i="340"/>
  <c r="E55" i="340"/>
  <c r="D55" i="340"/>
  <c r="C55" i="340"/>
  <c r="B55" i="340"/>
  <c r="AC54" i="340"/>
  <c r="AB54" i="340"/>
  <c r="AA54" i="340"/>
  <c r="Z54" i="340"/>
  <c r="Y54" i="340"/>
  <c r="X54" i="340"/>
  <c r="W54" i="340"/>
  <c r="V54" i="340"/>
  <c r="U54" i="340"/>
  <c r="T54" i="340"/>
  <c r="S54" i="340"/>
  <c r="R54" i="340"/>
  <c r="Q54" i="340"/>
  <c r="P54" i="340"/>
  <c r="O54" i="340"/>
  <c r="N54" i="340"/>
  <c r="M54" i="340"/>
  <c r="L54" i="340"/>
  <c r="K54" i="340"/>
  <c r="J54" i="340"/>
  <c r="I54" i="340"/>
  <c r="H54" i="340"/>
  <c r="G54" i="340"/>
  <c r="F54" i="340"/>
  <c r="E54" i="340"/>
  <c r="D54" i="340"/>
  <c r="C54" i="340"/>
  <c r="B54" i="340"/>
  <c r="AC53" i="340"/>
  <c r="AB53" i="340"/>
  <c r="AA53" i="340"/>
  <c r="Z53" i="340"/>
  <c r="Y53" i="340"/>
  <c r="X53" i="340"/>
  <c r="W53" i="340"/>
  <c r="V53" i="340"/>
  <c r="U53" i="340"/>
  <c r="T53" i="340"/>
  <c r="S53" i="340"/>
  <c r="R53" i="340"/>
  <c r="Q53" i="340"/>
  <c r="P53" i="340"/>
  <c r="O53" i="340"/>
  <c r="N53" i="340"/>
  <c r="M53" i="340"/>
  <c r="L53" i="340"/>
  <c r="K53" i="340"/>
  <c r="J53" i="340"/>
  <c r="I53" i="340"/>
  <c r="H53" i="340"/>
  <c r="G53" i="340"/>
  <c r="F53" i="340"/>
  <c r="E53" i="340"/>
  <c r="D53" i="340"/>
  <c r="C53" i="340"/>
  <c r="B53" i="340"/>
  <c r="AC52" i="340"/>
  <c r="AB52" i="340"/>
  <c r="AA52" i="340"/>
  <c r="Z52" i="340"/>
  <c r="Y52" i="340"/>
  <c r="X52" i="340"/>
  <c r="W52" i="340"/>
  <c r="V52" i="340"/>
  <c r="U52" i="340"/>
  <c r="T52" i="340"/>
  <c r="S52" i="340"/>
  <c r="R52" i="340"/>
  <c r="Q52" i="340"/>
  <c r="P52" i="340"/>
  <c r="O52" i="340"/>
  <c r="N52" i="340"/>
  <c r="M52" i="340"/>
  <c r="L52" i="340"/>
  <c r="K52" i="340"/>
  <c r="J52" i="340"/>
  <c r="I52" i="340"/>
  <c r="H52" i="340"/>
  <c r="G52" i="340"/>
  <c r="F52" i="340"/>
  <c r="E52" i="340"/>
  <c r="D52" i="340"/>
  <c r="C52" i="340"/>
  <c r="B52" i="340"/>
  <c r="AC51" i="340"/>
  <c r="AB51" i="340"/>
  <c r="AA51" i="340"/>
  <c r="Z51" i="340"/>
  <c r="Y51" i="340"/>
  <c r="X51" i="340"/>
  <c r="W51" i="340"/>
  <c r="V51" i="340"/>
  <c r="U51" i="340"/>
  <c r="T51" i="340"/>
  <c r="S51" i="340"/>
  <c r="R51" i="340"/>
  <c r="Q51" i="340"/>
  <c r="P51" i="340"/>
  <c r="O51" i="340"/>
  <c r="N51" i="340"/>
  <c r="M51" i="340"/>
  <c r="L51" i="340"/>
  <c r="K51" i="340"/>
  <c r="J51" i="340"/>
  <c r="I51" i="340"/>
  <c r="H51" i="340"/>
  <c r="G51" i="340"/>
  <c r="F51" i="340"/>
  <c r="E51" i="340"/>
  <c r="D51" i="340"/>
  <c r="C51" i="340"/>
  <c r="B51" i="340"/>
  <c r="AC50" i="340"/>
  <c r="AB50" i="340"/>
  <c r="AA50" i="340"/>
  <c r="Z50" i="340"/>
  <c r="Y50" i="340"/>
  <c r="X50" i="340"/>
  <c r="W50" i="340"/>
  <c r="V50" i="340"/>
  <c r="U50" i="340"/>
  <c r="T50" i="340"/>
  <c r="S50" i="340"/>
  <c r="R50" i="340"/>
  <c r="Q50" i="340"/>
  <c r="P50" i="340"/>
  <c r="O50" i="340"/>
  <c r="N50" i="340"/>
  <c r="M50" i="340"/>
  <c r="L50" i="340"/>
  <c r="K50" i="340"/>
  <c r="J50" i="340"/>
  <c r="I50" i="340"/>
  <c r="H50" i="340"/>
  <c r="G50" i="340"/>
  <c r="F50" i="340"/>
  <c r="E50" i="340"/>
  <c r="D50" i="340"/>
  <c r="C50" i="340"/>
  <c r="B50" i="340"/>
  <c r="AC49" i="340"/>
  <c r="AB49" i="340"/>
  <c r="AA49" i="340"/>
  <c r="Z49" i="340"/>
  <c r="Y49" i="340"/>
  <c r="X49" i="340"/>
  <c r="W49" i="340"/>
  <c r="V49" i="340"/>
  <c r="U49" i="340"/>
  <c r="T49" i="340"/>
  <c r="S49" i="340"/>
  <c r="R49" i="340"/>
  <c r="Q49" i="340"/>
  <c r="P49" i="340"/>
  <c r="O49" i="340"/>
  <c r="N49" i="340"/>
  <c r="M49" i="340"/>
  <c r="L49" i="340"/>
  <c r="K49" i="340"/>
  <c r="J49" i="340"/>
  <c r="I49" i="340"/>
  <c r="H49" i="340"/>
  <c r="G49" i="340"/>
  <c r="F49" i="340"/>
  <c r="E49" i="340"/>
  <c r="D49" i="340"/>
  <c r="C49" i="340"/>
  <c r="B49" i="340"/>
  <c r="AC48" i="340"/>
  <c r="AB48" i="340"/>
  <c r="AA48" i="340"/>
  <c r="Z48" i="340"/>
  <c r="Y48" i="340"/>
  <c r="X48" i="340"/>
  <c r="W48" i="340"/>
  <c r="V48" i="340"/>
  <c r="U48" i="340"/>
  <c r="T48" i="340"/>
  <c r="S48" i="340"/>
  <c r="R48" i="340"/>
  <c r="Q48" i="340"/>
  <c r="P48" i="340"/>
  <c r="O48" i="340"/>
  <c r="N48" i="340"/>
  <c r="M48" i="340"/>
  <c r="L48" i="340"/>
  <c r="K48" i="340"/>
  <c r="J48" i="340"/>
  <c r="I48" i="340"/>
  <c r="H48" i="340"/>
  <c r="G48" i="340"/>
  <c r="F48" i="340"/>
  <c r="E48" i="340"/>
  <c r="D48" i="340"/>
  <c r="C48" i="340"/>
  <c r="B48" i="340"/>
  <c r="AC47" i="340"/>
  <c r="AB47" i="340"/>
  <c r="AA47" i="340"/>
  <c r="Z47" i="340"/>
  <c r="Y47" i="340"/>
  <c r="X47" i="340"/>
  <c r="W47" i="340"/>
  <c r="V47" i="340"/>
  <c r="U47" i="340"/>
  <c r="T47" i="340"/>
  <c r="S47" i="340"/>
  <c r="R47" i="340"/>
  <c r="Q47" i="340"/>
  <c r="P47" i="340"/>
  <c r="O47" i="340"/>
  <c r="N47" i="340"/>
  <c r="M47" i="340"/>
  <c r="L47" i="340"/>
  <c r="K47" i="340"/>
  <c r="J47" i="340"/>
  <c r="I47" i="340"/>
  <c r="H47" i="340"/>
  <c r="G47" i="340"/>
  <c r="F47" i="340"/>
  <c r="E47" i="340"/>
  <c r="D47" i="340"/>
  <c r="C47" i="340"/>
  <c r="B47" i="340"/>
  <c r="AC46" i="340"/>
  <c r="AB46" i="340"/>
  <c r="AA46" i="340"/>
  <c r="Z46" i="340"/>
  <c r="Y46" i="340"/>
  <c r="X46" i="340"/>
  <c r="W46" i="340"/>
  <c r="V46" i="340"/>
  <c r="U46" i="340"/>
  <c r="T46" i="340"/>
  <c r="S46" i="340"/>
  <c r="R46" i="340"/>
  <c r="Q46" i="340"/>
  <c r="P46" i="340"/>
  <c r="O46" i="340"/>
  <c r="N46" i="340"/>
  <c r="M46" i="340"/>
  <c r="L46" i="340"/>
  <c r="K46" i="340"/>
  <c r="J46" i="340"/>
  <c r="I46" i="340"/>
  <c r="H46" i="340"/>
  <c r="G46" i="340"/>
  <c r="F46" i="340"/>
  <c r="E46" i="340"/>
  <c r="D46" i="340"/>
  <c r="C46" i="340"/>
  <c r="B46" i="340"/>
  <c r="AC45" i="340"/>
  <c r="AB45" i="340"/>
  <c r="AA45" i="340"/>
  <c r="Z45" i="340"/>
  <c r="Y45" i="340"/>
  <c r="X45" i="340"/>
  <c r="W45" i="340"/>
  <c r="V45" i="340"/>
  <c r="U45" i="340"/>
  <c r="T45" i="340"/>
  <c r="S45" i="340"/>
  <c r="R45" i="340"/>
  <c r="Q45" i="340"/>
  <c r="P45" i="340"/>
  <c r="O45" i="340"/>
  <c r="N45" i="340"/>
  <c r="M45" i="340"/>
  <c r="L45" i="340"/>
  <c r="K45" i="340"/>
  <c r="J45" i="340"/>
  <c r="I45" i="340"/>
  <c r="H45" i="340"/>
  <c r="G45" i="340"/>
  <c r="F45" i="340"/>
  <c r="E45" i="340"/>
  <c r="D45" i="340"/>
  <c r="C45" i="340"/>
  <c r="B45" i="340"/>
  <c r="AC44" i="340"/>
  <c r="AB44" i="340"/>
  <c r="AA44" i="340"/>
  <c r="Z44" i="340"/>
  <c r="Y44" i="340"/>
  <c r="X44" i="340"/>
  <c r="W44" i="340"/>
  <c r="V44" i="340"/>
  <c r="U44" i="340"/>
  <c r="T44" i="340"/>
  <c r="S44" i="340"/>
  <c r="R44" i="340"/>
  <c r="Q44" i="340"/>
  <c r="P44" i="340"/>
  <c r="O44" i="340"/>
  <c r="N44" i="340"/>
  <c r="M44" i="340"/>
  <c r="L44" i="340"/>
  <c r="K44" i="340"/>
  <c r="J44" i="340"/>
  <c r="I44" i="340"/>
  <c r="H44" i="340"/>
  <c r="G44" i="340"/>
  <c r="F44" i="340"/>
  <c r="E44" i="340"/>
  <c r="D44" i="340"/>
  <c r="C44" i="340"/>
  <c r="B44" i="340"/>
  <c r="AC43" i="340"/>
  <c r="AB43" i="340"/>
  <c r="AA43" i="340"/>
  <c r="Z43" i="340"/>
  <c r="Y43" i="340"/>
  <c r="X43" i="340"/>
  <c r="W43" i="340"/>
  <c r="V43" i="340"/>
  <c r="U43" i="340"/>
  <c r="T43" i="340"/>
  <c r="S43" i="340"/>
  <c r="R43" i="340"/>
  <c r="Q43" i="340"/>
  <c r="P43" i="340"/>
  <c r="O43" i="340"/>
  <c r="N43" i="340"/>
  <c r="M43" i="340"/>
  <c r="L43" i="340"/>
  <c r="K43" i="340"/>
  <c r="J43" i="340"/>
  <c r="I43" i="340"/>
  <c r="H43" i="340"/>
  <c r="G43" i="340"/>
  <c r="F43" i="340"/>
  <c r="E43" i="340"/>
  <c r="D43" i="340"/>
  <c r="C43" i="340"/>
  <c r="B43" i="340"/>
  <c r="AC42" i="340"/>
  <c r="AB42" i="340"/>
  <c r="AA42" i="340"/>
  <c r="Z42" i="340"/>
  <c r="Y42" i="340"/>
  <c r="X42" i="340"/>
  <c r="W42" i="340"/>
  <c r="V42" i="340"/>
  <c r="U42" i="340"/>
  <c r="T42" i="340"/>
  <c r="S42" i="340"/>
  <c r="R42" i="340"/>
  <c r="Q42" i="340"/>
  <c r="P42" i="340"/>
  <c r="O42" i="340"/>
  <c r="N42" i="340"/>
  <c r="M42" i="340"/>
  <c r="L42" i="340"/>
  <c r="K42" i="340"/>
  <c r="J42" i="340"/>
  <c r="I42" i="340"/>
  <c r="H42" i="340"/>
  <c r="G42" i="340"/>
  <c r="F42" i="340"/>
  <c r="E42" i="340"/>
  <c r="D42" i="340"/>
  <c r="C42" i="340"/>
  <c r="B42" i="340"/>
  <c r="AC41" i="340"/>
  <c r="AB41" i="340"/>
  <c r="AA41" i="340"/>
  <c r="Z41" i="340"/>
  <c r="Y41" i="340"/>
  <c r="X41" i="340"/>
  <c r="W41" i="340"/>
  <c r="V41" i="340"/>
  <c r="U41" i="340"/>
  <c r="T41" i="340"/>
  <c r="S41" i="340"/>
  <c r="R41" i="340"/>
  <c r="Q41" i="340"/>
  <c r="P41" i="340"/>
  <c r="O41" i="340"/>
  <c r="N41" i="340"/>
  <c r="M41" i="340"/>
  <c r="L41" i="340"/>
  <c r="K41" i="340"/>
  <c r="J41" i="340"/>
  <c r="I41" i="340"/>
  <c r="H41" i="340"/>
  <c r="G41" i="340"/>
  <c r="F41" i="340"/>
  <c r="E41" i="340"/>
  <c r="D41" i="340"/>
  <c r="C41" i="340"/>
  <c r="B41" i="340"/>
  <c r="AC40" i="340"/>
  <c r="AB40" i="340"/>
  <c r="AA40" i="340"/>
  <c r="Z40" i="340"/>
  <c r="Y40" i="340"/>
  <c r="X40" i="340"/>
  <c r="W40" i="340"/>
  <c r="V40" i="340"/>
  <c r="U40" i="340"/>
  <c r="T40" i="340"/>
  <c r="S40" i="340"/>
  <c r="R40" i="340"/>
  <c r="Q40" i="340"/>
  <c r="P40" i="340"/>
  <c r="O40" i="340"/>
  <c r="N40" i="340"/>
  <c r="M40" i="340"/>
  <c r="L40" i="340"/>
  <c r="K40" i="340"/>
  <c r="J40" i="340"/>
  <c r="I40" i="340"/>
  <c r="H40" i="340"/>
  <c r="G40" i="340"/>
  <c r="F40" i="340"/>
  <c r="E40" i="340"/>
  <c r="D40" i="340"/>
  <c r="C40" i="340"/>
  <c r="B40" i="340"/>
  <c r="AC39" i="340"/>
  <c r="AB39" i="340"/>
  <c r="AA39" i="340"/>
  <c r="Z39" i="340"/>
  <c r="Y39" i="340"/>
  <c r="X39" i="340"/>
  <c r="W39" i="340"/>
  <c r="V39" i="340"/>
  <c r="U39" i="340"/>
  <c r="T39" i="340"/>
  <c r="S39" i="340"/>
  <c r="R39" i="340"/>
  <c r="Q39" i="340"/>
  <c r="P39" i="340"/>
  <c r="O39" i="340"/>
  <c r="N39" i="340"/>
  <c r="M39" i="340"/>
  <c r="L39" i="340"/>
  <c r="K39" i="340"/>
  <c r="J39" i="340"/>
  <c r="I39" i="340"/>
  <c r="H39" i="340"/>
  <c r="G39" i="340"/>
  <c r="F39" i="340"/>
  <c r="E39" i="340"/>
  <c r="D39" i="340"/>
  <c r="C39" i="340"/>
  <c r="B39" i="340"/>
  <c r="AC38" i="340"/>
  <c r="AB38" i="340"/>
  <c r="AA38" i="340"/>
  <c r="AA57" i="340" s="1"/>
  <c r="Z38" i="340"/>
  <c r="Z57" i="340" s="1"/>
  <c r="Y38" i="340"/>
  <c r="Y57" i="340" s="1"/>
  <c r="X38" i="340"/>
  <c r="X57" i="340" s="1"/>
  <c r="W38" i="340"/>
  <c r="W57" i="340" s="1"/>
  <c r="V38" i="340"/>
  <c r="V57" i="340" s="1"/>
  <c r="U38" i="340"/>
  <c r="U57" i="340" s="1"/>
  <c r="T38" i="340"/>
  <c r="T57" i="340" s="1"/>
  <c r="S38" i="340"/>
  <c r="S57" i="340" s="1"/>
  <c r="R38" i="340"/>
  <c r="R57" i="340" s="1"/>
  <c r="Q38" i="340"/>
  <c r="Q57" i="340" s="1"/>
  <c r="P38" i="340"/>
  <c r="P57" i="340" s="1"/>
  <c r="O38" i="340"/>
  <c r="O57" i="340" s="1"/>
  <c r="N38" i="340"/>
  <c r="N57" i="340" s="1"/>
  <c r="M38" i="340"/>
  <c r="M57" i="340" s="1"/>
  <c r="L38" i="340"/>
  <c r="L57" i="340" s="1"/>
  <c r="K38" i="340"/>
  <c r="K57" i="340" s="1"/>
  <c r="J38" i="340"/>
  <c r="J57" i="340" s="1"/>
  <c r="I38" i="340"/>
  <c r="I57" i="340" s="1"/>
  <c r="H38" i="340"/>
  <c r="H57" i="340" s="1"/>
  <c r="G38" i="340"/>
  <c r="G57" i="340" s="1"/>
  <c r="F38" i="340"/>
  <c r="F57" i="340" s="1"/>
  <c r="E38" i="340"/>
  <c r="E57" i="340" s="1"/>
  <c r="D38" i="340"/>
  <c r="D57" i="340" s="1"/>
  <c r="C38" i="340"/>
  <c r="B38" i="340"/>
  <c r="AC36" i="340"/>
  <c r="AB36" i="340"/>
  <c r="AA36" i="340"/>
  <c r="Z36" i="340"/>
  <c r="Y36" i="340"/>
  <c r="X36" i="340"/>
  <c r="W36" i="340"/>
  <c r="V36" i="340"/>
  <c r="U36" i="340"/>
  <c r="T36" i="340"/>
  <c r="S36" i="340"/>
  <c r="R36" i="340"/>
  <c r="Q36" i="340"/>
  <c r="P36" i="340"/>
  <c r="O36" i="340"/>
  <c r="N36" i="340"/>
  <c r="M36" i="340"/>
  <c r="L36" i="340"/>
  <c r="K36" i="340"/>
  <c r="J36" i="340"/>
  <c r="I36" i="340"/>
  <c r="H36" i="340"/>
  <c r="G36" i="340"/>
  <c r="F36" i="340"/>
  <c r="E36" i="340"/>
  <c r="D36" i="340"/>
  <c r="C36" i="340"/>
  <c r="B36" i="340"/>
  <c r="AC35" i="340"/>
  <c r="AB35" i="340"/>
  <c r="AA35" i="340"/>
  <c r="Z35" i="340"/>
  <c r="Y35" i="340"/>
  <c r="X35" i="340"/>
  <c r="W35" i="340"/>
  <c r="V35" i="340"/>
  <c r="U35" i="340"/>
  <c r="T35" i="340"/>
  <c r="S35" i="340"/>
  <c r="R35" i="340"/>
  <c r="Q35" i="340"/>
  <c r="P35" i="340"/>
  <c r="O35" i="340"/>
  <c r="N35" i="340"/>
  <c r="M35" i="340"/>
  <c r="L35" i="340"/>
  <c r="K35" i="340"/>
  <c r="J35" i="340"/>
  <c r="I35" i="340"/>
  <c r="H35" i="340"/>
  <c r="G35" i="340"/>
  <c r="F35" i="340"/>
  <c r="E35" i="340"/>
  <c r="D35" i="340"/>
  <c r="C35" i="340"/>
  <c r="B35" i="340"/>
  <c r="AC34" i="340"/>
  <c r="AB34" i="340"/>
  <c r="AA34" i="340"/>
  <c r="Z34" i="340"/>
  <c r="Y34" i="340"/>
  <c r="X34" i="340"/>
  <c r="W34" i="340"/>
  <c r="V34" i="340"/>
  <c r="U34" i="340"/>
  <c r="T34" i="340"/>
  <c r="S34" i="340"/>
  <c r="R34" i="340"/>
  <c r="Q34" i="340"/>
  <c r="P34" i="340"/>
  <c r="O34" i="340"/>
  <c r="N34" i="340"/>
  <c r="M34" i="340"/>
  <c r="L34" i="340"/>
  <c r="K34" i="340"/>
  <c r="J34" i="340"/>
  <c r="I34" i="340"/>
  <c r="H34" i="340"/>
  <c r="G34" i="340"/>
  <c r="F34" i="340"/>
  <c r="E34" i="340"/>
  <c r="D34" i="340"/>
  <c r="C34" i="340"/>
  <c r="B34" i="340"/>
  <c r="AC33" i="340"/>
  <c r="AB33" i="340"/>
  <c r="AA33" i="340"/>
  <c r="Z33" i="340"/>
  <c r="Y33" i="340"/>
  <c r="X33" i="340"/>
  <c r="W33" i="340"/>
  <c r="V33" i="340"/>
  <c r="U33" i="340"/>
  <c r="T33" i="340"/>
  <c r="S33" i="340"/>
  <c r="R33" i="340"/>
  <c r="Q33" i="340"/>
  <c r="P33" i="340"/>
  <c r="O33" i="340"/>
  <c r="N33" i="340"/>
  <c r="M33" i="340"/>
  <c r="L33" i="340"/>
  <c r="K33" i="340"/>
  <c r="J33" i="340"/>
  <c r="I33" i="340"/>
  <c r="H33" i="340"/>
  <c r="G33" i="340"/>
  <c r="F33" i="340"/>
  <c r="E33" i="340"/>
  <c r="D33" i="340"/>
  <c r="C33" i="340"/>
  <c r="B33" i="340"/>
  <c r="AC32" i="340"/>
  <c r="AB32" i="340"/>
  <c r="AA32" i="340"/>
  <c r="Z32" i="340"/>
  <c r="Y32" i="340"/>
  <c r="X32" i="340"/>
  <c r="W32" i="340"/>
  <c r="V32" i="340"/>
  <c r="U32" i="340"/>
  <c r="T32" i="340"/>
  <c r="S32" i="340"/>
  <c r="R32" i="340"/>
  <c r="Q32" i="340"/>
  <c r="P32" i="340"/>
  <c r="O32" i="340"/>
  <c r="N32" i="340"/>
  <c r="M32" i="340"/>
  <c r="L32" i="340"/>
  <c r="K32" i="340"/>
  <c r="J32" i="340"/>
  <c r="I32" i="340"/>
  <c r="H32" i="340"/>
  <c r="G32" i="340"/>
  <c r="F32" i="340"/>
  <c r="E32" i="340"/>
  <c r="D32" i="340"/>
  <c r="C32" i="340"/>
  <c r="B32" i="340"/>
  <c r="AC31" i="340"/>
  <c r="AB31" i="340"/>
  <c r="AA31" i="340"/>
  <c r="Z31" i="340"/>
  <c r="Y31" i="340"/>
  <c r="X31" i="340"/>
  <c r="W31" i="340"/>
  <c r="V31" i="340"/>
  <c r="U31" i="340"/>
  <c r="T31" i="340"/>
  <c r="S31" i="340"/>
  <c r="R31" i="340"/>
  <c r="Q31" i="340"/>
  <c r="P31" i="340"/>
  <c r="O31" i="340"/>
  <c r="N31" i="340"/>
  <c r="M31" i="340"/>
  <c r="L31" i="340"/>
  <c r="K31" i="340"/>
  <c r="J31" i="340"/>
  <c r="I31" i="340"/>
  <c r="H31" i="340"/>
  <c r="G31" i="340"/>
  <c r="F31" i="340"/>
  <c r="E31" i="340"/>
  <c r="D31" i="340"/>
  <c r="C31" i="340"/>
  <c r="B31" i="340"/>
  <c r="AC30" i="340"/>
  <c r="AB30" i="340"/>
  <c r="AA30" i="340"/>
  <c r="Z30" i="340"/>
  <c r="Y30" i="340"/>
  <c r="X30" i="340"/>
  <c r="W30" i="340"/>
  <c r="V30" i="340"/>
  <c r="U30" i="340"/>
  <c r="T30" i="340"/>
  <c r="S30" i="340"/>
  <c r="R30" i="340"/>
  <c r="Q30" i="340"/>
  <c r="P30" i="340"/>
  <c r="O30" i="340"/>
  <c r="N30" i="340"/>
  <c r="M30" i="340"/>
  <c r="L30" i="340"/>
  <c r="K30" i="340"/>
  <c r="J30" i="340"/>
  <c r="I30" i="340"/>
  <c r="H30" i="340"/>
  <c r="G30" i="340"/>
  <c r="F30" i="340"/>
  <c r="E30" i="340"/>
  <c r="D30" i="340"/>
  <c r="C30" i="340"/>
  <c r="B30" i="340"/>
  <c r="AC29" i="340"/>
  <c r="AB29" i="340"/>
  <c r="AA29" i="340"/>
  <c r="Z29" i="340"/>
  <c r="Y29" i="340"/>
  <c r="X29" i="340"/>
  <c r="W29" i="340"/>
  <c r="V29" i="340"/>
  <c r="U29" i="340"/>
  <c r="T29" i="340"/>
  <c r="S29" i="340"/>
  <c r="R29" i="340"/>
  <c r="Q29" i="340"/>
  <c r="P29" i="340"/>
  <c r="O29" i="340"/>
  <c r="N29" i="340"/>
  <c r="M29" i="340"/>
  <c r="L29" i="340"/>
  <c r="K29" i="340"/>
  <c r="J29" i="340"/>
  <c r="I29" i="340"/>
  <c r="H29" i="340"/>
  <c r="G29" i="340"/>
  <c r="F29" i="340"/>
  <c r="E29" i="340"/>
  <c r="D29" i="340"/>
  <c r="C29" i="340"/>
  <c r="B29" i="340"/>
  <c r="AC28" i="340"/>
  <c r="AB28" i="340"/>
  <c r="AA28" i="340"/>
  <c r="Z28" i="340"/>
  <c r="Y28" i="340"/>
  <c r="X28" i="340"/>
  <c r="W28" i="340"/>
  <c r="V28" i="340"/>
  <c r="U28" i="340"/>
  <c r="T28" i="340"/>
  <c r="S28" i="340"/>
  <c r="R28" i="340"/>
  <c r="Q28" i="340"/>
  <c r="P28" i="340"/>
  <c r="O28" i="340"/>
  <c r="N28" i="340"/>
  <c r="M28" i="340"/>
  <c r="L28" i="340"/>
  <c r="K28" i="340"/>
  <c r="J28" i="340"/>
  <c r="I28" i="340"/>
  <c r="H28" i="340"/>
  <c r="G28" i="340"/>
  <c r="F28" i="340"/>
  <c r="E28" i="340"/>
  <c r="D28" i="340"/>
  <c r="C28" i="340"/>
  <c r="B28" i="340"/>
  <c r="AC27" i="340"/>
  <c r="AB27" i="340"/>
  <c r="AA27" i="340"/>
  <c r="Z27" i="340"/>
  <c r="Y27" i="340"/>
  <c r="X27" i="340"/>
  <c r="W27" i="340"/>
  <c r="V27" i="340"/>
  <c r="U27" i="340"/>
  <c r="T27" i="340"/>
  <c r="S27" i="340"/>
  <c r="R27" i="340"/>
  <c r="Q27" i="340"/>
  <c r="P27" i="340"/>
  <c r="O27" i="340"/>
  <c r="N27" i="340"/>
  <c r="M27" i="340"/>
  <c r="L27" i="340"/>
  <c r="K27" i="340"/>
  <c r="J27" i="340"/>
  <c r="I27" i="340"/>
  <c r="H27" i="340"/>
  <c r="G27" i="340"/>
  <c r="F27" i="340"/>
  <c r="E27" i="340"/>
  <c r="D27" i="340"/>
  <c r="C27" i="340"/>
  <c r="B27" i="340"/>
  <c r="AC26" i="340"/>
  <c r="AB26" i="340"/>
  <c r="AA26" i="340"/>
  <c r="Z26" i="340"/>
  <c r="Y26" i="340"/>
  <c r="X26" i="340"/>
  <c r="W26" i="340"/>
  <c r="V26" i="340"/>
  <c r="U26" i="340"/>
  <c r="T26" i="340"/>
  <c r="S26" i="340"/>
  <c r="R26" i="340"/>
  <c r="Q26" i="340"/>
  <c r="P26" i="340"/>
  <c r="O26" i="340"/>
  <c r="N26" i="340"/>
  <c r="M26" i="340"/>
  <c r="L26" i="340"/>
  <c r="K26" i="340"/>
  <c r="J26" i="340"/>
  <c r="I26" i="340"/>
  <c r="H26" i="340"/>
  <c r="G26" i="340"/>
  <c r="F26" i="340"/>
  <c r="E26" i="340"/>
  <c r="D26" i="340"/>
  <c r="C26" i="340"/>
  <c r="B26" i="340"/>
  <c r="AC25" i="340"/>
  <c r="AB25" i="340"/>
  <c r="AA25" i="340"/>
  <c r="Z25" i="340"/>
  <c r="Y25" i="340"/>
  <c r="X25" i="340"/>
  <c r="W25" i="340"/>
  <c r="V25" i="340"/>
  <c r="U25" i="340"/>
  <c r="T25" i="340"/>
  <c r="S25" i="340"/>
  <c r="R25" i="340"/>
  <c r="Q25" i="340"/>
  <c r="P25" i="340"/>
  <c r="O25" i="340"/>
  <c r="N25" i="340"/>
  <c r="M25" i="340"/>
  <c r="L25" i="340"/>
  <c r="K25" i="340"/>
  <c r="J25" i="340"/>
  <c r="I25" i="340"/>
  <c r="H25" i="340"/>
  <c r="G25" i="340"/>
  <c r="F25" i="340"/>
  <c r="E25" i="340"/>
  <c r="D25" i="340"/>
  <c r="C25" i="340"/>
  <c r="B25" i="340"/>
  <c r="AC24" i="340"/>
  <c r="AB24" i="340"/>
  <c r="AA24" i="340"/>
  <c r="Z24" i="340"/>
  <c r="Y24" i="340"/>
  <c r="X24" i="340"/>
  <c r="W24" i="340"/>
  <c r="V24" i="340"/>
  <c r="U24" i="340"/>
  <c r="T24" i="340"/>
  <c r="S24" i="340"/>
  <c r="R24" i="340"/>
  <c r="Q24" i="340"/>
  <c r="P24" i="340"/>
  <c r="O24" i="340"/>
  <c r="N24" i="340"/>
  <c r="M24" i="340"/>
  <c r="L24" i="340"/>
  <c r="K24" i="340"/>
  <c r="J24" i="340"/>
  <c r="I24" i="340"/>
  <c r="H24" i="340"/>
  <c r="G24" i="340"/>
  <c r="F24" i="340"/>
  <c r="E24" i="340"/>
  <c r="D24" i="340"/>
  <c r="C24" i="340"/>
  <c r="B24" i="340"/>
  <c r="AC23" i="340"/>
  <c r="AB23" i="340"/>
  <c r="AA23" i="340"/>
  <c r="Z23" i="340"/>
  <c r="Y23" i="340"/>
  <c r="X23" i="340"/>
  <c r="W23" i="340"/>
  <c r="V23" i="340"/>
  <c r="U23" i="340"/>
  <c r="T23" i="340"/>
  <c r="S23" i="340"/>
  <c r="R23" i="340"/>
  <c r="Q23" i="340"/>
  <c r="P23" i="340"/>
  <c r="O23" i="340"/>
  <c r="N23" i="340"/>
  <c r="M23" i="340"/>
  <c r="L23" i="340"/>
  <c r="K23" i="340"/>
  <c r="J23" i="340"/>
  <c r="I23" i="340"/>
  <c r="H23" i="340"/>
  <c r="G23" i="340"/>
  <c r="F23" i="340"/>
  <c r="E23" i="340"/>
  <c r="D23" i="340"/>
  <c r="C23" i="340"/>
  <c r="B23" i="340"/>
  <c r="AC22" i="340"/>
  <c r="AB22" i="340"/>
  <c r="AA22" i="340"/>
  <c r="Z22" i="340"/>
  <c r="Y22" i="340"/>
  <c r="X22" i="340"/>
  <c r="W22" i="340"/>
  <c r="V22" i="340"/>
  <c r="U22" i="340"/>
  <c r="T22" i="340"/>
  <c r="S22" i="340"/>
  <c r="R22" i="340"/>
  <c r="Q22" i="340"/>
  <c r="P22" i="340"/>
  <c r="O22" i="340"/>
  <c r="N22" i="340"/>
  <c r="M22" i="340"/>
  <c r="L22" i="340"/>
  <c r="K22" i="340"/>
  <c r="J22" i="340"/>
  <c r="I22" i="340"/>
  <c r="H22" i="340"/>
  <c r="G22" i="340"/>
  <c r="F22" i="340"/>
  <c r="E22" i="340"/>
  <c r="D22" i="340"/>
  <c r="C22" i="340"/>
  <c r="B22" i="340"/>
  <c r="AC21" i="340"/>
  <c r="AB21" i="340"/>
  <c r="AA21" i="340"/>
  <c r="Z21" i="340"/>
  <c r="Y21" i="340"/>
  <c r="X21" i="340"/>
  <c r="W21" i="340"/>
  <c r="V21" i="340"/>
  <c r="U21" i="340"/>
  <c r="T21" i="340"/>
  <c r="S21" i="340"/>
  <c r="R21" i="340"/>
  <c r="Q21" i="340"/>
  <c r="P21" i="340"/>
  <c r="O21" i="340"/>
  <c r="N21" i="340"/>
  <c r="M21" i="340"/>
  <c r="L21" i="340"/>
  <c r="K21" i="340"/>
  <c r="J21" i="340"/>
  <c r="I21" i="340"/>
  <c r="H21" i="340"/>
  <c r="G21" i="340"/>
  <c r="F21" i="340"/>
  <c r="E21" i="340"/>
  <c r="D21" i="340"/>
  <c r="C21" i="340"/>
  <c r="B21" i="340"/>
  <c r="AC20" i="340"/>
  <c r="AB20" i="340"/>
  <c r="AA20" i="340"/>
  <c r="Z20" i="340"/>
  <c r="Y20" i="340"/>
  <c r="X20" i="340"/>
  <c r="W20" i="340"/>
  <c r="V20" i="340"/>
  <c r="U20" i="340"/>
  <c r="T20" i="340"/>
  <c r="S20" i="340"/>
  <c r="R20" i="340"/>
  <c r="Q20" i="340"/>
  <c r="P20" i="340"/>
  <c r="O20" i="340"/>
  <c r="N20" i="340"/>
  <c r="M20" i="340"/>
  <c r="L20" i="340"/>
  <c r="K20" i="340"/>
  <c r="J20" i="340"/>
  <c r="I20" i="340"/>
  <c r="H20" i="340"/>
  <c r="G20" i="340"/>
  <c r="F20" i="340"/>
  <c r="E20" i="340"/>
  <c r="D20" i="340"/>
  <c r="C20" i="340"/>
  <c r="B20" i="340"/>
  <c r="AC19" i="340"/>
  <c r="AB19" i="340"/>
  <c r="AA19" i="340"/>
  <c r="Z19" i="340"/>
  <c r="Y19" i="340"/>
  <c r="X19" i="340"/>
  <c r="W19" i="340"/>
  <c r="V19" i="340"/>
  <c r="U19" i="340"/>
  <c r="T19" i="340"/>
  <c r="S19" i="340"/>
  <c r="R19" i="340"/>
  <c r="Q19" i="340"/>
  <c r="P19" i="340"/>
  <c r="O19" i="340"/>
  <c r="N19" i="340"/>
  <c r="M19" i="340"/>
  <c r="L19" i="340"/>
  <c r="K19" i="340"/>
  <c r="J19" i="340"/>
  <c r="I19" i="340"/>
  <c r="H19" i="340"/>
  <c r="G19" i="340"/>
  <c r="F19" i="340"/>
  <c r="E19" i="340"/>
  <c r="D19" i="340"/>
  <c r="C19" i="340"/>
  <c r="B19" i="340"/>
  <c r="AC18" i="340"/>
  <c r="AB18" i="340"/>
  <c r="AA18" i="340"/>
  <c r="Z18" i="340"/>
  <c r="Y18" i="340"/>
  <c r="X18" i="340"/>
  <c r="W18" i="340"/>
  <c r="V18" i="340"/>
  <c r="U18" i="340"/>
  <c r="T18" i="340"/>
  <c r="S18" i="340"/>
  <c r="R18" i="340"/>
  <c r="Q18" i="340"/>
  <c r="P18" i="340"/>
  <c r="O18" i="340"/>
  <c r="N18" i="340"/>
  <c r="M18" i="340"/>
  <c r="L18" i="340"/>
  <c r="K18" i="340"/>
  <c r="J18" i="340"/>
  <c r="I18" i="340"/>
  <c r="H18" i="340"/>
  <c r="G18" i="340"/>
  <c r="F18" i="340"/>
  <c r="E18" i="340"/>
  <c r="D18" i="340"/>
  <c r="C18" i="340"/>
  <c r="B18" i="340"/>
  <c r="AC17" i="340"/>
  <c r="AB17" i="340"/>
  <c r="AA17" i="340"/>
  <c r="AA37" i="340" s="1"/>
  <c r="Z17" i="340"/>
  <c r="Z37" i="340" s="1"/>
  <c r="Y17" i="340"/>
  <c r="Y37" i="340" s="1"/>
  <c r="X17" i="340"/>
  <c r="X37" i="340" s="1"/>
  <c r="W17" i="340"/>
  <c r="W37" i="340" s="1"/>
  <c r="V17" i="340"/>
  <c r="V37" i="340" s="1"/>
  <c r="U17" i="340"/>
  <c r="U37" i="340" s="1"/>
  <c r="T17" i="340"/>
  <c r="T37" i="340" s="1"/>
  <c r="S17" i="340"/>
  <c r="S37" i="340" s="1"/>
  <c r="R17" i="340"/>
  <c r="R37" i="340" s="1"/>
  <c r="Q17" i="340"/>
  <c r="Q37" i="340" s="1"/>
  <c r="P17" i="340"/>
  <c r="P37" i="340" s="1"/>
  <c r="O17" i="340"/>
  <c r="O37" i="340" s="1"/>
  <c r="N17" i="340"/>
  <c r="N37" i="340" s="1"/>
  <c r="M17" i="340"/>
  <c r="M37" i="340" s="1"/>
  <c r="L17" i="340"/>
  <c r="L37" i="340" s="1"/>
  <c r="K17" i="340"/>
  <c r="K37" i="340" s="1"/>
  <c r="J17" i="340"/>
  <c r="J37" i="340" s="1"/>
  <c r="I17" i="340"/>
  <c r="I37" i="340" s="1"/>
  <c r="H17" i="340"/>
  <c r="H37" i="340" s="1"/>
  <c r="G17" i="340"/>
  <c r="G37" i="340" s="1"/>
  <c r="F17" i="340"/>
  <c r="F37" i="340" s="1"/>
  <c r="E17" i="340"/>
  <c r="E37" i="340" s="1"/>
  <c r="D17" i="340"/>
  <c r="D37" i="340" s="1"/>
  <c r="C17" i="340"/>
  <c r="B17" i="340"/>
  <c r="Z16" i="340"/>
  <c r="Y16" i="340"/>
  <c r="V16" i="340"/>
  <c r="U16" i="340"/>
  <c r="R16" i="340"/>
  <c r="Q16" i="340"/>
  <c r="N16" i="340"/>
  <c r="M16" i="340"/>
  <c r="J16" i="340"/>
  <c r="I16" i="340"/>
  <c r="F16" i="340"/>
  <c r="E16" i="340"/>
  <c r="AC15" i="340"/>
  <c r="AB15" i="340"/>
  <c r="AA15" i="340"/>
  <c r="AA16" i="340" s="1"/>
  <c r="Z15" i="340"/>
  <c r="Y15" i="340"/>
  <c r="X15" i="340"/>
  <c r="X16" i="340" s="1"/>
  <c r="W15" i="340"/>
  <c r="W16" i="340" s="1"/>
  <c r="V15" i="340"/>
  <c r="U15" i="340"/>
  <c r="T15" i="340"/>
  <c r="T16" i="340" s="1"/>
  <c r="S15" i="340"/>
  <c r="S16" i="340" s="1"/>
  <c r="R15" i="340"/>
  <c r="Q15" i="340"/>
  <c r="P15" i="340"/>
  <c r="P16" i="340" s="1"/>
  <c r="O15" i="340"/>
  <c r="O16" i="340" s="1"/>
  <c r="N15" i="340"/>
  <c r="M15" i="340"/>
  <c r="L15" i="340"/>
  <c r="L16" i="340" s="1"/>
  <c r="K15" i="340"/>
  <c r="K16" i="340" s="1"/>
  <c r="J15" i="340"/>
  <c r="I15" i="340"/>
  <c r="H15" i="340"/>
  <c r="H16" i="340" s="1"/>
  <c r="G15" i="340"/>
  <c r="G16" i="340" s="1"/>
  <c r="F15" i="340"/>
  <c r="E15" i="340"/>
  <c r="D15" i="340"/>
  <c r="D16" i="340" s="1"/>
  <c r="C15" i="340"/>
  <c r="B15" i="340"/>
  <c r="O14" i="340"/>
  <c r="G14" i="340"/>
  <c r="AC13" i="340"/>
  <c r="AB13" i="340"/>
  <c r="AA13" i="340"/>
  <c r="Z13" i="340"/>
  <c r="Y13" i="340"/>
  <c r="X13" i="340"/>
  <c r="W13" i="340"/>
  <c r="V13" i="340"/>
  <c r="U13" i="340"/>
  <c r="T13" i="340"/>
  <c r="S13" i="340"/>
  <c r="R13" i="340"/>
  <c r="Q13" i="340"/>
  <c r="P13" i="340"/>
  <c r="O13" i="340"/>
  <c r="N13" i="340"/>
  <c r="M13" i="340"/>
  <c r="L13" i="340"/>
  <c r="K13" i="340"/>
  <c r="J13" i="340"/>
  <c r="I13" i="340"/>
  <c r="H13" i="340"/>
  <c r="G13" i="340"/>
  <c r="F13" i="340"/>
  <c r="E13" i="340"/>
  <c r="D13" i="340"/>
  <c r="C13" i="340"/>
  <c r="B13" i="340"/>
  <c r="AC12" i="340"/>
  <c r="AB12" i="340"/>
  <c r="AA12" i="340"/>
  <c r="Z12" i="340"/>
  <c r="Y12" i="340"/>
  <c r="X12" i="340"/>
  <c r="W12" i="340"/>
  <c r="V12" i="340"/>
  <c r="U12" i="340"/>
  <c r="T12" i="340"/>
  <c r="S12" i="340"/>
  <c r="R12" i="340"/>
  <c r="Q12" i="340"/>
  <c r="P12" i="340"/>
  <c r="O12" i="340"/>
  <c r="N12" i="340"/>
  <c r="M12" i="340"/>
  <c r="L12" i="340"/>
  <c r="K12" i="340"/>
  <c r="J12" i="340"/>
  <c r="I12" i="340"/>
  <c r="H12" i="340"/>
  <c r="G12" i="340"/>
  <c r="F12" i="340"/>
  <c r="E12" i="340"/>
  <c r="D12" i="340"/>
  <c r="C12" i="340"/>
  <c r="B12" i="340"/>
  <c r="AC11" i="340"/>
  <c r="AB11" i="340"/>
  <c r="AA11" i="340"/>
  <c r="Z11" i="340"/>
  <c r="Y11" i="340"/>
  <c r="X11" i="340"/>
  <c r="W11" i="340"/>
  <c r="V11" i="340"/>
  <c r="U11" i="340"/>
  <c r="T11" i="340"/>
  <c r="S11" i="340"/>
  <c r="R11" i="340"/>
  <c r="Q11" i="340"/>
  <c r="P11" i="340"/>
  <c r="O11" i="340"/>
  <c r="N11" i="340"/>
  <c r="M11" i="340"/>
  <c r="L11" i="340"/>
  <c r="K11" i="340"/>
  <c r="J11" i="340"/>
  <c r="I11" i="340"/>
  <c r="H11" i="340"/>
  <c r="G11" i="340"/>
  <c r="F11" i="340"/>
  <c r="E11" i="340"/>
  <c r="D11" i="340"/>
  <c r="C11" i="340"/>
  <c r="B11" i="340"/>
  <c r="AC10" i="340"/>
  <c r="AB10" i="340"/>
  <c r="AA10" i="340"/>
  <c r="Z10" i="340"/>
  <c r="Y10" i="340"/>
  <c r="X10" i="340"/>
  <c r="W10" i="340"/>
  <c r="V10" i="340"/>
  <c r="U10" i="340"/>
  <c r="T10" i="340"/>
  <c r="S10" i="340"/>
  <c r="R10" i="340"/>
  <c r="Q10" i="340"/>
  <c r="P10" i="340"/>
  <c r="O10" i="340"/>
  <c r="N10" i="340"/>
  <c r="M10" i="340"/>
  <c r="L10" i="340"/>
  <c r="K10" i="340"/>
  <c r="J10" i="340"/>
  <c r="I10" i="340"/>
  <c r="H10" i="340"/>
  <c r="G10" i="340"/>
  <c r="F10" i="340"/>
  <c r="E10" i="340"/>
  <c r="D10" i="340"/>
  <c r="C10" i="340"/>
  <c r="B10" i="340"/>
  <c r="AC9" i="340"/>
  <c r="AB9" i="340"/>
  <c r="AA9" i="340"/>
  <c r="Z9" i="340"/>
  <c r="Y9" i="340"/>
  <c r="X9" i="340"/>
  <c r="W9" i="340"/>
  <c r="V9" i="340"/>
  <c r="U9" i="340"/>
  <c r="T9" i="340"/>
  <c r="S9" i="340"/>
  <c r="R9" i="340"/>
  <c r="Q9" i="340"/>
  <c r="P9" i="340"/>
  <c r="O9" i="340"/>
  <c r="N9" i="340"/>
  <c r="M9" i="340"/>
  <c r="L9" i="340"/>
  <c r="K9" i="340"/>
  <c r="J9" i="340"/>
  <c r="I9" i="340"/>
  <c r="H9" i="340"/>
  <c r="G9" i="340"/>
  <c r="F9" i="340"/>
  <c r="E9" i="340"/>
  <c r="D9" i="340"/>
  <c r="C9" i="340"/>
  <c r="B9" i="340"/>
  <c r="AC8" i="340"/>
  <c r="AB8" i="340"/>
  <c r="AA8" i="340"/>
  <c r="Z8" i="340"/>
  <c r="Y8" i="340"/>
  <c r="X8" i="340"/>
  <c r="W8" i="340"/>
  <c r="V8" i="340"/>
  <c r="U8" i="340"/>
  <c r="T8" i="340"/>
  <c r="S8" i="340"/>
  <c r="R8" i="340"/>
  <c r="Q8" i="340"/>
  <c r="P8" i="340"/>
  <c r="O8" i="340"/>
  <c r="N8" i="340"/>
  <c r="M8" i="340"/>
  <c r="L8" i="340"/>
  <c r="K8" i="340"/>
  <c r="J8" i="340"/>
  <c r="I8" i="340"/>
  <c r="H8" i="340"/>
  <c r="G8" i="340"/>
  <c r="F8" i="340"/>
  <c r="E8" i="340"/>
  <c r="D8" i="340"/>
  <c r="C8" i="340"/>
  <c r="B8" i="340"/>
  <c r="A8" i="340"/>
  <c r="A9" i="340" s="1"/>
  <c r="A10" i="340" s="1"/>
  <c r="A11" i="340" s="1"/>
  <c r="A12" i="340" s="1"/>
  <c r="A13" i="340" s="1"/>
  <c r="A15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8" i="340" s="1"/>
  <c r="A39" i="340" s="1"/>
  <c r="A40" i="340" s="1"/>
  <c r="A41" i="340" s="1"/>
  <c r="A42" i="340" s="1"/>
  <c r="A43" i="340" s="1"/>
  <c r="A44" i="340" s="1"/>
  <c r="A45" i="340" s="1"/>
  <c r="A46" i="340" s="1"/>
  <c r="A47" i="340" s="1"/>
  <c r="A48" i="340" s="1"/>
  <c r="A49" i="340" s="1"/>
  <c r="A50" i="340" s="1"/>
  <c r="A51" i="340" s="1"/>
  <c r="A52" i="340" s="1"/>
  <c r="A53" i="340" s="1"/>
  <c r="A54" i="340" s="1"/>
  <c r="A55" i="340" s="1"/>
  <c r="A56" i="340" s="1"/>
  <c r="A58" i="340" s="1"/>
  <c r="A60" i="340" s="1"/>
  <c r="A62" i="340" s="1"/>
  <c r="A63" i="340" s="1"/>
  <c r="A64" i="340" s="1"/>
  <c r="A65" i="340" s="1"/>
  <c r="A66" i="340" s="1"/>
  <c r="A67" i="340" s="1"/>
  <c r="A68" i="340" s="1"/>
  <c r="A69" i="340" s="1"/>
  <c r="A70" i="340" s="1"/>
  <c r="A71" i="340" s="1"/>
  <c r="A72" i="340" s="1"/>
  <c r="A73" i="340" s="1"/>
  <c r="A74" i="340" s="1"/>
  <c r="A75" i="340" s="1"/>
  <c r="A76" i="340" s="1"/>
  <c r="A77" i="340" s="1"/>
  <c r="A78" i="340" s="1"/>
  <c r="A79" i="340" s="1"/>
  <c r="A80" i="340" s="1"/>
  <c r="A81" i="340" s="1"/>
  <c r="A82" i="340" s="1"/>
  <c r="A83" i="340" s="1"/>
  <c r="A84" i="340" s="1"/>
  <c r="A85" i="340" s="1"/>
  <c r="A86" i="340" s="1"/>
  <c r="A87" i="340" s="1"/>
  <c r="A88" i="340" s="1"/>
  <c r="A89" i="340" s="1"/>
  <c r="A90" i="340" s="1"/>
  <c r="A92" i="340" s="1"/>
  <c r="A93" i="340" s="1"/>
  <c r="A94" i="340" s="1"/>
  <c r="A95" i="340" s="1"/>
  <c r="A96" i="340" s="1"/>
  <c r="A97" i="340" s="1"/>
  <c r="A98" i="340" s="1"/>
  <c r="A99" i="340" s="1"/>
  <c r="A100" i="340" s="1"/>
  <c r="A102" i="340" s="1"/>
  <c r="A103" i="340" s="1"/>
  <c r="A104" i="340" s="1"/>
  <c r="A106" i="340" s="1"/>
  <c r="A107" i="340" s="1"/>
  <c r="A109" i="340" s="1"/>
  <c r="A110" i="340" s="1"/>
  <c r="A111" i="340" s="1"/>
  <c r="A112" i="340" s="1"/>
  <c r="A113" i="340" s="1"/>
  <c r="A115" i="340" s="1"/>
  <c r="A116" i="340" s="1"/>
  <c r="A117" i="340" s="1"/>
  <c r="A118" i="340" s="1"/>
  <c r="A119" i="340" s="1"/>
  <c r="A120" i="340" s="1"/>
  <c r="A121" i="340" s="1"/>
  <c r="A123" i="340" s="1"/>
  <c r="AC7" i="340"/>
  <c r="AB7" i="340"/>
  <c r="AA7" i="340"/>
  <c r="AA14" i="340" s="1"/>
  <c r="Z7" i="340"/>
  <c r="Z14" i="340" s="1"/>
  <c r="Y7" i="340"/>
  <c r="Y14" i="340" s="1"/>
  <c r="X7" i="340"/>
  <c r="X14" i="340" s="1"/>
  <c r="W7" i="340"/>
  <c r="W14" i="340" s="1"/>
  <c r="V7" i="340"/>
  <c r="V14" i="340" s="1"/>
  <c r="U7" i="340"/>
  <c r="U14" i="340" s="1"/>
  <c r="T7" i="340"/>
  <c r="T14" i="340" s="1"/>
  <c r="S7" i="340"/>
  <c r="S14" i="340" s="1"/>
  <c r="R7" i="340"/>
  <c r="R14" i="340" s="1"/>
  <c r="Q7" i="340"/>
  <c r="Q14" i="340" s="1"/>
  <c r="P7" i="340"/>
  <c r="P14" i="340" s="1"/>
  <c r="O7" i="340"/>
  <c r="N7" i="340"/>
  <c r="N14" i="340" s="1"/>
  <c r="M7" i="340"/>
  <c r="M14" i="340" s="1"/>
  <c r="L7" i="340"/>
  <c r="L14" i="340" s="1"/>
  <c r="K7" i="340"/>
  <c r="K14" i="340" s="1"/>
  <c r="J7" i="340"/>
  <c r="J14" i="340" s="1"/>
  <c r="I7" i="340"/>
  <c r="I14" i="340" s="1"/>
  <c r="H7" i="340"/>
  <c r="H14" i="340" s="1"/>
  <c r="G7" i="340"/>
  <c r="F7" i="340"/>
  <c r="F14" i="340" s="1"/>
  <c r="E7" i="340"/>
  <c r="E14" i="340" s="1"/>
  <c r="D7" i="340"/>
  <c r="D14" i="340" s="1"/>
  <c r="C7" i="340"/>
  <c r="B7" i="340"/>
  <c r="A7" i="340"/>
  <c r="U6" i="340"/>
  <c r="Q6" i="340"/>
  <c r="M6" i="340"/>
  <c r="I6" i="340"/>
  <c r="E6" i="340"/>
  <c r="AC5" i="340"/>
  <c r="AB5" i="340"/>
  <c r="AA5" i="340"/>
  <c r="AA6" i="340" s="1"/>
  <c r="Z5" i="340"/>
  <c r="Z6" i="340" s="1"/>
  <c r="Y5" i="340"/>
  <c r="Y6" i="340" s="1"/>
  <c r="X5" i="340"/>
  <c r="X6" i="340" s="1"/>
  <c r="W5" i="340"/>
  <c r="W6" i="340" s="1"/>
  <c r="V5" i="340"/>
  <c r="V6" i="340" s="1"/>
  <c r="U5" i="340"/>
  <c r="T5" i="340"/>
  <c r="T6" i="340" s="1"/>
  <c r="S5" i="340"/>
  <c r="S6" i="340" s="1"/>
  <c r="R5" i="340"/>
  <c r="R6" i="340" s="1"/>
  <c r="Q5" i="340"/>
  <c r="P5" i="340"/>
  <c r="P6" i="340" s="1"/>
  <c r="O5" i="340"/>
  <c r="O6" i="340" s="1"/>
  <c r="N5" i="340"/>
  <c r="N6" i="340" s="1"/>
  <c r="M5" i="340"/>
  <c r="L5" i="340"/>
  <c r="L6" i="340" s="1"/>
  <c r="K5" i="340"/>
  <c r="K6" i="340" s="1"/>
  <c r="J5" i="340"/>
  <c r="J6" i="340" s="1"/>
  <c r="I5" i="340"/>
  <c r="H5" i="340"/>
  <c r="H6" i="340" s="1"/>
  <c r="G5" i="340"/>
  <c r="G6" i="340" s="1"/>
  <c r="F5" i="340"/>
  <c r="F6" i="340" s="1"/>
  <c r="E5" i="340"/>
  <c r="D5" i="340"/>
  <c r="D6" i="340" s="1"/>
  <c r="C5" i="340"/>
  <c r="B5" i="340"/>
  <c r="AC109" i="339"/>
  <c r="AB109" i="339"/>
  <c r="AA109" i="339"/>
  <c r="Z109" i="339"/>
  <c r="Y109" i="339"/>
  <c r="X109" i="339"/>
  <c r="W109" i="339"/>
  <c r="V109" i="339"/>
  <c r="U109" i="339"/>
  <c r="T109" i="339"/>
  <c r="S109" i="339"/>
  <c r="R109" i="339"/>
  <c r="Q109" i="339"/>
  <c r="P109" i="339"/>
  <c r="O109" i="339"/>
  <c r="N109" i="339"/>
  <c r="M109" i="339"/>
  <c r="L109" i="339"/>
  <c r="K109" i="339"/>
  <c r="J109" i="339"/>
  <c r="I109" i="339"/>
  <c r="H109" i="339"/>
  <c r="G109" i="339"/>
  <c r="F109" i="339"/>
  <c r="E109" i="339"/>
  <c r="D109" i="339"/>
  <c r="C109" i="339"/>
  <c r="B109" i="339"/>
  <c r="AC108" i="339"/>
  <c r="AB108" i="339"/>
  <c r="AA108" i="339"/>
  <c r="Z108" i="339"/>
  <c r="Y108" i="339"/>
  <c r="X108" i="339"/>
  <c r="W108" i="339"/>
  <c r="V108" i="339"/>
  <c r="U108" i="339"/>
  <c r="T108" i="339"/>
  <c r="S108" i="339"/>
  <c r="R108" i="339"/>
  <c r="Q108" i="339"/>
  <c r="P108" i="339"/>
  <c r="O108" i="339"/>
  <c r="N108" i="339"/>
  <c r="M108" i="339"/>
  <c r="L108" i="339"/>
  <c r="K108" i="339"/>
  <c r="J108" i="339"/>
  <c r="I108" i="339"/>
  <c r="H108" i="339"/>
  <c r="G108" i="339"/>
  <c r="F108" i="339"/>
  <c r="E108" i="339"/>
  <c r="D108" i="339"/>
  <c r="C108" i="339"/>
  <c r="B108" i="339"/>
  <c r="AC107" i="339"/>
  <c r="AB107" i="339"/>
  <c r="AA107" i="339"/>
  <c r="Z107" i="339"/>
  <c r="Y107" i="339"/>
  <c r="X107" i="339"/>
  <c r="W107" i="339"/>
  <c r="V107" i="339"/>
  <c r="U107" i="339"/>
  <c r="T107" i="339"/>
  <c r="S107" i="339"/>
  <c r="R107" i="339"/>
  <c r="Q107" i="339"/>
  <c r="P107" i="339"/>
  <c r="O107" i="339"/>
  <c r="N107" i="339"/>
  <c r="M107" i="339"/>
  <c r="L107" i="339"/>
  <c r="K107" i="339"/>
  <c r="J107" i="339"/>
  <c r="I107" i="339"/>
  <c r="H107" i="339"/>
  <c r="G107" i="339"/>
  <c r="F107" i="339"/>
  <c r="E107" i="339"/>
  <c r="D107" i="339"/>
  <c r="C107" i="339"/>
  <c r="B107" i="339"/>
  <c r="AC106" i="339"/>
  <c r="AB106" i="339"/>
  <c r="AA106" i="339"/>
  <c r="Z106" i="339"/>
  <c r="Y106" i="339"/>
  <c r="X106" i="339"/>
  <c r="W106" i="339"/>
  <c r="V106" i="339"/>
  <c r="U106" i="339"/>
  <c r="T106" i="339"/>
  <c r="S106" i="339"/>
  <c r="R106" i="339"/>
  <c r="Q106" i="339"/>
  <c r="P106" i="339"/>
  <c r="O106" i="339"/>
  <c r="N106" i="339"/>
  <c r="M106" i="339"/>
  <c r="L106" i="339"/>
  <c r="K106" i="339"/>
  <c r="J106" i="339"/>
  <c r="I106" i="339"/>
  <c r="H106" i="339"/>
  <c r="G106" i="339"/>
  <c r="F106" i="339"/>
  <c r="E106" i="339"/>
  <c r="D106" i="339"/>
  <c r="C106" i="339"/>
  <c r="B106" i="339"/>
  <c r="AC105" i="339"/>
  <c r="AB105" i="339"/>
  <c r="AA105" i="339"/>
  <c r="Z105" i="339"/>
  <c r="Y105" i="339"/>
  <c r="X105" i="339"/>
  <c r="W105" i="339"/>
  <c r="V105" i="339"/>
  <c r="U105" i="339"/>
  <c r="T105" i="339"/>
  <c r="S105" i="339"/>
  <c r="R105" i="339"/>
  <c r="Q105" i="339"/>
  <c r="P105" i="339"/>
  <c r="O105" i="339"/>
  <c r="N105" i="339"/>
  <c r="M105" i="339"/>
  <c r="L105" i="339"/>
  <c r="K105" i="339"/>
  <c r="J105" i="339"/>
  <c r="I105" i="339"/>
  <c r="H105" i="339"/>
  <c r="G105" i="339"/>
  <c r="F105" i="339"/>
  <c r="E105" i="339"/>
  <c r="D105" i="339"/>
  <c r="C105" i="339"/>
  <c r="B105" i="339"/>
  <c r="AC104" i="339"/>
  <c r="AB104" i="339"/>
  <c r="AA104" i="339"/>
  <c r="Z104" i="339"/>
  <c r="Y104" i="339"/>
  <c r="X104" i="339"/>
  <c r="W104" i="339"/>
  <c r="V104" i="339"/>
  <c r="U104" i="339"/>
  <c r="T104" i="339"/>
  <c r="S104" i="339"/>
  <c r="R104" i="339"/>
  <c r="Q104" i="339"/>
  <c r="P104" i="339"/>
  <c r="O104" i="339"/>
  <c r="N104" i="339"/>
  <c r="M104" i="339"/>
  <c r="L104" i="339"/>
  <c r="K104" i="339"/>
  <c r="J104" i="339"/>
  <c r="I104" i="339"/>
  <c r="H104" i="339"/>
  <c r="G104" i="339"/>
  <c r="F104" i="339"/>
  <c r="E104" i="339"/>
  <c r="D104" i="339"/>
  <c r="C104" i="339"/>
  <c r="B104" i="339"/>
  <c r="AC103" i="339"/>
  <c r="AB103" i="339"/>
  <c r="AA103" i="339"/>
  <c r="Z103" i="339"/>
  <c r="Y103" i="339"/>
  <c r="X103" i="339"/>
  <c r="W103" i="339"/>
  <c r="V103" i="339"/>
  <c r="U103" i="339"/>
  <c r="T103" i="339"/>
  <c r="S103" i="339"/>
  <c r="R103" i="339"/>
  <c r="Q103" i="339"/>
  <c r="P103" i="339"/>
  <c r="O103" i="339"/>
  <c r="N103" i="339"/>
  <c r="M103" i="339"/>
  <c r="L103" i="339"/>
  <c r="K103" i="339"/>
  <c r="J103" i="339"/>
  <c r="I103" i="339"/>
  <c r="H103" i="339"/>
  <c r="G103" i="339"/>
  <c r="F103" i="339"/>
  <c r="E103" i="339"/>
  <c r="D103" i="339"/>
  <c r="C103" i="339"/>
  <c r="B103" i="339"/>
  <c r="AC102" i="339"/>
  <c r="AB102" i="339"/>
  <c r="AA102" i="339"/>
  <c r="Z102" i="339"/>
  <c r="Y102" i="339"/>
  <c r="X102" i="339"/>
  <c r="W102" i="339"/>
  <c r="V102" i="339"/>
  <c r="U102" i="339"/>
  <c r="T102" i="339"/>
  <c r="S102" i="339"/>
  <c r="R102" i="339"/>
  <c r="Q102" i="339"/>
  <c r="P102" i="339"/>
  <c r="O102" i="339"/>
  <c r="N102" i="339"/>
  <c r="M102" i="339"/>
  <c r="L102" i="339"/>
  <c r="K102" i="339"/>
  <c r="J102" i="339"/>
  <c r="I102" i="339"/>
  <c r="H102" i="339"/>
  <c r="G102" i="339"/>
  <c r="F102" i="339"/>
  <c r="E102" i="339"/>
  <c r="D102" i="339"/>
  <c r="C102" i="339"/>
  <c r="B102" i="339"/>
  <c r="AC101" i="339"/>
  <c r="AB101" i="339"/>
  <c r="AA101" i="339"/>
  <c r="Z101" i="339"/>
  <c r="Y101" i="339"/>
  <c r="X101" i="339"/>
  <c r="W101" i="339"/>
  <c r="V101" i="339"/>
  <c r="U101" i="339"/>
  <c r="T101" i="339"/>
  <c r="S101" i="339"/>
  <c r="R101" i="339"/>
  <c r="Q101" i="339"/>
  <c r="P101" i="339"/>
  <c r="O101" i="339"/>
  <c r="N101" i="339"/>
  <c r="M101" i="339"/>
  <c r="L101" i="339"/>
  <c r="K101" i="339"/>
  <c r="J101" i="339"/>
  <c r="I101" i="339"/>
  <c r="H101" i="339"/>
  <c r="G101" i="339"/>
  <c r="F101" i="339"/>
  <c r="E101" i="339"/>
  <c r="D101" i="339"/>
  <c r="C101" i="339"/>
  <c r="B101" i="339"/>
  <c r="AC100" i="339"/>
  <c r="AB100" i="339"/>
  <c r="AA100" i="339"/>
  <c r="Z100" i="339"/>
  <c r="Y100" i="339"/>
  <c r="X100" i="339"/>
  <c r="W100" i="339"/>
  <c r="V100" i="339"/>
  <c r="U100" i="339"/>
  <c r="T100" i="339"/>
  <c r="S100" i="339"/>
  <c r="R100" i="339"/>
  <c r="Q100" i="339"/>
  <c r="P100" i="339"/>
  <c r="O100" i="339"/>
  <c r="N100" i="339"/>
  <c r="M100" i="339"/>
  <c r="L100" i="339"/>
  <c r="K100" i="339"/>
  <c r="J100" i="339"/>
  <c r="I100" i="339"/>
  <c r="H100" i="339"/>
  <c r="G100" i="339"/>
  <c r="F100" i="339"/>
  <c r="E100" i="339"/>
  <c r="D100" i="339"/>
  <c r="C100" i="339"/>
  <c r="B100" i="339"/>
  <c r="AC99" i="339"/>
  <c r="AB99" i="339"/>
  <c r="AA99" i="339"/>
  <c r="Z99" i="339"/>
  <c r="Y99" i="339"/>
  <c r="X99" i="339"/>
  <c r="W99" i="339"/>
  <c r="V99" i="339"/>
  <c r="U99" i="339"/>
  <c r="T99" i="339"/>
  <c r="S99" i="339"/>
  <c r="R99" i="339"/>
  <c r="Q99" i="339"/>
  <c r="P99" i="339"/>
  <c r="O99" i="339"/>
  <c r="N99" i="339"/>
  <c r="M99" i="339"/>
  <c r="L99" i="339"/>
  <c r="K99" i="339"/>
  <c r="J99" i="339"/>
  <c r="I99" i="339"/>
  <c r="H99" i="339"/>
  <c r="G99" i="339"/>
  <c r="F99" i="339"/>
  <c r="E99" i="339"/>
  <c r="D99" i="339"/>
  <c r="C99" i="339"/>
  <c r="B99" i="339"/>
  <c r="AC98" i="339"/>
  <c r="AB98" i="339"/>
  <c r="AA98" i="339"/>
  <c r="Z98" i="339"/>
  <c r="Y98" i="339"/>
  <c r="X98" i="339"/>
  <c r="W98" i="339"/>
  <c r="V98" i="339"/>
  <c r="U98" i="339"/>
  <c r="T98" i="339"/>
  <c r="S98" i="339"/>
  <c r="R98" i="339"/>
  <c r="Q98" i="339"/>
  <c r="P98" i="339"/>
  <c r="O98" i="339"/>
  <c r="N98" i="339"/>
  <c r="M98" i="339"/>
  <c r="L98" i="339"/>
  <c r="K98" i="339"/>
  <c r="J98" i="339"/>
  <c r="I98" i="339"/>
  <c r="H98" i="339"/>
  <c r="G98" i="339"/>
  <c r="F98" i="339"/>
  <c r="E98" i="339"/>
  <c r="D98" i="339"/>
  <c r="C98" i="339"/>
  <c r="B98" i="339"/>
  <c r="AC97" i="339"/>
  <c r="AB97" i="339"/>
  <c r="AA97" i="339"/>
  <c r="Z97" i="339"/>
  <c r="Y97" i="339"/>
  <c r="X97" i="339"/>
  <c r="W97" i="339"/>
  <c r="V97" i="339"/>
  <c r="U97" i="339"/>
  <c r="T97" i="339"/>
  <c r="S97" i="339"/>
  <c r="R97" i="339"/>
  <c r="Q97" i="339"/>
  <c r="P97" i="339"/>
  <c r="O97" i="339"/>
  <c r="N97" i="339"/>
  <c r="M97" i="339"/>
  <c r="L97" i="339"/>
  <c r="K97" i="339"/>
  <c r="J97" i="339"/>
  <c r="I97" i="339"/>
  <c r="H97" i="339"/>
  <c r="G97" i="339"/>
  <c r="F97" i="339"/>
  <c r="E97" i="339"/>
  <c r="D97" i="339"/>
  <c r="C97" i="339"/>
  <c r="B97" i="339"/>
  <c r="AC96" i="339"/>
  <c r="AB96" i="339"/>
  <c r="AA96" i="339"/>
  <c r="Z96" i="339"/>
  <c r="Y96" i="339"/>
  <c r="X96" i="339"/>
  <c r="W96" i="339"/>
  <c r="V96" i="339"/>
  <c r="U96" i="339"/>
  <c r="T96" i="339"/>
  <c r="S96" i="339"/>
  <c r="R96" i="339"/>
  <c r="Q96" i="339"/>
  <c r="P96" i="339"/>
  <c r="O96" i="339"/>
  <c r="N96" i="339"/>
  <c r="M96" i="339"/>
  <c r="L96" i="339"/>
  <c r="K96" i="339"/>
  <c r="J96" i="339"/>
  <c r="I96" i="339"/>
  <c r="H96" i="339"/>
  <c r="G96" i="339"/>
  <c r="F96" i="339"/>
  <c r="E96" i="339"/>
  <c r="D96" i="339"/>
  <c r="C96" i="339"/>
  <c r="B96" i="339"/>
  <c r="AC95" i="339"/>
  <c r="AB95" i="339"/>
  <c r="AA95" i="339"/>
  <c r="Z95" i="339"/>
  <c r="Y95" i="339"/>
  <c r="X95" i="339"/>
  <c r="W95" i="339"/>
  <c r="V95" i="339"/>
  <c r="U95" i="339"/>
  <c r="T95" i="339"/>
  <c r="S95" i="339"/>
  <c r="R95" i="339"/>
  <c r="Q95" i="339"/>
  <c r="P95" i="339"/>
  <c r="O95" i="339"/>
  <c r="N95" i="339"/>
  <c r="M95" i="339"/>
  <c r="L95" i="339"/>
  <c r="K95" i="339"/>
  <c r="J95" i="339"/>
  <c r="I95" i="339"/>
  <c r="H95" i="339"/>
  <c r="G95" i="339"/>
  <c r="F95" i="339"/>
  <c r="E95" i="339"/>
  <c r="D95" i="339"/>
  <c r="C95" i="339"/>
  <c r="B95" i="339"/>
  <c r="AC94" i="339"/>
  <c r="AB94" i="339"/>
  <c r="AA94" i="339"/>
  <c r="Z94" i="339"/>
  <c r="Y94" i="339"/>
  <c r="X94" i="339"/>
  <c r="W94" i="339"/>
  <c r="V94" i="339"/>
  <c r="U94" i="339"/>
  <c r="T94" i="339"/>
  <c r="S94" i="339"/>
  <c r="R94" i="339"/>
  <c r="Q94" i="339"/>
  <c r="P94" i="339"/>
  <c r="O94" i="339"/>
  <c r="N94" i="339"/>
  <c r="M94" i="339"/>
  <c r="L94" i="339"/>
  <c r="K94" i="339"/>
  <c r="J94" i="339"/>
  <c r="I94" i="339"/>
  <c r="H94" i="339"/>
  <c r="G94" i="339"/>
  <c r="F94" i="339"/>
  <c r="E94" i="339"/>
  <c r="D94" i="339"/>
  <c r="C94" i="339"/>
  <c r="B94" i="339"/>
  <c r="AC93" i="339"/>
  <c r="AB93" i="339"/>
  <c r="AA93" i="339"/>
  <c r="Z93" i="339"/>
  <c r="Y93" i="339"/>
  <c r="X93" i="339"/>
  <c r="W93" i="339"/>
  <c r="V93" i="339"/>
  <c r="U93" i="339"/>
  <c r="T93" i="339"/>
  <c r="S93" i="339"/>
  <c r="R93" i="339"/>
  <c r="Q93" i="339"/>
  <c r="P93" i="339"/>
  <c r="O93" i="339"/>
  <c r="N93" i="339"/>
  <c r="M93" i="339"/>
  <c r="L93" i="339"/>
  <c r="K93" i="339"/>
  <c r="J93" i="339"/>
  <c r="I93" i="339"/>
  <c r="H93" i="339"/>
  <c r="G93" i="339"/>
  <c r="F93" i="339"/>
  <c r="E93" i="339"/>
  <c r="D93" i="339"/>
  <c r="C93" i="339"/>
  <c r="B93" i="339"/>
  <c r="AC92" i="339"/>
  <c r="AB92" i="339"/>
  <c r="AA92" i="339"/>
  <c r="Z92" i="339"/>
  <c r="Y92" i="339"/>
  <c r="X92" i="339"/>
  <c r="W92" i="339"/>
  <c r="V92" i="339"/>
  <c r="U92" i="339"/>
  <c r="T92" i="339"/>
  <c r="S92" i="339"/>
  <c r="R92" i="339"/>
  <c r="Q92" i="339"/>
  <c r="P92" i="339"/>
  <c r="O92" i="339"/>
  <c r="N92" i="339"/>
  <c r="M92" i="339"/>
  <c r="L92" i="339"/>
  <c r="K92" i="339"/>
  <c r="J92" i="339"/>
  <c r="I92" i="339"/>
  <c r="H92" i="339"/>
  <c r="G92" i="339"/>
  <c r="F92" i="339"/>
  <c r="E92" i="339"/>
  <c r="D92" i="339"/>
  <c r="C92" i="339"/>
  <c r="B92" i="339"/>
  <c r="AC91" i="339"/>
  <c r="AB91" i="339"/>
  <c r="AA91" i="339"/>
  <c r="Z91" i="339"/>
  <c r="Y91" i="339"/>
  <c r="X91" i="339"/>
  <c r="W91" i="339"/>
  <c r="V91" i="339"/>
  <c r="U91" i="339"/>
  <c r="T91" i="339"/>
  <c r="S91" i="339"/>
  <c r="R91" i="339"/>
  <c r="Q91" i="339"/>
  <c r="P91" i="339"/>
  <c r="O91" i="339"/>
  <c r="N91" i="339"/>
  <c r="M91" i="339"/>
  <c r="L91" i="339"/>
  <c r="K91" i="339"/>
  <c r="J91" i="339"/>
  <c r="I91" i="339"/>
  <c r="H91" i="339"/>
  <c r="G91" i="339"/>
  <c r="F91" i="339"/>
  <c r="E91" i="339"/>
  <c r="D91" i="339"/>
  <c r="C91" i="339"/>
  <c r="B91" i="339"/>
  <c r="AC90" i="339"/>
  <c r="AB90" i="339"/>
  <c r="AA90" i="339"/>
  <c r="Z90" i="339"/>
  <c r="Y90" i="339"/>
  <c r="X90" i="339"/>
  <c r="W90" i="339"/>
  <c r="V90" i="339"/>
  <c r="U90" i="339"/>
  <c r="T90" i="339"/>
  <c r="S90" i="339"/>
  <c r="R90" i="339"/>
  <c r="Q90" i="339"/>
  <c r="P90" i="339"/>
  <c r="O90" i="339"/>
  <c r="N90" i="339"/>
  <c r="M90" i="339"/>
  <c r="L90" i="339"/>
  <c r="K90" i="339"/>
  <c r="J90" i="339"/>
  <c r="I90" i="339"/>
  <c r="H90" i="339"/>
  <c r="G90" i="339"/>
  <c r="F90" i="339"/>
  <c r="E90" i="339"/>
  <c r="D90" i="339"/>
  <c r="C90" i="339"/>
  <c r="B90" i="339"/>
  <c r="AC89" i="339"/>
  <c r="AB89" i="339"/>
  <c r="AA89" i="339"/>
  <c r="Z89" i="339"/>
  <c r="Y89" i="339"/>
  <c r="X89" i="339"/>
  <c r="W89" i="339"/>
  <c r="V89" i="339"/>
  <c r="U89" i="339"/>
  <c r="T89" i="339"/>
  <c r="S89" i="339"/>
  <c r="R89" i="339"/>
  <c r="Q89" i="339"/>
  <c r="P89" i="339"/>
  <c r="O89" i="339"/>
  <c r="N89" i="339"/>
  <c r="M89" i="339"/>
  <c r="L89" i="339"/>
  <c r="K89" i="339"/>
  <c r="J89" i="339"/>
  <c r="I89" i="339"/>
  <c r="H89" i="339"/>
  <c r="G89" i="339"/>
  <c r="F89" i="339"/>
  <c r="E89" i="339"/>
  <c r="D89" i="339"/>
  <c r="C89" i="339"/>
  <c r="B89" i="339"/>
  <c r="AC88" i="339"/>
  <c r="AB88" i="339"/>
  <c r="AA88" i="339"/>
  <c r="Z88" i="339"/>
  <c r="Y88" i="339"/>
  <c r="X88" i="339"/>
  <c r="W88" i="339"/>
  <c r="V88" i="339"/>
  <c r="U88" i="339"/>
  <c r="T88" i="339"/>
  <c r="S88" i="339"/>
  <c r="R88" i="339"/>
  <c r="Q88" i="339"/>
  <c r="P88" i="339"/>
  <c r="O88" i="339"/>
  <c r="N88" i="339"/>
  <c r="M88" i="339"/>
  <c r="L88" i="339"/>
  <c r="K88" i="339"/>
  <c r="J88" i="339"/>
  <c r="I88" i="339"/>
  <c r="H88" i="339"/>
  <c r="G88" i="339"/>
  <c r="F88" i="339"/>
  <c r="E88" i="339"/>
  <c r="D88" i="339"/>
  <c r="C88" i="339"/>
  <c r="B88" i="339"/>
  <c r="AC87" i="339"/>
  <c r="AB87" i="339"/>
  <c r="AA87" i="339"/>
  <c r="Z87" i="339"/>
  <c r="Y87" i="339"/>
  <c r="X87" i="339"/>
  <c r="W87" i="339"/>
  <c r="V87" i="339"/>
  <c r="U87" i="339"/>
  <c r="T87" i="339"/>
  <c r="S87" i="339"/>
  <c r="R87" i="339"/>
  <c r="Q87" i="339"/>
  <c r="P87" i="339"/>
  <c r="O87" i="339"/>
  <c r="N87" i="339"/>
  <c r="M87" i="339"/>
  <c r="L87" i="339"/>
  <c r="K87" i="339"/>
  <c r="J87" i="339"/>
  <c r="I87" i="339"/>
  <c r="H87" i="339"/>
  <c r="G87" i="339"/>
  <c r="F87" i="339"/>
  <c r="E87" i="339"/>
  <c r="D87" i="339"/>
  <c r="C87" i="339"/>
  <c r="B87" i="339"/>
  <c r="AC86" i="339"/>
  <c r="AB86" i="339"/>
  <c r="AA86" i="339"/>
  <c r="Z86" i="339"/>
  <c r="Y86" i="339"/>
  <c r="X86" i="339"/>
  <c r="W86" i="339"/>
  <c r="V86" i="339"/>
  <c r="U86" i="339"/>
  <c r="T86" i="339"/>
  <c r="S86" i="339"/>
  <c r="R86" i="339"/>
  <c r="Q86" i="339"/>
  <c r="P86" i="339"/>
  <c r="O86" i="339"/>
  <c r="N86" i="339"/>
  <c r="M86" i="339"/>
  <c r="L86" i="339"/>
  <c r="K86" i="339"/>
  <c r="J86" i="339"/>
  <c r="I86" i="339"/>
  <c r="H86" i="339"/>
  <c r="G86" i="339"/>
  <c r="F86" i="339"/>
  <c r="E86" i="339"/>
  <c r="D86" i="339"/>
  <c r="C86" i="339"/>
  <c r="B86" i="339"/>
  <c r="AC85" i="339"/>
  <c r="AB85" i="339"/>
  <c r="AA85" i="339"/>
  <c r="Z85" i="339"/>
  <c r="Y85" i="339"/>
  <c r="X85" i="339"/>
  <c r="W85" i="339"/>
  <c r="V85" i="339"/>
  <c r="U85" i="339"/>
  <c r="T85" i="339"/>
  <c r="S85" i="339"/>
  <c r="R85" i="339"/>
  <c r="Q85" i="339"/>
  <c r="P85" i="339"/>
  <c r="O85" i="339"/>
  <c r="N85" i="339"/>
  <c r="M85" i="339"/>
  <c r="L85" i="339"/>
  <c r="K85" i="339"/>
  <c r="J85" i="339"/>
  <c r="I85" i="339"/>
  <c r="H85" i="339"/>
  <c r="G85" i="339"/>
  <c r="F85" i="339"/>
  <c r="E85" i="339"/>
  <c r="D85" i="339"/>
  <c r="C85" i="339"/>
  <c r="B85" i="339"/>
  <c r="AC84" i="339"/>
  <c r="AB84" i="339"/>
  <c r="AA84" i="339"/>
  <c r="Z84" i="339"/>
  <c r="Y84" i="339"/>
  <c r="X84" i="339"/>
  <c r="W84" i="339"/>
  <c r="V84" i="339"/>
  <c r="U84" i="339"/>
  <c r="T84" i="339"/>
  <c r="S84" i="339"/>
  <c r="R84" i="339"/>
  <c r="Q84" i="339"/>
  <c r="P84" i="339"/>
  <c r="O84" i="339"/>
  <c r="N84" i="339"/>
  <c r="M84" i="339"/>
  <c r="L84" i="339"/>
  <c r="K84" i="339"/>
  <c r="J84" i="339"/>
  <c r="I84" i="339"/>
  <c r="H84" i="339"/>
  <c r="G84" i="339"/>
  <c r="F84" i="339"/>
  <c r="E84" i="339"/>
  <c r="D84" i="339"/>
  <c r="C84" i="339"/>
  <c r="B84" i="339"/>
  <c r="AC83" i="339"/>
  <c r="AB83" i="339"/>
  <c r="AA83" i="339"/>
  <c r="Z83" i="339"/>
  <c r="Y83" i="339"/>
  <c r="X83" i="339"/>
  <c r="W83" i="339"/>
  <c r="V83" i="339"/>
  <c r="U83" i="339"/>
  <c r="T83" i="339"/>
  <c r="S83" i="339"/>
  <c r="R83" i="339"/>
  <c r="Q83" i="339"/>
  <c r="P83" i="339"/>
  <c r="O83" i="339"/>
  <c r="N83" i="339"/>
  <c r="M83" i="339"/>
  <c r="L83" i="339"/>
  <c r="K83" i="339"/>
  <c r="J83" i="339"/>
  <c r="I83" i="339"/>
  <c r="H83" i="339"/>
  <c r="G83" i="339"/>
  <c r="F83" i="339"/>
  <c r="E83" i="339"/>
  <c r="D83" i="339"/>
  <c r="C83" i="339"/>
  <c r="B83" i="339"/>
  <c r="AC82" i="339"/>
  <c r="AB82" i="339"/>
  <c r="AA82" i="339"/>
  <c r="Z82" i="339"/>
  <c r="Y82" i="339"/>
  <c r="X82" i="339"/>
  <c r="W82" i="339"/>
  <c r="V82" i="339"/>
  <c r="U82" i="339"/>
  <c r="T82" i="339"/>
  <c r="S82" i="339"/>
  <c r="R82" i="339"/>
  <c r="Q82" i="339"/>
  <c r="P82" i="339"/>
  <c r="O82" i="339"/>
  <c r="N82" i="339"/>
  <c r="M82" i="339"/>
  <c r="L82" i="339"/>
  <c r="K82" i="339"/>
  <c r="J82" i="339"/>
  <c r="I82" i="339"/>
  <c r="H82" i="339"/>
  <c r="G82" i="339"/>
  <c r="F82" i="339"/>
  <c r="E82" i="339"/>
  <c r="D82" i="339"/>
  <c r="C82" i="339"/>
  <c r="B82" i="339"/>
  <c r="AC81" i="339"/>
  <c r="AB81" i="339"/>
  <c r="AA81" i="339"/>
  <c r="Z81" i="339"/>
  <c r="Y81" i="339"/>
  <c r="X81" i="339"/>
  <c r="W81" i="339"/>
  <c r="V81" i="339"/>
  <c r="U81" i="339"/>
  <c r="T81" i="339"/>
  <c r="S81" i="339"/>
  <c r="R81" i="339"/>
  <c r="Q81" i="339"/>
  <c r="P81" i="339"/>
  <c r="O81" i="339"/>
  <c r="N81" i="339"/>
  <c r="M81" i="339"/>
  <c r="L81" i="339"/>
  <c r="K81" i="339"/>
  <c r="J81" i="339"/>
  <c r="I81" i="339"/>
  <c r="H81" i="339"/>
  <c r="G81" i="339"/>
  <c r="F81" i="339"/>
  <c r="E81" i="339"/>
  <c r="D81" i="339"/>
  <c r="C81" i="339"/>
  <c r="B81" i="339"/>
  <c r="AC80" i="339"/>
  <c r="AB80" i="339"/>
  <c r="AA80" i="339"/>
  <c r="Z80" i="339"/>
  <c r="Y80" i="339"/>
  <c r="X80" i="339"/>
  <c r="W80" i="339"/>
  <c r="V80" i="339"/>
  <c r="U80" i="339"/>
  <c r="T80" i="339"/>
  <c r="S80" i="339"/>
  <c r="R80" i="339"/>
  <c r="Q80" i="339"/>
  <c r="P80" i="339"/>
  <c r="O80" i="339"/>
  <c r="N80" i="339"/>
  <c r="M80" i="339"/>
  <c r="L80" i="339"/>
  <c r="K80" i="339"/>
  <c r="J80" i="339"/>
  <c r="I80" i="339"/>
  <c r="H80" i="339"/>
  <c r="G80" i="339"/>
  <c r="F80" i="339"/>
  <c r="E80" i="339"/>
  <c r="D80" i="339"/>
  <c r="C80" i="339"/>
  <c r="B80" i="339"/>
  <c r="AC79" i="339"/>
  <c r="AB79" i="339"/>
  <c r="AA79" i="339"/>
  <c r="Z79" i="339"/>
  <c r="Y79" i="339"/>
  <c r="X79" i="339"/>
  <c r="W79" i="339"/>
  <c r="V79" i="339"/>
  <c r="U79" i="339"/>
  <c r="T79" i="339"/>
  <c r="S79" i="339"/>
  <c r="R79" i="339"/>
  <c r="Q79" i="339"/>
  <c r="P79" i="339"/>
  <c r="O79" i="339"/>
  <c r="N79" i="339"/>
  <c r="M79" i="339"/>
  <c r="L79" i="339"/>
  <c r="K79" i="339"/>
  <c r="J79" i="339"/>
  <c r="I79" i="339"/>
  <c r="H79" i="339"/>
  <c r="G79" i="339"/>
  <c r="F79" i="339"/>
  <c r="E79" i="339"/>
  <c r="D79" i="339"/>
  <c r="C79" i="339"/>
  <c r="B79" i="339"/>
  <c r="AC78" i="339"/>
  <c r="AB78" i="339"/>
  <c r="AA78" i="339"/>
  <c r="Z78" i="339"/>
  <c r="Y78" i="339"/>
  <c r="X78" i="339"/>
  <c r="W78" i="339"/>
  <c r="V78" i="339"/>
  <c r="U78" i="339"/>
  <c r="T78" i="339"/>
  <c r="S78" i="339"/>
  <c r="R78" i="339"/>
  <c r="Q78" i="339"/>
  <c r="P78" i="339"/>
  <c r="O78" i="339"/>
  <c r="N78" i="339"/>
  <c r="M78" i="339"/>
  <c r="L78" i="339"/>
  <c r="K78" i="339"/>
  <c r="J78" i="339"/>
  <c r="I78" i="339"/>
  <c r="H78" i="339"/>
  <c r="G78" i="339"/>
  <c r="F78" i="339"/>
  <c r="E78" i="339"/>
  <c r="D78" i="339"/>
  <c r="C78" i="339"/>
  <c r="B78" i="339"/>
  <c r="AC77" i="339"/>
  <c r="AB77" i="339"/>
  <c r="AA77" i="339"/>
  <c r="Z77" i="339"/>
  <c r="Y77" i="339"/>
  <c r="X77" i="339"/>
  <c r="W77" i="339"/>
  <c r="V77" i="339"/>
  <c r="U77" i="339"/>
  <c r="T77" i="339"/>
  <c r="S77" i="339"/>
  <c r="R77" i="339"/>
  <c r="Q77" i="339"/>
  <c r="P77" i="339"/>
  <c r="O77" i="339"/>
  <c r="N77" i="339"/>
  <c r="M77" i="339"/>
  <c r="L77" i="339"/>
  <c r="K77" i="339"/>
  <c r="J77" i="339"/>
  <c r="I77" i="339"/>
  <c r="H77" i="339"/>
  <c r="G77" i="339"/>
  <c r="F77" i="339"/>
  <c r="E77" i="339"/>
  <c r="D77" i="339"/>
  <c r="C77" i="339"/>
  <c r="B77" i="339"/>
  <c r="AC76" i="339"/>
  <c r="AB76" i="339"/>
  <c r="AA76" i="339"/>
  <c r="Z76" i="339"/>
  <c r="Y76" i="339"/>
  <c r="X76" i="339"/>
  <c r="W76" i="339"/>
  <c r="V76" i="339"/>
  <c r="U76" i="339"/>
  <c r="T76" i="339"/>
  <c r="S76" i="339"/>
  <c r="R76" i="339"/>
  <c r="Q76" i="339"/>
  <c r="P76" i="339"/>
  <c r="O76" i="339"/>
  <c r="N76" i="339"/>
  <c r="M76" i="339"/>
  <c r="L76" i="339"/>
  <c r="K76" i="339"/>
  <c r="J76" i="339"/>
  <c r="I76" i="339"/>
  <c r="H76" i="339"/>
  <c r="G76" i="339"/>
  <c r="F76" i="339"/>
  <c r="E76" i="339"/>
  <c r="D76" i="339"/>
  <c r="C76" i="339"/>
  <c r="B76" i="339"/>
  <c r="AC75" i="339"/>
  <c r="AB75" i="339"/>
  <c r="AA75" i="339"/>
  <c r="Z75" i="339"/>
  <c r="Y75" i="339"/>
  <c r="X75" i="339"/>
  <c r="W75" i="339"/>
  <c r="V75" i="339"/>
  <c r="U75" i="339"/>
  <c r="T75" i="339"/>
  <c r="S75" i="339"/>
  <c r="R75" i="339"/>
  <c r="Q75" i="339"/>
  <c r="P75" i="339"/>
  <c r="O75" i="339"/>
  <c r="N75" i="339"/>
  <c r="M75" i="339"/>
  <c r="L75" i="339"/>
  <c r="K75" i="339"/>
  <c r="J75" i="339"/>
  <c r="I75" i="339"/>
  <c r="H75" i="339"/>
  <c r="G75" i="339"/>
  <c r="F75" i="339"/>
  <c r="E75" i="339"/>
  <c r="D75" i="339"/>
  <c r="C75" i="339"/>
  <c r="B75" i="339"/>
  <c r="AC74" i="339"/>
  <c r="AB74" i="339"/>
  <c r="AA74" i="339"/>
  <c r="Z74" i="339"/>
  <c r="Y74" i="339"/>
  <c r="X74" i="339"/>
  <c r="W74" i="339"/>
  <c r="V74" i="339"/>
  <c r="U74" i="339"/>
  <c r="T74" i="339"/>
  <c r="S74" i="339"/>
  <c r="R74" i="339"/>
  <c r="Q74" i="339"/>
  <c r="P74" i="339"/>
  <c r="O74" i="339"/>
  <c r="N74" i="339"/>
  <c r="M74" i="339"/>
  <c r="L74" i="339"/>
  <c r="K74" i="339"/>
  <c r="J74" i="339"/>
  <c r="I74" i="339"/>
  <c r="H74" i="339"/>
  <c r="G74" i="339"/>
  <c r="F74" i="339"/>
  <c r="E74" i="339"/>
  <c r="D74" i="339"/>
  <c r="C74" i="339"/>
  <c r="B74" i="339"/>
  <c r="AC73" i="339"/>
  <c r="AB73" i="339"/>
  <c r="AA73" i="339"/>
  <c r="Z73" i="339"/>
  <c r="Y73" i="339"/>
  <c r="X73" i="339"/>
  <c r="W73" i="339"/>
  <c r="V73" i="339"/>
  <c r="U73" i="339"/>
  <c r="T73" i="339"/>
  <c r="S73" i="339"/>
  <c r="R73" i="339"/>
  <c r="Q73" i="339"/>
  <c r="P73" i="339"/>
  <c r="O73" i="339"/>
  <c r="N73" i="339"/>
  <c r="M73" i="339"/>
  <c r="L73" i="339"/>
  <c r="K73" i="339"/>
  <c r="J73" i="339"/>
  <c r="I73" i="339"/>
  <c r="H73" i="339"/>
  <c r="G73" i="339"/>
  <c r="F73" i="339"/>
  <c r="E73" i="339"/>
  <c r="D73" i="339"/>
  <c r="C73" i="339"/>
  <c r="B73" i="339"/>
  <c r="AC72" i="339"/>
  <c r="AB72" i="339"/>
  <c r="AA72" i="339"/>
  <c r="Z72" i="339"/>
  <c r="Y72" i="339"/>
  <c r="X72" i="339"/>
  <c r="W72" i="339"/>
  <c r="V72" i="339"/>
  <c r="U72" i="339"/>
  <c r="T72" i="339"/>
  <c r="S72" i="339"/>
  <c r="R72" i="339"/>
  <c r="Q72" i="339"/>
  <c r="P72" i="339"/>
  <c r="O72" i="339"/>
  <c r="N72" i="339"/>
  <c r="M72" i="339"/>
  <c r="L72" i="339"/>
  <c r="K72" i="339"/>
  <c r="J72" i="339"/>
  <c r="I72" i="339"/>
  <c r="H72" i="339"/>
  <c r="G72" i="339"/>
  <c r="F72" i="339"/>
  <c r="E72" i="339"/>
  <c r="D72" i="339"/>
  <c r="C72" i="339"/>
  <c r="B72" i="339"/>
  <c r="AC71" i="339"/>
  <c r="AB71" i="339"/>
  <c r="AA71" i="339"/>
  <c r="Z71" i="339"/>
  <c r="Y71" i="339"/>
  <c r="X71" i="339"/>
  <c r="W71" i="339"/>
  <c r="V71" i="339"/>
  <c r="U71" i="339"/>
  <c r="T71" i="339"/>
  <c r="S71" i="339"/>
  <c r="R71" i="339"/>
  <c r="Q71" i="339"/>
  <c r="P71" i="339"/>
  <c r="O71" i="339"/>
  <c r="N71" i="339"/>
  <c r="M71" i="339"/>
  <c r="L71" i="339"/>
  <c r="K71" i="339"/>
  <c r="J71" i="339"/>
  <c r="I71" i="339"/>
  <c r="H71" i="339"/>
  <c r="G71" i="339"/>
  <c r="F71" i="339"/>
  <c r="E71" i="339"/>
  <c r="D71" i="339"/>
  <c r="C71" i="339"/>
  <c r="B71" i="339"/>
  <c r="AC70" i="339"/>
  <c r="AB70" i="339"/>
  <c r="AA70" i="339"/>
  <c r="Z70" i="339"/>
  <c r="Y70" i="339"/>
  <c r="X70" i="339"/>
  <c r="W70" i="339"/>
  <c r="V70" i="339"/>
  <c r="U70" i="339"/>
  <c r="T70" i="339"/>
  <c r="S70" i="339"/>
  <c r="R70" i="339"/>
  <c r="Q70" i="339"/>
  <c r="P70" i="339"/>
  <c r="O70" i="339"/>
  <c r="N70" i="339"/>
  <c r="M70" i="339"/>
  <c r="L70" i="339"/>
  <c r="K70" i="339"/>
  <c r="J70" i="339"/>
  <c r="I70" i="339"/>
  <c r="H70" i="339"/>
  <c r="G70" i="339"/>
  <c r="F70" i="339"/>
  <c r="E70" i="339"/>
  <c r="D70" i="339"/>
  <c r="C70" i="339"/>
  <c r="B70" i="339"/>
  <c r="AC69" i="339"/>
  <c r="AB69" i="339"/>
  <c r="AA69" i="339"/>
  <c r="Z69" i="339"/>
  <c r="Y69" i="339"/>
  <c r="X69" i="339"/>
  <c r="W69" i="339"/>
  <c r="V69" i="339"/>
  <c r="U69" i="339"/>
  <c r="T69" i="339"/>
  <c r="S69" i="339"/>
  <c r="R69" i="339"/>
  <c r="Q69" i="339"/>
  <c r="P69" i="339"/>
  <c r="O69" i="339"/>
  <c r="N69" i="339"/>
  <c r="M69" i="339"/>
  <c r="L69" i="339"/>
  <c r="K69" i="339"/>
  <c r="J69" i="339"/>
  <c r="I69" i="339"/>
  <c r="H69" i="339"/>
  <c r="G69" i="339"/>
  <c r="F69" i="339"/>
  <c r="E69" i="339"/>
  <c r="D69" i="339"/>
  <c r="C69" i="339"/>
  <c r="B69" i="339"/>
  <c r="AC68" i="339"/>
  <c r="AB68" i="339"/>
  <c r="AA68" i="339"/>
  <c r="Z68" i="339"/>
  <c r="Y68" i="339"/>
  <c r="X68" i="339"/>
  <c r="W68" i="339"/>
  <c r="V68" i="339"/>
  <c r="U68" i="339"/>
  <c r="T68" i="339"/>
  <c r="S68" i="339"/>
  <c r="R68" i="339"/>
  <c r="Q68" i="339"/>
  <c r="P68" i="339"/>
  <c r="O68" i="339"/>
  <c r="N68" i="339"/>
  <c r="M68" i="339"/>
  <c r="L68" i="339"/>
  <c r="K68" i="339"/>
  <c r="J68" i="339"/>
  <c r="I68" i="339"/>
  <c r="H68" i="339"/>
  <c r="G68" i="339"/>
  <c r="F68" i="339"/>
  <c r="E68" i="339"/>
  <c r="D68" i="339"/>
  <c r="C68" i="339"/>
  <c r="B68" i="339"/>
  <c r="AC67" i="339"/>
  <c r="AB67" i="339"/>
  <c r="AA67" i="339"/>
  <c r="Z67" i="339"/>
  <c r="Y67" i="339"/>
  <c r="X67" i="339"/>
  <c r="W67" i="339"/>
  <c r="V67" i="339"/>
  <c r="U67" i="339"/>
  <c r="T67" i="339"/>
  <c r="S67" i="339"/>
  <c r="R67" i="339"/>
  <c r="Q67" i="339"/>
  <c r="P67" i="339"/>
  <c r="O67" i="339"/>
  <c r="N67" i="339"/>
  <c r="M67" i="339"/>
  <c r="L67" i="339"/>
  <c r="K67" i="339"/>
  <c r="J67" i="339"/>
  <c r="I67" i="339"/>
  <c r="H67" i="339"/>
  <c r="G67" i="339"/>
  <c r="F67" i="339"/>
  <c r="E67" i="339"/>
  <c r="D67" i="339"/>
  <c r="C67" i="339"/>
  <c r="B67" i="339"/>
  <c r="AC66" i="339"/>
  <c r="AB66" i="339"/>
  <c r="AA66" i="339"/>
  <c r="Z66" i="339"/>
  <c r="Y66" i="339"/>
  <c r="X66" i="339"/>
  <c r="W66" i="339"/>
  <c r="V66" i="339"/>
  <c r="U66" i="339"/>
  <c r="T66" i="339"/>
  <c r="S66" i="339"/>
  <c r="R66" i="339"/>
  <c r="Q66" i="339"/>
  <c r="P66" i="339"/>
  <c r="O66" i="339"/>
  <c r="N66" i="339"/>
  <c r="M66" i="339"/>
  <c r="L66" i="339"/>
  <c r="K66" i="339"/>
  <c r="J66" i="339"/>
  <c r="I66" i="339"/>
  <c r="H66" i="339"/>
  <c r="G66" i="339"/>
  <c r="F66" i="339"/>
  <c r="E66" i="339"/>
  <c r="D66" i="339"/>
  <c r="C66" i="339"/>
  <c r="B66" i="339"/>
  <c r="AC65" i="339"/>
  <c r="AB65" i="339"/>
  <c r="AA65" i="339"/>
  <c r="Z65" i="339"/>
  <c r="Y65" i="339"/>
  <c r="X65" i="339"/>
  <c r="W65" i="339"/>
  <c r="V65" i="339"/>
  <c r="U65" i="339"/>
  <c r="T65" i="339"/>
  <c r="S65" i="339"/>
  <c r="R65" i="339"/>
  <c r="Q65" i="339"/>
  <c r="P65" i="339"/>
  <c r="O65" i="339"/>
  <c r="N65" i="339"/>
  <c r="M65" i="339"/>
  <c r="L65" i="339"/>
  <c r="K65" i="339"/>
  <c r="J65" i="339"/>
  <c r="I65" i="339"/>
  <c r="H65" i="339"/>
  <c r="G65" i="339"/>
  <c r="F65" i="339"/>
  <c r="E65" i="339"/>
  <c r="D65" i="339"/>
  <c r="C65" i="339"/>
  <c r="B65" i="339"/>
  <c r="AC64" i="339"/>
  <c r="AB64" i="339"/>
  <c r="AA64" i="339"/>
  <c r="Z64" i="339"/>
  <c r="Y64" i="339"/>
  <c r="X64" i="339"/>
  <c r="W64" i="339"/>
  <c r="V64" i="339"/>
  <c r="U64" i="339"/>
  <c r="T64" i="339"/>
  <c r="S64" i="339"/>
  <c r="R64" i="339"/>
  <c r="Q64" i="339"/>
  <c r="P64" i="339"/>
  <c r="O64" i="339"/>
  <c r="N64" i="339"/>
  <c r="M64" i="339"/>
  <c r="L64" i="339"/>
  <c r="K64" i="339"/>
  <c r="J64" i="339"/>
  <c r="I64" i="339"/>
  <c r="H64" i="339"/>
  <c r="G64" i="339"/>
  <c r="F64" i="339"/>
  <c r="E64" i="339"/>
  <c r="D64" i="339"/>
  <c r="C64" i="339"/>
  <c r="B64" i="339"/>
  <c r="AC63" i="339"/>
  <c r="AB63" i="339"/>
  <c r="AA63" i="339"/>
  <c r="Z63" i="339"/>
  <c r="Y63" i="339"/>
  <c r="X63" i="339"/>
  <c r="W63" i="339"/>
  <c r="V63" i="339"/>
  <c r="U63" i="339"/>
  <c r="T63" i="339"/>
  <c r="S63" i="339"/>
  <c r="R63" i="339"/>
  <c r="Q63" i="339"/>
  <c r="P63" i="339"/>
  <c r="O63" i="339"/>
  <c r="N63" i="339"/>
  <c r="M63" i="339"/>
  <c r="L63" i="339"/>
  <c r="K63" i="339"/>
  <c r="J63" i="339"/>
  <c r="I63" i="339"/>
  <c r="H63" i="339"/>
  <c r="G63" i="339"/>
  <c r="F63" i="339"/>
  <c r="E63" i="339"/>
  <c r="D63" i="339"/>
  <c r="C63" i="339"/>
  <c r="B63" i="339"/>
  <c r="AC62" i="339"/>
  <c r="AB62" i="339"/>
  <c r="AA62" i="339"/>
  <c r="Z62" i="339"/>
  <c r="Y62" i="339"/>
  <c r="X62" i="339"/>
  <c r="W62" i="339"/>
  <c r="V62" i="339"/>
  <c r="U62" i="339"/>
  <c r="T62" i="339"/>
  <c r="S62" i="339"/>
  <c r="R62" i="339"/>
  <c r="Q62" i="339"/>
  <c r="P62" i="339"/>
  <c r="O62" i="339"/>
  <c r="N62" i="339"/>
  <c r="M62" i="339"/>
  <c r="L62" i="339"/>
  <c r="K62" i="339"/>
  <c r="J62" i="339"/>
  <c r="I62" i="339"/>
  <c r="H62" i="339"/>
  <c r="G62" i="339"/>
  <c r="F62" i="339"/>
  <c r="E62" i="339"/>
  <c r="D62" i="339"/>
  <c r="C62" i="339"/>
  <c r="B62" i="339"/>
  <c r="AC61" i="339"/>
  <c r="AB61" i="339"/>
  <c r="AA61" i="339"/>
  <c r="Z61" i="339"/>
  <c r="Y61" i="339"/>
  <c r="X61" i="339"/>
  <c r="W61" i="339"/>
  <c r="V61" i="339"/>
  <c r="U61" i="339"/>
  <c r="T61" i="339"/>
  <c r="S61" i="339"/>
  <c r="R61" i="339"/>
  <c r="Q61" i="339"/>
  <c r="P61" i="339"/>
  <c r="O61" i="339"/>
  <c r="N61" i="339"/>
  <c r="M61" i="339"/>
  <c r="L61" i="339"/>
  <c r="K61" i="339"/>
  <c r="J61" i="339"/>
  <c r="I61" i="339"/>
  <c r="H61" i="339"/>
  <c r="G61" i="339"/>
  <c r="F61" i="339"/>
  <c r="E61" i="339"/>
  <c r="D61" i="339"/>
  <c r="C61" i="339"/>
  <c r="B61" i="339"/>
  <c r="AC60" i="339"/>
  <c r="AB60" i="339"/>
  <c r="AA60" i="339"/>
  <c r="Z60" i="339"/>
  <c r="Y60" i="339"/>
  <c r="X60" i="339"/>
  <c r="W60" i="339"/>
  <c r="V60" i="339"/>
  <c r="U60" i="339"/>
  <c r="T60" i="339"/>
  <c r="S60" i="339"/>
  <c r="R60" i="339"/>
  <c r="Q60" i="339"/>
  <c r="P60" i="339"/>
  <c r="O60" i="339"/>
  <c r="N60" i="339"/>
  <c r="M60" i="339"/>
  <c r="L60" i="339"/>
  <c r="K60" i="339"/>
  <c r="J60" i="339"/>
  <c r="I60" i="339"/>
  <c r="H60" i="339"/>
  <c r="G60" i="339"/>
  <c r="F60" i="339"/>
  <c r="E60" i="339"/>
  <c r="D60" i="339"/>
  <c r="C60" i="339"/>
  <c r="B60" i="339"/>
  <c r="AC59" i="339"/>
  <c r="AB59" i="339"/>
  <c r="AA59" i="339"/>
  <c r="Z59" i="339"/>
  <c r="Y59" i="339"/>
  <c r="X59" i="339"/>
  <c r="W59" i="339"/>
  <c r="V59" i="339"/>
  <c r="U59" i="339"/>
  <c r="T59" i="339"/>
  <c r="S59" i="339"/>
  <c r="R59" i="339"/>
  <c r="Q59" i="339"/>
  <c r="P59" i="339"/>
  <c r="O59" i="339"/>
  <c r="N59" i="339"/>
  <c r="M59" i="339"/>
  <c r="L59" i="339"/>
  <c r="K59" i="339"/>
  <c r="J59" i="339"/>
  <c r="I59" i="339"/>
  <c r="H59" i="339"/>
  <c r="G59" i="339"/>
  <c r="F59" i="339"/>
  <c r="E59" i="339"/>
  <c r="D59" i="339"/>
  <c r="C59" i="339"/>
  <c r="B59" i="339"/>
  <c r="AC58" i="339"/>
  <c r="AB58" i="339"/>
  <c r="AA58" i="339"/>
  <c r="Z58" i="339"/>
  <c r="Y58" i="339"/>
  <c r="X58" i="339"/>
  <c r="W58" i="339"/>
  <c r="V58" i="339"/>
  <c r="U58" i="339"/>
  <c r="T58" i="339"/>
  <c r="S58" i="339"/>
  <c r="R58" i="339"/>
  <c r="Q58" i="339"/>
  <c r="P58" i="339"/>
  <c r="O58" i="339"/>
  <c r="N58" i="339"/>
  <c r="M58" i="339"/>
  <c r="L58" i="339"/>
  <c r="K58" i="339"/>
  <c r="J58" i="339"/>
  <c r="I58" i="339"/>
  <c r="H58" i="339"/>
  <c r="G58" i="339"/>
  <c r="F58" i="339"/>
  <c r="E58" i="339"/>
  <c r="D58" i="339"/>
  <c r="C58" i="339"/>
  <c r="B58" i="339"/>
  <c r="AC57" i="339"/>
  <c r="AB57" i="339"/>
  <c r="AA57" i="339"/>
  <c r="Z57" i="339"/>
  <c r="Y57" i="339"/>
  <c r="X57" i="339"/>
  <c r="W57" i="339"/>
  <c r="V57" i="339"/>
  <c r="U57" i="339"/>
  <c r="T57" i="339"/>
  <c r="S57" i="339"/>
  <c r="R57" i="339"/>
  <c r="Q57" i="339"/>
  <c r="P57" i="339"/>
  <c r="O57" i="339"/>
  <c r="N57" i="339"/>
  <c r="M57" i="339"/>
  <c r="L57" i="339"/>
  <c r="K57" i="339"/>
  <c r="J57" i="339"/>
  <c r="I57" i="339"/>
  <c r="H57" i="339"/>
  <c r="G57" i="339"/>
  <c r="F57" i="339"/>
  <c r="E57" i="339"/>
  <c r="D57" i="339"/>
  <c r="C57" i="339"/>
  <c r="B57" i="339"/>
  <c r="AC56" i="339"/>
  <c r="AB56" i="339"/>
  <c r="AA56" i="339"/>
  <c r="Z56" i="339"/>
  <c r="Y56" i="339"/>
  <c r="X56" i="339"/>
  <c r="W56" i="339"/>
  <c r="V56" i="339"/>
  <c r="U56" i="339"/>
  <c r="T56" i="339"/>
  <c r="S56" i="339"/>
  <c r="R56" i="339"/>
  <c r="Q56" i="339"/>
  <c r="P56" i="339"/>
  <c r="O56" i="339"/>
  <c r="N56" i="339"/>
  <c r="M56" i="339"/>
  <c r="L56" i="339"/>
  <c r="K56" i="339"/>
  <c r="J56" i="339"/>
  <c r="I56" i="339"/>
  <c r="H56" i="339"/>
  <c r="G56" i="339"/>
  <c r="F56" i="339"/>
  <c r="E56" i="339"/>
  <c r="D56" i="339"/>
  <c r="C56" i="339"/>
  <c r="B56" i="339"/>
  <c r="AC55" i="339"/>
  <c r="AB55" i="339"/>
  <c r="AA55" i="339"/>
  <c r="Z55" i="339"/>
  <c r="Y55" i="339"/>
  <c r="X55" i="339"/>
  <c r="W55" i="339"/>
  <c r="V55" i="339"/>
  <c r="U55" i="339"/>
  <c r="T55" i="339"/>
  <c r="S55" i="339"/>
  <c r="R55" i="339"/>
  <c r="Q55" i="339"/>
  <c r="P55" i="339"/>
  <c r="O55" i="339"/>
  <c r="N55" i="339"/>
  <c r="M55" i="339"/>
  <c r="L55" i="339"/>
  <c r="K55" i="339"/>
  <c r="J55" i="339"/>
  <c r="I55" i="339"/>
  <c r="H55" i="339"/>
  <c r="G55" i="339"/>
  <c r="F55" i="339"/>
  <c r="E55" i="339"/>
  <c r="D55" i="339"/>
  <c r="C55" i="339"/>
  <c r="B55" i="339"/>
  <c r="AC54" i="339"/>
  <c r="AB54" i="339"/>
  <c r="AA54" i="339"/>
  <c r="Z54" i="339"/>
  <c r="Y54" i="339"/>
  <c r="X54" i="339"/>
  <c r="W54" i="339"/>
  <c r="V54" i="339"/>
  <c r="U54" i="339"/>
  <c r="T54" i="339"/>
  <c r="S54" i="339"/>
  <c r="R54" i="339"/>
  <c r="Q54" i="339"/>
  <c r="P54" i="339"/>
  <c r="O54" i="339"/>
  <c r="N54" i="339"/>
  <c r="M54" i="339"/>
  <c r="L54" i="339"/>
  <c r="K54" i="339"/>
  <c r="J54" i="339"/>
  <c r="I54" i="339"/>
  <c r="H54" i="339"/>
  <c r="G54" i="339"/>
  <c r="F54" i="339"/>
  <c r="E54" i="339"/>
  <c r="D54" i="339"/>
  <c r="C54" i="339"/>
  <c r="B54" i="339"/>
  <c r="AC53" i="339"/>
  <c r="AB53" i="339"/>
  <c r="AA53" i="339"/>
  <c r="Z53" i="339"/>
  <c r="Y53" i="339"/>
  <c r="X53" i="339"/>
  <c r="W53" i="339"/>
  <c r="V53" i="339"/>
  <c r="U53" i="339"/>
  <c r="T53" i="339"/>
  <c r="S53" i="339"/>
  <c r="R53" i="339"/>
  <c r="Q53" i="339"/>
  <c r="P53" i="339"/>
  <c r="O53" i="339"/>
  <c r="N53" i="339"/>
  <c r="M53" i="339"/>
  <c r="L53" i="339"/>
  <c r="K53" i="339"/>
  <c r="J53" i="339"/>
  <c r="I53" i="339"/>
  <c r="H53" i="339"/>
  <c r="G53" i="339"/>
  <c r="F53" i="339"/>
  <c r="E53" i="339"/>
  <c r="D53" i="339"/>
  <c r="C53" i="339"/>
  <c r="B53" i="339"/>
  <c r="AC52" i="339"/>
  <c r="AB52" i="339"/>
  <c r="AA52" i="339"/>
  <c r="Z52" i="339"/>
  <c r="Y52" i="339"/>
  <c r="X52" i="339"/>
  <c r="W52" i="339"/>
  <c r="V52" i="339"/>
  <c r="U52" i="339"/>
  <c r="T52" i="339"/>
  <c r="S52" i="339"/>
  <c r="R52" i="339"/>
  <c r="Q52" i="339"/>
  <c r="P52" i="339"/>
  <c r="O52" i="339"/>
  <c r="N52" i="339"/>
  <c r="M52" i="339"/>
  <c r="L52" i="339"/>
  <c r="K52" i="339"/>
  <c r="J52" i="339"/>
  <c r="I52" i="339"/>
  <c r="H52" i="339"/>
  <c r="G52" i="339"/>
  <c r="F52" i="339"/>
  <c r="E52" i="339"/>
  <c r="D52" i="339"/>
  <c r="C52" i="339"/>
  <c r="B52" i="339"/>
  <c r="AC51" i="339"/>
  <c r="AB51" i="339"/>
  <c r="AA51" i="339"/>
  <c r="Z51" i="339"/>
  <c r="Y51" i="339"/>
  <c r="X51" i="339"/>
  <c r="W51" i="339"/>
  <c r="V51" i="339"/>
  <c r="U51" i="339"/>
  <c r="T51" i="339"/>
  <c r="S51" i="339"/>
  <c r="R51" i="339"/>
  <c r="Q51" i="339"/>
  <c r="P51" i="339"/>
  <c r="O51" i="339"/>
  <c r="N51" i="339"/>
  <c r="M51" i="339"/>
  <c r="L51" i="339"/>
  <c r="K51" i="339"/>
  <c r="J51" i="339"/>
  <c r="I51" i="339"/>
  <c r="H51" i="339"/>
  <c r="G51" i="339"/>
  <c r="F51" i="339"/>
  <c r="E51" i="339"/>
  <c r="D51" i="339"/>
  <c r="C51" i="339"/>
  <c r="B51" i="339"/>
  <c r="AC50" i="339"/>
  <c r="AB50" i="339"/>
  <c r="AA50" i="339"/>
  <c r="Z50" i="339"/>
  <c r="Y50" i="339"/>
  <c r="X50" i="339"/>
  <c r="W50" i="339"/>
  <c r="V50" i="339"/>
  <c r="U50" i="339"/>
  <c r="T50" i="339"/>
  <c r="S50" i="339"/>
  <c r="R50" i="339"/>
  <c r="Q50" i="339"/>
  <c r="P50" i="339"/>
  <c r="O50" i="339"/>
  <c r="N50" i="339"/>
  <c r="M50" i="339"/>
  <c r="L50" i="339"/>
  <c r="K50" i="339"/>
  <c r="J50" i="339"/>
  <c r="I50" i="339"/>
  <c r="H50" i="339"/>
  <c r="G50" i="339"/>
  <c r="F50" i="339"/>
  <c r="E50" i="339"/>
  <c r="D50" i="339"/>
  <c r="C50" i="339"/>
  <c r="B50" i="339"/>
  <c r="AC49" i="339"/>
  <c r="AB49" i="339"/>
  <c r="AA49" i="339"/>
  <c r="Z49" i="339"/>
  <c r="Y49" i="339"/>
  <c r="X49" i="339"/>
  <c r="W49" i="339"/>
  <c r="V49" i="339"/>
  <c r="U49" i="339"/>
  <c r="T49" i="339"/>
  <c r="S49" i="339"/>
  <c r="R49" i="339"/>
  <c r="Q49" i="339"/>
  <c r="P49" i="339"/>
  <c r="O49" i="339"/>
  <c r="N49" i="339"/>
  <c r="M49" i="339"/>
  <c r="L49" i="339"/>
  <c r="K49" i="339"/>
  <c r="J49" i="339"/>
  <c r="I49" i="339"/>
  <c r="H49" i="339"/>
  <c r="G49" i="339"/>
  <c r="F49" i="339"/>
  <c r="E49" i="339"/>
  <c r="D49" i="339"/>
  <c r="C49" i="339"/>
  <c r="B49" i="339"/>
  <c r="AC48" i="339"/>
  <c r="AB48" i="339"/>
  <c r="AA48" i="339"/>
  <c r="Z48" i="339"/>
  <c r="Y48" i="339"/>
  <c r="X48" i="339"/>
  <c r="W48" i="339"/>
  <c r="V48" i="339"/>
  <c r="U48" i="339"/>
  <c r="T48" i="339"/>
  <c r="S48" i="339"/>
  <c r="R48" i="339"/>
  <c r="Q48" i="339"/>
  <c r="P48" i="339"/>
  <c r="O48" i="339"/>
  <c r="N48" i="339"/>
  <c r="M48" i="339"/>
  <c r="L48" i="339"/>
  <c r="K48" i="339"/>
  <c r="J48" i="339"/>
  <c r="I48" i="339"/>
  <c r="H48" i="339"/>
  <c r="G48" i="339"/>
  <c r="F48" i="339"/>
  <c r="E48" i="339"/>
  <c r="D48" i="339"/>
  <c r="C48" i="339"/>
  <c r="B48" i="339"/>
  <c r="AC47" i="339"/>
  <c r="AB47" i="339"/>
  <c r="AA47" i="339"/>
  <c r="Z47" i="339"/>
  <c r="Y47" i="339"/>
  <c r="X47" i="339"/>
  <c r="W47" i="339"/>
  <c r="V47" i="339"/>
  <c r="U47" i="339"/>
  <c r="T47" i="339"/>
  <c r="S47" i="339"/>
  <c r="R47" i="339"/>
  <c r="Q47" i="339"/>
  <c r="P47" i="339"/>
  <c r="O47" i="339"/>
  <c r="N47" i="339"/>
  <c r="M47" i="339"/>
  <c r="L47" i="339"/>
  <c r="K47" i="339"/>
  <c r="J47" i="339"/>
  <c r="I47" i="339"/>
  <c r="H47" i="339"/>
  <c r="G47" i="339"/>
  <c r="F47" i="339"/>
  <c r="E47" i="339"/>
  <c r="D47" i="339"/>
  <c r="C47" i="339"/>
  <c r="B47" i="339"/>
  <c r="AC46" i="339"/>
  <c r="AB46" i="339"/>
  <c r="AA46" i="339"/>
  <c r="Z46" i="339"/>
  <c r="Y46" i="339"/>
  <c r="X46" i="339"/>
  <c r="W46" i="339"/>
  <c r="V46" i="339"/>
  <c r="U46" i="339"/>
  <c r="T46" i="339"/>
  <c r="S46" i="339"/>
  <c r="R46" i="339"/>
  <c r="Q46" i="339"/>
  <c r="P46" i="339"/>
  <c r="O46" i="339"/>
  <c r="N46" i="339"/>
  <c r="M46" i="339"/>
  <c r="L46" i="339"/>
  <c r="K46" i="339"/>
  <c r="J46" i="339"/>
  <c r="I46" i="339"/>
  <c r="H46" i="339"/>
  <c r="G46" i="339"/>
  <c r="F46" i="339"/>
  <c r="E46" i="339"/>
  <c r="D46" i="339"/>
  <c r="C46" i="339"/>
  <c r="B46" i="339"/>
  <c r="AC45" i="339"/>
  <c r="AB45" i="339"/>
  <c r="AA45" i="339"/>
  <c r="Z45" i="339"/>
  <c r="Y45" i="339"/>
  <c r="X45" i="339"/>
  <c r="W45" i="339"/>
  <c r="V45" i="339"/>
  <c r="U45" i="339"/>
  <c r="T45" i="339"/>
  <c r="S45" i="339"/>
  <c r="R45" i="339"/>
  <c r="Q45" i="339"/>
  <c r="P45" i="339"/>
  <c r="O45" i="339"/>
  <c r="N45" i="339"/>
  <c r="M45" i="339"/>
  <c r="L45" i="339"/>
  <c r="K45" i="339"/>
  <c r="J45" i="339"/>
  <c r="I45" i="339"/>
  <c r="H45" i="339"/>
  <c r="G45" i="339"/>
  <c r="F45" i="339"/>
  <c r="E45" i="339"/>
  <c r="D45" i="339"/>
  <c r="C45" i="339"/>
  <c r="B45" i="339"/>
  <c r="AC44" i="339"/>
  <c r="AB44" i="339"/>
  <c r="AA44" i="339"/>
  <c r="Z44" i="339"/>
  <c r="Y44" i="339"/>
  <c r="X44" i="339"/>
  <c r="W44" i="339"/>
  <c r="V44" i="339"/>
  <c r="U44" i="339"/>
  <c r="T44" i="339"/>
  <c r="S44" i="339"/>
  <c r="R44" i="339"/>
  <c r="Q44" i="339"/>
  <c r="P44" i="339"/>
  <c r="O44" i="339"/>
  <c r="N44" i="339"/>
  <c r="M44" i="339"/>
  <c r="L44" i="339"/>
  <c r="K44" i="339"/>
  <c r="J44" i="339"/>
  <c r="I44" i="339"/>
  <c r="H44" i="339"/>
  <c r="G44" i="339"/>
  <c r="F44" i="339"/>
  <c r="E44" i="339"/>
  <c r="D44" i="339"/>
  <c r="C44" i="339"/>
  <c r="B44" i="339"/>
  <c r="AC43" i="339"/>
  <c r="AB43" i="339"/>
  <c r="AA43" i="339"/>
  <c r="Z43" i="339"/>
  <c r="Y43" i="339"/>
  <c r="X43" i="339"/>
  <c r="W43" i="339"/>
  <c r="V43" i="339"/>
  <c r="U43" i="339"/>
  <c r="T43" i="339"/>
  <c r="S43" i="339"/>
  <c r="R43" i="339"/>
  <c r="Q43" i="339"/>
  <c r="P43" i="339"/>
  <c r="O43" i="339"/>
  <c r="N43" i="339"/>
  <c r="M43" i="339"/>
  <c r="L43" i="339"/>
  <c r="K43" i="339"/>
  <c r="J43" i="339"/>
  <c r="I43" i="339"/>
  <c r="H43" i="339"/>
  <c r="G43" i="339"/>
  <c r="F43" i="339"/>
  <c r="E43" i="339"/>
  <c r="D43" i="339"/>
  <c r="C43" i="339"/>
  <c r="B43" i="339"/>
  <c r="AC42" i="339"/>
  <c r="AB42" i="339"/>
  <c r="AA42" i="339"/>
  <c r="Z42" i="339"/>
  <c r="Y42" i="339"/>
  <c r="X42" i="339"/>
  <c r="W42" i="339"/>
  <c r="V42" i="339"/>
  <c r="U42" i="339"/>
  <c r="T42" i="339"/>
  <c r="S42" i="339"/>
  <c r="R42" i="339"/>
  <c r="Q42" i="339"/>
  <c r="P42" i="339"/>
  <c r="O42" i="339"/>
  <c r="N42" i="339"/>
  <c r="M42" i="339"/>
  <c r="L42" i="339"/>
  <c r="K42" i="339"/>
  <c r="J42" i="339"/>
  <c r="I42" i="339"/>
  <c r="H42" i="339"/>
  <c r="G42" i="339"/>
  <c r="F42" i="339"/>
  <c r="E42" i="339"/>
  <c r="D42" i="339"/>
  <c r="C42" i="339"/>
  <c r="B42" i="339"/>
  <c r="AC41" i="339"/>
  <c r="AB41" i="339"/>
  <c r="AA41" i="339"/>
  <c r="Z41" i="339"/>
  <c r="Y41" i="339"/>
  <c r="X41" i="339"/>
  <c r="W41" i="339"/>
  <c r="V41" i="339"/>
  <c r="U41" i="339"/>
  <c r="T41" i="339"/>
  <c r="S41" i="339"/>
  <c r="R41" i="339"/>
  <c r="Q41" i="339"/>
  <c r="P41" i="339"/>
  <c r="O41" i="339"/>
  <c r="N41" i="339"/>
  <c r="M41" i="339"/>
  <c r="L41" i="339"/>
  <c r="K41" i="339"/>
  <c r="J41" i="339"/>
  <c r="I41" i="339"/>
  <c r="H41" i="339"/>
  <c r="G41" i="339"/>
  <c r="F41" i="339"/>
  <c r="E41" i="339"/>
  <c r="D41" i="339"/>
  <c r="C41" i="339"/>
  <c r="B41" i="339"/>
  <c r="AC40" i="339"/>
  <c r="AB40" i="339"/>
  <c r="AA40" i="339"/>
  <c r="Z40" i="339"/>
  <c r="Y40" i="339"/>
  <c r="X40" i="339"/>
  <c r="W40" i="339"/>
  <c r="V40" i="339"/>
  <c r="U40" i="339"/>
  <c r="T40" i="339"/>
  <c r="S40" i="339"/>
  <c r="R40" i="339"/>
  <c r="Q40" i="339"/>
  <c r="P40" i="339"/>
  <c r="O40" i="339"/>
  <c r="N40" i="339"/>
  <c r="M40" i="339"/>
  <c r="L40" i="339"/>
  <c r="K40" i="339"/>
  <c r="J40" i="339"/>
  <c r="I40" i="339"/>
  <c r="H40" i="339"/>
  <c r="G40" i="339"/>
  <c r="F40" i="339"/>
  <c r="E40" i="339"/>
  <c r="D40" i="339"/>
  <c r="C40" i="339"/>
  <c r="B40" i="339"/>
  <c r="AC39" i="339"/>
  <c r="AB39" i="339"/>
  <c r="AA39" i="339"/>
  <c r="Z39" i="339"/>
  <c r="Y39" i="339"/>
  <c r="X39" i="339"/>
  <c r="W39" i="339"/>
  <c r="V39" i="339"/>
  <c r="U39" i="339"/>
  <c r="T39" i="339"/>
  <c r="S39" i="339"/>
  <c r="R39" i="339"/>
  <c r="Q39" i="339"/>
  <c r="P39" i="339"/>
  <c r="O39" i="339"/>
  <c r="N39" i="339"/>
  <c r="M39" i="339"/>
  <c r="L39" i="339"/>
  <c r="K39" i="339"/>
  <c r="J39" i="339"/>
  <c r="I39" i="339"/>
  <c r="H39" i="339"/>
  <c r="G39" i="339"/>
  <c r="F39" i="339"/>
  <c r="E39" i="339"/>
  <c r="D39" i="339"/>
  <c r="C39" i="339"/>
  <c r="B39" i="339"/>
  <c r="AC38" i="339"/>
  <c r="AB38" i="339"/>
  <c r="AA38" i="339"/>
  <c r="Z38" i="339"/>
  <c r="Y38" i="339"/>
  <c r="X38" i="339"/>
  <c r="W38" i="339"/>
  <c r="V38" i="339"/>
  <c r="U38" i="339"/>
  <c r="T38" i="339"/>
  <c r="S38" i="339"/>
  <c r="R38" i="339"/>
  <c r="Q38" i="339"/>
  <c r="P38" i="339"/>
  <c r="O38" i="339"/>
  <c r="N38" i="339"/>
  <c r="M38" i="339"/>
  <c r="L38" i="339"/>
  <c r="K38" i="339"/>
  <c r="J38" i="339"/>
  <c r="I38" i="339"/>
  <c r="H38" i="339"/>
  <c r="G38" i="339"/>
  <c r="F38" i="339"/>
  <c r="E38" i="339"/>
  <c r="D38" i="339"/>
  <c r="C38" i="339"/>
  <c r="B38" i="339"/>
  <c r="AC37" i="339"/>
  <c r="AB37" i="339"/>
  <c r="AA37" i="339"/>
  <c r="Z37" i="339"/>
  <c r="Y37" i="339"/>
  <c r="X37" i="339"/>
  <c r="W37" i="339"/>
  <c r="V37" i="339"/>
  <c r="U37" i="339"/>
  <c r="T37" i="339"/>
  <c r="S37" i="339"/>
  <c r="R37" i="339"/>
  <c r="Q37" i="339"/>
  <c r="P37" i="339"/>
  <c r="O37" i="339"/>
  <c r="N37" i="339"/>
  <c r="M37" i="339"/>
  <c r="L37" i="339"/>
  <c r="K37" i="339"/>
  <c r="J37" i="339"/>
  <c r="I37" i="339"/>
  <c r="H37" i="339"/>
  <c r="G37" i="339"/>
  <c r="F37" i="339"/>
  <c r="E37" i="339"/>
  <c r="D37" i="339"/>
  <c r="C37" i="339"/>
  <c r="B37" i="339"/>
  <c r="AC36" i="339"/>
  <c r="AB36" i="339"/>
  <c r="AA36" i="339"/>
  <c r="Z36" i="339"/>
  <c r="Y36" i="339"/>
  <c r="X36" i="339"/>
  <c r="W36" i="339"/>
  <c r="V36" i="339"/>
  <c r="U36" i="339"/>
  <c r="T36" i="339"/>
  <c r="S36" i="339"/>
  <c r="R36" i="339"/>
  <c r="Q36" i="339"/>
  <c r="P36" i="339"/>
  <c r="O36" i="339"/>
  <c r="N36" i="339"/>
  <c r="M36" i="339"/>
  <c r="L36" i="339"/>
  <c r="K36" i="339"/>
  <c r="J36" i="339"/>
  <c r="I36" i="339"/>
  <c r="H36" i="339"/>
  <c r="G36" i="339"/>
  <c r="F36" i="339"/>
  <c r="E36" i="339"/>
  <c r="D36" i="339"/>
  <c r="C36" i="339"/>
  <c r="B36" i="339"/>
  <c r="AC35" i="339"/>
  <c r="AB35" i="339"/>
  <c r="AA35" i="339"/>
  <c r="Z35" i="339"/>
  <c r="Y35" i="339"/>
  <c r="X35" i="339"/>
  <c r="W35" i="339"/>
  <c r="V35" i="339"/>
  <c r="U35" i="339"/>
  <c r="T35" i="339"/>
  <c r="S35" i="339"/>
  <c r="R35" i="339"/>
  <c r="Q35" i="339"/>
  <c r="P35" i="339"/>
  <c r="O35" i="339"/>
  <c r="N35" i="339"/>
  <c r="M35" i="339"/>
  <c r="L35" i="339"/>
  <c r="K35" i="339"/>
  <c r="J35" i="339"/>
  <c r="I35" i="339"/>
  <c r="H35" i="339"/>
  <c r="G35" i="339"/>
  <c r="F35" i="339"/>
  <c r="E35" i="339"/>
  <c r="D35" i="339"/>
  <c r="C35" i="339"/>
  <c r="B35" i="339"/>
  <c r="AC34" i="339"/>
  <c r="AB34" i="339"/>
  <c r="AA34" i="339"/>
  <c r="Z34" i="339"/>
  <c r="Y34" i="339"/>
  <c r="X34" i="339"/>
  <c r="W34" i="339"/>
  <c r="V34" i="339"/>
  <c r="U34" i="339"/>
  <c r="T34" i="339"/>
  <c r="S34" i="339"/>
  <c r="R34" i="339"/>
  <c r="Q34" i="339"/>
  <c r="P34" i="339"/>
  <c r="O34" i="339"/>
  <c r="N34" i="339"/>
  <c r="M34" i="339"/>
  <c r="L34" i="339"/>
  <c r="K34" i="339"/>
  <c r="J34" i="339"/>
  <c r="I34" i="339"/>
  <c r="H34" i="339"/>
  <c r="G34" i="339"/>
  <c r="F34" i="339"/>
  <c r="E34" i="339"/>
  <c r="D34" i="339"/>
  <c r="C34" i="339"/>
  <c r="B34" i="339"/>
  <c r="AC33" i="339"/>
  <c r="AB33" i="339"/>
  <c r="AA33" i="339"/>
  <c r="Z33" i="339"/>
  <c r="Y33" i="339"/>
  <c r="X33" i="339"/>
  <c r="W33" i="339"/>
  <c r="V33" i="339"/>
  <c r="U33" i="339"/>
  <c r="T33" i="339"/>
  <c r="S33" i="339"/>
  <c r="R33" i="339"/>
  <c r="Q33" i="339"/>
  <c r="P33" i="339"/>
  <c r="O33" i="339"/>
  <c r="N33" i="339"/>
  <c r="M33" i="339"/>
  <c r="L33" i="339"/>
  <c r="K33" i="339"/>
  <c r="J33" i="339"/>
  <c r="I33" i="339"/>
  <c r="H33" i="339"/>
  <c r="G33" i="339"/>
  <c r="F33" i="339"/>
  <c r="E33" i="339"/>
  <c r="D33" i="339"/>
  <c r="C33" i="339"/>
  <c r="B33" i="339"/>
  <c r="AC32" i="339"/>
  <c r="AB32" i="339"/>
  <c r="AA32" i="339"/>
  <c r="Z32" i="339"/>
  <c r="Y32" i="339"/>
  <c r="X32" i="339"/>
  <c r="W32" i="339"/>
  <c r="V32" i="339"/>
  <c r="U32" i="339"/>
  <c r="T32" i="339"/>
  <c r="S32" i="339"/>
  <c r="R32" i="339"/>
  <c r="Q32" i="339"/>
  <c r="P32" i="339"/>
  <c r="O32" i="339"/>
  <c r="N32" i="339"/>
  <c r="M32" i="339"/>
  <c r="L32" i="339"/>
  <c r="K32" i="339"/>
  <c r="J32" i="339"/>
  <c r="I32" i="339"/>
  <c r="H32" i="339"/>
  <c r="G32" i="339"/>
  <c r="F32" i="339"/>
  <c r="E32" i="339"/>
  <c r="D32" i="339"/>
  <c r="C32" i="339"/>
  <c r="B32" i="339"/>
  <c r="AC31" i="339"/>
  <c r="AB31" i="339"/>
  <c r="AA31" i="339"/>
  <c r="Z31" i="339"/>
  <c r="Y31" i="339"/>
  <c r="X31" i="339"/>
  <c r="W31" i="339"/>
  <c r="V31" i="339"/>
  <c r="U31" i="339"/>
  <c r="T31" i="339"/>
  <c r="S31" i="339"/>
  <c r="R31" i="339"/>
  <c r="Q31" i="339"/>
  <c r="P31" i="339"/>
  <c r="O31" i="339"/>
  <c r="N31" i="339"/>
  <c r="M31" i="339"/>
  <c r="L31" i="339"/>
  <c r="K31" i="339"/>
  <c r="J31" i="339"/>
  <c r="I31" i="339"/>
  <c r="H31" i="339"/>
  <c r="G31" i="339"/>
  <c r="F31" i="339"/>
  <c r="E31" i="339"/>
  <c r="D31" i="339"/>
  <c r="C31" i="339"/>
  <c r="B31" i="339"/>
  <c r="AC30" i="339"/>
  <c r="AB30" i="339"/>
  <c r="AA30" i="339"/>
  <c r="Z30" i="339"/>
  <c r="Y30" i="339"/>
  <c r="X30" i="339"/>
  <c r="W30" i="339"/>
  <c r="V30" i="339"/>
  <c r="U30" i="339"/>
  <c r="T30" i="339"/>
  <c r="S30" i="339"/>
  <c r="R30" i="339"/>
  <c r="Q30" i="339"/>
  <c r="P30" i="339"/>
  <c r="O30" i="339"/>
  <c r="N30" i="339"/>
  <c r="M30" i="339"/>
  <c r="L30" i="339"/>
  <c r="K30" i="339"/>
  <c r="J30" i="339"/>
  <c r="I30" i="339"/>
  <c r="H30" i="339"/>
  <c r="G30" i="339"/>
  <c r="F30" i="339"/>
  <c r="E30" i="339"/>
  <c r="D30" i="339"/>
  <c r="C30" i="339"/>
  <c r="B30" i="339"/>
  <c r="AC29" i="339"/>
  <c r="AB29" i="339"/>
  <c r="AA29" i="339"/>
  <c r="Z29" i="339"/>
  <c r="Y29" i="339"/>
  <c r="X29" i="339"/>
  <c r="W29" i="339"/>
  <c r="V29" i="339"/>
  <c r="U29" i="339"/>
  <c r="T29" i="339"/>
  <c r="S29" i="339"/>
  <c r="R29" i="339"/>
  <c r="Q29" i="339"/>
  <c r="P29" i="339"/>
  <c r="O29" i="339"/>
  <c r="N29" i="339"/>
  <c r="M29" i="339"/>
  <c r="L29" i="339"/>
  <c r="K29" i="339"/>
  <c r="J29" i="339"/>
  <c r="I29" i="339"/>
  <c r="H29" i="339"/>
  <c r="G29" i="339"/>
  <c r="F29" i="339"/>
  <c r="E29" i="339"/>
  <c r="D29" i="339"/>
  <c r="C29" i="339"/>
  <c r="B29" i="339"/>
  <c r="AC28" i="339"/>
  <c r="AB28" i="339"/>
  <c r="AA28" i="339"/>
  <c r="Z28" i="339"/>
  <c r="Y28" i="339"/>
  <c r="X28" i="339"/>
  <c r="W28" i="339"/>
  <c r="V28" i="339"/>
  <c r="U28" i="339"/>
  <c r="T28" i="339"/>
  <c r="S28" i="339"/>
  <c r="R28" i="339"/>
  <c r="Q28" i="339"/>
  <c r="P28" i="339"/>
  <c r="O28" i="339"/>
  <c r="N28" i="339"/>
  <c r="M28" i="339"/>
  <c r="L28" i="339"/>
  <c r="K28" i="339"/>
  <c r="J28" i="339"/>
  <c r="I28" i="339"/>
  <c r="H28" i="339"/>
  <c r="G28" i="339"/>
  <c r="F28" i="339"/>
  <c r="E28" i="339"/>
  <c r="D28" i="339"/>
  <c r="C28" i="339"/>
  <c r="B28" i="339"/>
  <c r="AC27" i="339"/>
  <c r="AB27" i="339"/>
  <c r="AA27" i="339"/>
  <c r="Z27" i="339"/>
  <c r="Y27" i="339"/>
  <c r="X27" i="339"/>
  <c r="W27" i="339"/>
  <c r="V27" i="339"/>
  <c r="U27" i="339"/>
  <c r="T27" i="339"/>
  <c r="S27" i="339"/>
  <c r="R27" i="339"/>
  <c r="Q27" i="339"/>
  <c r="P27" i="339"/>
  <c r="O27" i="339"/>
  <c r="N27" i="339"/>
  <c r="M27" i="339"/>
  <c r="L27" i="339"/>
  <c r="K27" i="339"/>
  <c r="J27" i="339"/>
  <c r="I27" i="339"/>
  <c r="H27" i="339"/>
  <c r="G27" i="339"/>
  <c r="F27" i="339"/>
  <c r="E27" i="339"/>
  <c r="D27" i="339"/>
  <c r="C27" i="339"/>
  <c r="B27" i="339"/>
  <c r="AC26" i="339"/>
  <c r="AB26" i="339"/>
  <c r="AA26" i="339"/>
  <c r="Z26" i="339"/>
  <c r="Y26" i="339"/>
  <c r="X26" i="339"/>
  <c r="W26" i="339"/>
  <c r="V26" i="339"/>
  <c r="U26" i="339"/>
  <c r="T26" i="339"/>
  <c r="S26" i="339"/>
  <c r="R26" i="339"/>
  <c r="Q26" i="339"/>
  <c r="P26" i="339"/>
  <c r="O26" i="339"/>
  <c r="N26" i="339"/>
  <c r="M26" i="339"/>
  <c r="L26" i="339"/>
  <c r="K26" i="339"/>
  <c r="J26" i="339"/>
  <c r="I26" i="339"/>
  <c r="H26" i="339"/>
  <c r="G26" i="339"/>
  <c r="F26" i="339"/>
  <c r="E26" i="339"/>
  <c r="D26" i="339"/>
  <c r="C26" i="339"/>
  <c r="B26" i="339"/>
  <c r="AC25" i="339"/>
  <c r="AB25" i="339"/>
  <c r="AA25" i="339"/>
  <c r="Z25" i="339"/>
  <c r="Y25" i="339"/>
  <c r="X25" i="339"/>
  <c r="W25" i="339"/>
  <c r="V25" i="339"/>
  <c r="U25" i="339"/>
  <c r="T25" i="339"/>
  <c r="S25" i="339"/>
  <c r="R25" i="339"/>
  <c r="Q25" i="339"/>
  <c r="P25" i="339"/>
  <c r="O25" i="339"/>
  <c r="N25" i="339"/>
  <c r="M25" i="339"/>
  <c r="L25" i="339"/>
  <c r="K25" i="339"/>
  <c r="J25" i="339"/>
  <c r="I25" i="339"/>
  <c r="H25" i="339"/>
  <c r="G25" i="339"/>
  <c r="F25" i="339"/>
  <c r="E25" i="339"/>
  <c r="D25" i="339"/>
  <c r="C25" i="339"/>
  <c r="B25" i="339"/>
  <c r="AC24" i="339"/>
  <c r="AB24" i="339"/>
  <c r="AA24" i="339"/>
  <c r="Z24" i="339"/>
  <c r="Y24" i="339"/>
  <c r="X24" i="339"/>
  <c r="W24" i="339"/>
  <c r="V24" i="339"/>
  <c r="U24" i="339"/>
  <c r="T24" i="339"/>
  <c r="S24" i="339"/>
  <c r="R24" i="339"/>
  <c r="Q24" i="339"/>
  <c r="P24" i="339"/>
  <c r="O24" i="339"/>
  <c r="N24" i="339"/>
  <c r="M24" i="339"/>
  <c r="L24" i="339"/>
  <c r="K24" i="339"/>
  <c r="J24" i="339"/>
  <c r="I24" i="339"/>
  <c r="H24" i="339"/>
  <c r="G24" i="339"/>
  <c r="F24" i="339"/>
  <c r="E24" i="339"/>
  <c r="D24" i="339"/>
  <c r="C24" i="339"/>
  <c r="B24" i="339"/>
  <c r="AC23" i="339"/>
  <c r="AB23" i="339"/>
  <c r="AA23" i="339"/>
  <c r="Z23" i="339"/>
  <c r="Y23" i="339"/>
  <c r="X23" i="339"/>
  <c r="W23" i="339"/>
  <c r="V23" i="339"/>
  <c r="U23" i="339"/>
  <c r="T23" i="339"/>
  <c r="S23" i="339"/>
  <c r="R23" i="339"/>
  <c r="Q23" i="339"/>
  <c r="P23" i="339"/>
  <c r="O23" i="339"/>
  <c r="N23" i="339"/>
  <c r="M23" i="339"/>
  <c r="L23" i="339"/>
  <c r="K23" i="339"/>
  <c r="J23" i="339"/>
  <c r="I23" i="339"/>
  <c r="H23" i="339"/>
  <c r="G23" i="339"/>
  <c r="F23" i="339"/>
  <c r="E23" i="339"/>
  <c r="D23" i="339"/>
  <c r="C23" i="339"/>
  <c r="B23" i="339"/>
  <c r="AC22" i="339"/>
  <c r="AB22" i="339"/>
  <c r="AA22" i="339"/>
  <c r="Z22" i="339"/>
  <c r="Y22" i="339"/>
  <c r="X22" i="339"/>
  <c r="W22" i="339"/>
  <c r="V22" i="339"/>
  <c r="U22" i="339"/>
  <c r="T22" i="339"/>
  <c r="S22" i="339"/>
  <c r="R22" i="339"/>
  <c r="Q22" i="339"/>
  <c r="P22" i="339"/>
  <c r="O22" i="339"/>
  <c r="N22" i="339"/>
  <c r="M22" i="339"/>
  <c r="L22" i="339"/>
  <c r="K22" i="339"/>
  <c r="J22" i="339"/>
  <c r="I22" i="339"/>
  <c r="H22" i="339"/>
  <c r="G22" i="339"/>
  <c r="F22" i="339"/>
  <c r="E22" i="339"/>
  <c r="D22" i="339"/>
  <c r="C22" i="339"/>
  <c r="B22" i="339"/>
  <c r="AC21" i="339"/>
  <c r="AB21" i="339"/>
  <c r="AA21" i="339"/>
  <c r="Z21" i="339"/>
  <c r="Y21" i="339"/>
  <c r="X21" i="339"/>
  <c r="W21" i="339"/>
  <c r="V21" i="339"/>
  <c r="U21" i="339"/>
  <c r="T21" i="339"/>
  <c r="S21" i="339"/>
  <c r="R21" i="339"/>
  <c r="Q21" i="339"/>
  <c r="P21" i="339"/>
  <c r="O21" i="339"/>
  <c r="N21" i="339"/>
  <c r="M21" i="339"/>
  <c r="L21" i="339"/>
  <c r="K21" i="339"/>
  <c r="J21" i="339"/>
  <c r="I21" i="339"/>
  <c r="H21" i="339"/>
  <c r="G21" i="339"/>
  <c r="F21" i="339"/>
  <c r="E21" i="339"/>
  <c r="D21" i="339"/>
  <c r="C21" i="339"/>
  <c r="B21" i="339"/>
  <c r="AC20" i="339"/>
  <c r="AB20" i="339"/>
  <c r="AA20" i="339"/>
  <c r="Z20" i="339"/>
  <c r="Y20" i="339"/>
  <c r="X20" i="339"/>
  <c r="W20" i="339"/>
  <c r="V20" i="339"/>
  <c r="U20" i="339"/>
  <c r="T20" i="339"/>
  <c r="S20" i="339"/>
  <c r="R20" i="339"/>
  <c r="Q20" i="339"/>
  <c r="P20" i="339"/>
  <c r="O20" i="339"/>
  <c r="N20" i="339"/>
  <c r="M20" i="339"/>
  <c r="L20" i="339"/>
  <c r="K20" i="339"/>
  <c r="J20" i="339"/>
  <c r="I20" i="339"/>
  <c r="H20" i="339"/>
  <c r="G20" i="339"/>
  <c r="F20" i="339"/>
  <c r="E20" i="339"/>
  <c r="D20" i="339"/>
  <c r="C20" i="339"/>
  <c r="B20" i="339"/>
  <c r="AC19" i="339"/>
  <c r="AB19" i="339"/>
  <c r="AA19" i="339"/>
  <c r="Z19" i="339"/>
  <c r="Y19" i="339"/>
  <c r="X19" i="339"/>
  <c r="W19" i="339"/>
  <c r="V19" i="339"/>
  <c r="U19" i="339"/>
  <c r="T19" i="339"/>
  <c r="S19" i="339"/>
  <c r="R19" i="339"/>
  <c r="Q19" i="339"/>
  <c r="P19" i="339"/>
  <c r="O19" i="339"/>
  <c r="N19" i="339"/>
  <c r="M19" i="339"/>
  <c r="L19" i="339"/>
  <c r="K19" i="339"/>
  <c r="J19" i="339"/>
  <c r="I19" i="339"/>
  <c r="H19" i="339"/>
  <c r="G19" i="339"/>
  <c r="F19" i="339"/>
  <c r="E19" i="339"/>
  <c r="D19" i="339"/>
  <c r="C19" i="339"/>
  <c r="B19" i="339"/>
  <c r="AC18" i="339"/>
  <c r="AB18" i="339"/>
  <c r="AA18" i="339"/>
  <c r="Z18" i="339"/>
  <c r="Y18" i="339"/>
  <c r="X18" i="339"/>
  <c r="W18" i="339"/>
  <c r="V18" i="339"/>
  <c r="U18" i="339"/>
  <c r="T18" i="339"/>
  <c r="S18" i="339"/>
  <c r="R18" i="339"/>
  <c r="Q18" i="339"/>
  <c r="P18" i="339"/>
  <c r="O18" i="339"/>
  <c r="N18" i="339"/>
  <c r="M18" i="339"/>
  <c r="L18" i="339"/>
  <c r="K18" i="339"/>
  <c r="J18" i="339"/>
  <c r="I18" i="339"/>
  <c r="H18" i="339"/>
  <c r="G18" i="339"/>
  <c r="F18" i="339"/>
  <c r="E18" i="339"/>
  <c r="D18" i="339"/>
  <c r="C18" i="339"/>
  <c r="B18" i="339"/>
  <c r="AC17" i="339"/>
  <c r="AB17" i="339"/>
  <c r="AA17" i="339"/>
  <c r="Z17" i="339"/>
  <c r="Y17" i="339"/>
  <c r="X17" i="339"/>
  <c r="W17" i="339"/>
  <c r="V17" i="339"/>
  <c r="U17" i="339"/>
  <c r="T17" i="339"/>
  <c r="S17" i="339"/>
  <c r="R17" i="339"/>
  <c r="Q17" i="339"/>
  <c r="P17" i="339"/>
  <c r="O17" i="339"/>
  <c r="N17" i="339"/>
  <c r="M17" i="339"/>
  <c r="L17" i="339"/>
  <c r="K17" i="339"/>
  <c r="J17" i="339"/>
  <c r="I17" i="339"/>
  <c r="H17" i="339"/>
  <c r="G17" i="339"/>
  <c r="F17" i="339"/>
  <c r="E17" i="339"/>
  <c r="D17" i="339"/>
  <c r="C17" i="339"/>
  <c r="B17" i="339"/>
  <c r="AC16" i="339"/>
  <c r="AB16" i="339"/>
  <c r="AA16" i="339"/>
  <c r="Z16" i="339"/>
  <c r="Y16" i="339"/>
  <c r="X16" i="339"/>
  <c r="W16" i="339"/>
  <c r="V16" i="339"/>
  <c r="U16" i="339"/>
  <c r="T16" i="339"/>
  <c r="S16" i="339"/>
  <c r="R16" i="339"/>
  <c r="Q16" i="339"/>
  <c r="P16" i="339"/>
  <c r="O16" i="339"/>
  <c r="N16" i="339"/>
  <c r="M16" i="339"/>
  <c r="L16" i="339"/>
  <c r="K16" i="339"/>
  <c r="J16" i="339"/>
  <c r="I16" i="339"/>
  <c r="H16" i="339"/>
  <c r="G16" i="339"/>
  <c r="F16" i="339"/>
  <c r="E16" i="339"/>
  <c r="D16" i="339"/>
  <c r="C16" i="339"/>
  <c r="B16" i="339"/>
  <c r="AC15" i="339"/>
  <c r="AB15" i="339"/>
  <c r="AA15" i="339"/>
  <c r="Z15" i="339"/>
  <c r="Y15" i="339"/>
  <c r="X15" i="339"/>
  <c r="W15" i="339"/>
  <c r="V15" i="339"/>
  <c r="U15" i="339"/>
  <c r="T15" i="339"/>
  <c r="S15" i="339"/>
  <c r="R15" i="339"/>
  <c r="Q15" i="339"/>
  <c r="P15" i="339"/>
  <c r="O15" i="339"/>
  <c r="N15" i="339"/>
  <c r="M15" i="339"/>
  <c r="L15" i="339"/>
  <c r="K15" i="339"/>
  <c r="J15" i="339"/>
  <c r="I15" i="339"/>
  <c r="H15" i="339"/>
  <c r="G15" i="339"/>
  <c r="F15" i="339"/>
  <c r="E15" i="339"/>
  <c r="D15" i="339"/>
  <c r="C15" i="339"/>
  <c r="B15" i="339"/>
  <c r="AC14" i="339"/>
  <c r="AB14" i="339"/>
  <c r="AA14" i="339"/>
  <c r="Z14" i="339"/>
  <c r="Y14" i="339"/>
  <c r="X14" i="339"/>
  <c r="W14" i="339"/>
  <c r="V14" i="339"/>
  <c r="U14" i="339"/>
  <c r="T14" i="339"/>
  <c r="S14" i="339"/>
  <c r="R14" i="339"/>
  <c r="Q14" i="339"/>
  <c r="P14" i="339"/>
  <c r="O14" i="339"/>
  <c r="N14" i="339"/>
  <c r="M14" i="339"/>
  <c r="L14" i="339"/>
  <c r="K14" i="339"/>
  <c r="J14" i="339"/>
  <c r="I14" i="339"/>
  <c r="H14" i="339"/>
  <c r="G14" i="339"/>
  <c r="F14" i="339"/>
  <c r="E14" i="339"/>
  <c r="D14" i="339"/>
  <c r="C14" i="339"/>
  <c r="B14" i="339"/>
  <c r="AC13" i="339"/>
  <c r="AB13" i="339"/>
  <c r="AA13" i="339"/>
  <c r="Z13" i="339"/>
  <c r="Y13" i="339"/>
  <c r="X13" i="339"/>
  <c r="W13" i="339"/>
  <c r="V13" i="339"/>
  <c r="U13" i="339"/>
  <c r="T13" i="339"/>
  <c r="S13" i="339"/>
  <c r="R13" i="339"/>
  <c r="Q13" i="339"/>
  <c r="P13" i="339"/>
  <c r="O13" i="339"/>
  <c r="N13" i="339"/>
  <c r="M13" i="339"/>
  <c r="L13" i="339"/>
  <c r="K13" i="339"/>
  <c r="J13" i="339"/>
  <c r="I13" i="339"/>
  <c r="H13" i="339"/>
  <c r="G13" i="339"/>
  <c r="F13" i="339"/>
  <c r="E13" i="339"/>
  <c r="D13" i="339"/>
  <c r="C13" i="339"/>
  <c r="B13" i="339"/>
  <c r="AC12" i="339"/>
  <c r="AB12" i="339"/>
  <c r="AA12" i="339"/>
  <c r="Z12" i="339"/>
  <c r="Y12" i="339"/>
  <c r="X12" i="339"/>
  <c r="W12" i="339"/>
  <c r="V12" i="339"/>
  <c r="U12" i="339"/>
  <c r="T12" i="339"/>
  <c r="S12" i="339"/>
  <c r="R12" i="339"/>
  <c r="Q12" i="339"/>
  <c r="P12" i="339"/>
  <c r="O12" i="339"/>
  <c r="N12" i="339"/>
  <c r="M12" i="339"/>
  <c r="L12" i="339"/>
  <c r="K12" i="339"/>
  <c r="J12" i="339"/>
  <c r="I12" i="339"/>
  <c r="H12" i="339"/>
  <c r="G12" i="339"/>
  <c r="F12" i="339"/>
  <c r="E12" i="339"/>
  <c r="D12" i="339"/>
  <c r="C12" i="339"/>
  <c r="B12" i="339"/>
  <c r="AC11" i="339"/>
  <c r="AB11" i="339"/>
  <c r="AA11" i="339"/>
  <c r="Z11" i="339"/>
  <c r="Y11" i="339"/>
  <c r="X11" i="339"/>
  <c r="W11" i="339"/>
  <c r="V11" i="339"/>
  <c r="U11" i="339"/>
  <c r="T11" i="339"/>
  <c r="S11" i="339"/>
  <c r="R11" i="339"/>
  <c r="Q11" i="339"/>
  <c r="P11" i="339"/>
  <c r="O11" i="339"/>
  <c r="N11" i="339"/>
  <c r="M11" i="339"/>
  <c r="L11" i="339"/>
  <c r="K11" i="339"/>
  <c r="J11" i="339"/>
  <c r="I11" i="339"/>
  <c r="H11" i="339"/>
  <c r="G11" i="339"/>
  <c r="F11" i="339"/>
  <c r="E11" i="339"/>
  <c r="D11" i="339"/>
  <c r="C11" i="339"/>
  <c r="B11" i="339"/>
  <c r="AC10" i="339"/>
  <c r="AB10" i="339"/>
  <c r="AA10" i="339"/>
  <c r="Z10" i="339"/>
  <c r="Y10" i="339"/>
  <c r="X10" i="339"/>
  <c r="W10" i="339"/>
  <c r="V10" i="339"/>
  <c r="U10" i="339"/>
  <c r="T10" i="339"/>
  <c r="S10" i="339"/>
  <c r="R10" i="339"/>
  <c r="Q10" i="339"/>
  <c r="P10" i="339"/>
  <c r="O10" i="339"/>
  <c r="N10" i="339"/>
  <c r="M10" i="339"/>
  <c r="L10" i="339"/>
  <c r="K10" i="339"/>
  <c r="J10" i="339"/>
  <c r="I10" i="339"/>
  <c r="H10" i="339"/>
  <c r="G10" i="339"/>
  <c r="F10" i="339"/>
  <c r="E10" i="339"/>
  <c r="D10" i="339"/>
  <c r="C10" i="339"/>
  <c r="B10" i="339"/>
  <c r="AC9" i="339"/>
  <c r="AB9" i="339"/>
  <c r="AA9" i="339"/>
  <c r="Z9" i="339"/>
  <c r="Y9" i="339"/>
  <c r="X9" i="339"/>
  <c r="W9" i="339"/>
  <c r="V9" i="339"/>
  <c r="U9" i="339"/>
  <c r="T9" i="339"/>
  <c r="S9" i="339"/>
  <c r="R9" i="339"/>
  <c r="Q9" i="339"/>
  <c r="P9" i="339"/>
  <c r="O9" i="339"/>
  <c r="N9" i="339"/>
  <c r="M9" i="339"/>
  <c r="L9" i="339"/>
  <c r="K9" i="339"/>
  <c r="J9" i="339"/>
  <c r="I9" i="339"/>
  <c r="H9" i="339"/>
  <c r="G9" i="339"/>
  <c r="F9" i="339"/>
  <c r="E9" i="339"/>
  <c r="D9" i="339"/>
  <c r="C9" i="339"/>
  <c r="B9" i="339"/>
  <c r="AC8" i="339"/>
  <c r="AB8" i="339"/>
  <c r="AA8" i="339"/>
  <c r="Z8" i="339"/>
  <c r="Y8" i="339"/>
  <c r="X8" i="339"/>
  <c r="W8" i="339"/>
  <c r="V8" i="339"/>
  <c r="U8" i="339"/>
  <c r="T8" i="339"/>
  <c r="S8" i="339"/>
  <c r="R8" i="339"/>
  <c r="Q8" i="339"/>
  <c r="P8" i="339"/>
  <c r="O8" i="339"/>
  <c r="N8" i="339"/>
  <c r="M8" i="339"/>
  <c r="L8" i="339"/>
  <c r="K8" i="339"/>
  <c r="J8" i="339"/>
  <c r="I8" i="339"/>
  <c r="H8" i="339"/>
  <c r="G8" i="339"/>
  <c r="F8" i="339"/>
  <c r="E8" i="339"/>
  <c r="D8" i="339"/>
  <c r="C8" i="339"/>
  <c r="B8" i="339"/>
  <c r="A8" i="339"/>
  <c r="A9" i="339" s="1"/>
  <c r="A10" i="339" s="1"/>
  <c r="A11" i="339" s="1"/>
  <c r="A12" i="339" s="1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A45" i="339" s="1"/>
  <c r="A46" i="339" s="1"/>
  <c r="A47" i="339" s="1"/>
  <c r="A48" i="339" s="1"/>
  <c r="A49" i="339" s="1"/>
  <c r="A50" i="339" s="1"/>
  <c r="A51" i="339" s="1"/>
  <c r="A52" i="339" s="1"/>
  <c r="A53" i="339" s="1"/>
  <c r="A54" i="339" s="1"/>
  <c r="A55" i="339" s="1"/>
  <c r="A56" i="339" s="1"/>
  <c r="A57" i="339" s="1"/>
  <c r="A58" i="339" s="1"/>
  <c r="A59" i="339" s="1"/>
  <c r="A60" i="339" s="1"/>
  <c r="A61" i="339" s="1"/>
  <c r="A62" i="339" s="1"/>
  <c r="A63" i="339" s="1"/>
  <c r="A64" i="339" s="1"/>
  <c r="A65" i="339" s="1"/>
  <c r="A66" i="339" s="1"/>
  <c r="A67" i="339" s="1"/>
  <c r="A68" i="339" s="1"/>
  <c r="A69" i="339" s="1"/>
  <c r="A70" i="339" s="1"/>
  <c r="A71" i="339" s="1"/>
  <c r="A72" i="339" s="1"/>
  <c r="A73" i="339" s="1"/>
  <c r="A74" i="339" s="1"/>
  <c r="A75" i="339" s="1"/>
  <c r="A76" i="339" s="1"/>
  <c r="A77" i="339" s="1"/>
  <c r="A78" i="339" s="1"/>
  <c r="A79" i="339" s="1"/>
  <c r="A80" i="339" s="1"/>
  <c r="A81" i="339" s="1"/>
  <c r="A82" i="339" s="1"/>
  <c r="A83" i="339" s="1"/>
  <c r="A84" i="339" s="1"/>
  <c r="A85" i="339" s="1"/>
  <c r="A86" i="339" s="1"/>
  <c r="A87" i="339" s="1"/>
  <c r="A88" i="339" s="1"/>
  <c r="A89" i="339" s="1"/>
  <c r="A90" i="339" s="1"/>
  <c r="A91" i="339" s="1"/>
  <c r="A92" i="339" s="1"/>
  <c r="A93" i="339" s="1"/>
  <c r="A94" i="339" s="1"/>
  <c r="A95" i="339" s="1"/>
  <c r="A96" i="339" s="1"/>
  <c r="A97" i="339" s="1"/>
  <c r="A98" i="339" s="1"/>
  <c r="A99" i="339" s="1"/>
  <c r="A100" i="339" s="1"/>
  <c r="A101" i="339" s="1"/>
  <c r="A102" i="339" s="1"/>
  <c r="A103" i="339" s="1"/>
  <c r="A104" i="339" s="1"/>
  <c r="A105" i="339" s="1"/>
  <c r="A106" i="339" s="1"/>
  <c r="A107" i="339" s="1"/>
  <c r="A108" i="339" s="1"/>
  <c r="A109" i="339" s="1"/>
  <c r="A110" i="339" s="1"/>
  <c r="AC7" i="339"/>
  <c r="AB7" i="339"/>
  <c r="AA7" i="339"/>
  <c r="Z7" i="339"/>
  <c r="Y7" i="339"/>
  <c r="X7" i="339"/>
  <c r="W7" i="339"/>
  <c r="V7" i="339"/>
  <c r="U7" i="339"/>
  <c r="T7" i="339"/>
  <c r="S7" i="339"/>
  <c r="R7" i="339"/>
  <c r="Q7" i="339"/>
  <c r="P7" i="339"/>
  <c r="O7" i="339"/>
  <c r="N7" i="339"/>
  <c r="M7" i="339"/>
  <c r="L7" i="339"/>
  <c r="K7" i="339"/>
  <c r="J7" i="339"/>
  <c r="I7" i="339"/>
  <c r="H7" i="339"/>
  <c r="G7" i="339"/>
  <c r="F7" i="339"/>
  <c r="E7" i="339"/>
  <c r="D7" i="339"/>
  <c r="C7" i="339"/>
  <c r="B7" i="339"/>
  <c r="A7" i="339"/>
  <c r="AC6" i="339"/>
  <c r="AB6" i="339"/>
  <c r="AA6" i="339"/>
  <c r="Z6" i="339"/>
  <c r="Y6" i="339"/>
  <c r="X6" i="339"/>
  <c r="W6" i="339"/>
  <c r="V6" i="339"/>
  <c r="U6" i="339"/>
  <c r="T6" i="339"/>
  <c r="S6" i="339"/>
  <c r="R6" i="339"/>
  <c r="Q6" i="339"/>
  <c r="P6" i="339"/>
  <c r="O6" i="339"/>
  <c r="N6" i="339"/>
  <c r="M6" i="339"/>
  <c r="L6" i="339"/>
  <c r="K6" i="339"/>
  <c r="J6" i="339"/>
  <c r="I6" i="339"/>
  <c r="H6" i="339"/>
  <c r="G6" i="339"/>
  <c r="F6" i="339"/>
  <c r="E6" i="339"/>
  <c r="D6" i="339"/>
  <c r="C6" i="339"/>
  <c r="B6" i="339"/>
  <c r="A6" i="339"/>
  <c r="AC5" i="339"/>
  <c r="AB5" i="339"/>
  <c r="AA5" i="339"/>
  <c r="AA110" i="339" s="1"/>
  <c r="Z5" i="339"/>
  <c r="Z110" i="339" s="1"/>
  <c r="Y5" i="339"/>
  <c r="Y110" i="339" s="1"/>
  <c r="X5" i="339"/>
  <c r="X110" i="339" s="1"/>
  <c r="W5" i="339"/>
  <c r="W110" i="339" s="1"/>
  <c r="V5" i="339"/>
  <c r="V110" i="339" s="1"/>
  <c r="U5" i="339"/>
  <c r="U110" i="339" s="1"/>
  <c r="T5" i="339"/>
  <c r="T110" i="339" s="1"/>
  <c r="S5" i="339"/>
  <c r="S110" i="339" s="1"/>
  <c r="R5" i="339"/>
  <c r="R110" i="339" s="1"/>
  <c r="Q5" i="339"/>
  <c r="Q110" i="339" s="1"/>
  <c r="P5" i="339"/>
  <c r="P110" i="339" s="1"/>
  <c r="O5" i="339"/>
  <c r="O110" i="339" s="1"/>
  <c r="N5" i="339"/>
  <c r="N110" i="339" s="1"/>
  <c r="M5" i="339"/>
  <c r="M110" i="339" s="1"/>
  <c r="L5" i="339"/>
  <c r="L110" i="339" s="1"/>
  <c r="K5" i="339"/>
  <c r="K110" i="339" s="1"/>
  <c r="J5" i="339"/>
  <c r="J110" i="339" s="1"/>
  <c r="I5" i="339"/>
  <c r="I110" i="339" s="1"/>
  <c r="H5" i="339"/>
  <c r="H110" i="339" s="1"/>
  <c r="G5" i="339"/>
  <c r="G110" i="339" s="1"/>
  <c r="F5" i="339"/>
  <c r="F110" i="339" s="1"/>
  <c r="E5" i="339"/>
  <c r="E110" i="339" s="1"/>
  <c r="D5" i="339"/>
  <c r="D110" i="339" s="1"/>
  <c r="C5" i="339"/>
  <c r="B5" i="339"/>
  <c r="S111" i="351"/>
  <c r="K111" i="351"/>
  <c r="L111" i="351" s="1"/>
  <c r="P111" i="351" s="1"/>
  <c r="F111" i="351"/>
  <c r="S110" i="351"/>
  <c r="K110" i="351"/>
  <c r="L110" i="351" s="1"/>
  <c r="F110" i="351"/>
  <c r="S109" i="351"/>
  <c r="K109" i="351"/>
  <c r="L109" i="351" s="1"/>
  <c r="F109" i="351"/>
  <c r="S108" i="351"/>
  <c r="K108" i="351"/>
  <c r="L108" i="351" s="1"/>
  <c r="P108" i="351" s="1"/>
  <c r="F108" i="351"/>
  <c r="S112" i="351"/>
  <c r="K112" i="351"/>
  <c r="D112" i="351"/>
  <c r="S105" i="351"/>
  <c r="K105" i="351"/>
  <c r="L105" i="351" s="1"/>
  <c r="P105" i="351" s="1"/>
  <c r="M105" i="351" s="1"/>
  <c r="F105" i="351"/>
  <c r="S104" i="351"/>
  <c r="K104" i="351"/>
  <c r="L104" i="351" s="1"/>
  <c r="P104" i="351" s="1"/>
  <c r="F104" i="351"/>
  <c r="S103" i="351"/>
  <c r="K103" i="351"/>
  <c r="L103" i="351" s="1"/>
  <c r="F103" i="351"/>
  <c r="S102" i="351"/>
  <c r="K102" i="351"/>
  <c r="L102" i="351" s="1"/>
  <c r="F102" i="351"/>
  <c r="S101" i="351"/>
  <c r="K101" i="351"/>
  <c r="L101" i="351" s="1"/>
  <c r="P101" i="351" s="1"/>
  <c r="F101" i="351"/>
  <c r="S100" i="351"/>
  <c r="K100" i="351"/>
  <c r="L100" i="351" s="1"/>
  <c r="P100" i="351" s="1"/>
  <c r="F100" i="351"/>
  <c r="S99" i="351"/>
  <c r="K99" i="351"/>
  <c r="L99" i="351" s="1"/>
  <c r="F99" i="351"/>
  <c r="S98" i="351"/>
  <c r="K98" i="351"/>
  <c r="L98" i="351" s="1"/>
  <c r="P98" i="351" s="1"/>
  <c r="F98" i="351"/>
  <c r="S97" i="351"/>
  <c r="K97" i="351"/>
  <c r="L97" i="351" s="1"/>
  <c r="P97" i="351" s="1"/>
  <c r="F97" i="351"/>
  <c r="S96" i="351"/>
  <c r="K96" i="351"/>
  <c r="L96" i="351" s="1"/>
  <c r="F96" i="351"/>
  <c r="S95" i="351"/>
  <c r="K95" i="351"/>
  <c r="L95" i="351" s="1"/>
  <c r="P95" i="351" s="1"/>
  <c r="F95" i="351"/>
  <c r="S94" i="351"/>
  <c r="K94" i="351"/>
  <c r="L94" i="351" s="1"/>
  <c r="F94" i="351"/>
  <c r="S93" i="351"/>
  <c r="K93" i="351"/>
  <c r="L93" i="351" s="1"/>
  <c r="P93" i="351" s="1"/>
  <c r="D93" i="351"/>
  <c r="F93" i="351" s="1"/>
  <c r="S92" i="351"/>
  <c r="K92" i="351"/>
  <c r="L92" i="351" s="1"/>
  <c r="P92" i="351" s="1"/>
  <c r="D92" i="351"/>
  <c r="F92" i="351" s="1"/>
  <c r="S91" i="351"/>
  <c r="K91" i="351"/>
  <c r="L91" i="351" s="1"/>
  <c r="P91" i="351" s="1"/>
  <c r="F91" i="351"/>
  <c r="S90" i="351"/>
  <c r="K90" i="351"/>
  <c r="L90" i="351" s="1"/>
  <c r="F90" i="351"/>
  <c r="S89" i="351"/>
  <c r="K89" i="351"/>
  <c r="L89" i="351" s="1"/>
  <c r="F89" i="351"/>
  <c r="S88" i="351"/>
  <c r="K88" i="351"/>
  <c r="L88" i="351" s="1"/>
  <c r="D88" i="351"/>
  <c r="F88" i="351" s="1"/>
  <c r="S87" i="351"/>
  <c r="K87" i="351"/>
  <c r="L87" i="351" s="1"/>
  <c r="P87" i="351" s="1"/>
  <c r="F87" i="351"/>
  <c r="S86" i="351"/>
  <c r="K86" i="351"/>
  <c r="L86" i="351" s="1"/>
  <c r="F86" i="351"/>
  <c r="S85" i="351"/>
  <c r="K85" i="351"/>
  <c r="L85" i="351" s="1"/>
  <c r="F85" i="351"/>
  <c r="S84" i="351"/>
  <c r="K84" i="351"/>
  <c r="L84" i="351" s="1"/>
  <c r="P84" i="351" s="1"/>
  <c r="F84" i="351"/>
  <c r="S83" i="351"/>
  <c r="K83" i="351"/>
  <c r="L83" i="351" s="1"/>
  <c r="F83" i="351"/>
  <c r="S82" i="351"/>
  <c r="K82" i="351"/>
  <c r="L82" i="351" s="1"/>
  <c r="F82" i="351"/>
  <c r="S81" i="351"/>
  <c r="K81" i="351"/>
  <c r="L81" i="351" s="1"/>
  <c r="P81" i="351" s="1"/>
  <c r="F81" i="351"/>
  <c r="S80" i="351"/>
  <c r="K80" i="351"/>
  <c r="L80" i="351" s="1"/>
  <c r="P80" i="351" s="1"/>
  <c r="E80" i="351"/>
  <c r="F80" i="351" s="1"/>
  <c r="S79" i="351"/>
  <c r="K79" i="351"/>
  <c r="L79" i="351" s="1"/>
  <c r="D79" i="351"/>
  <c r="F79" i="351" s="1"/>
  <c r="S78" i="351"/>
  <c r="K78" i="351"/>
  <c r="L78" i="351" s="1"/>
  <c r="P78" i="351" s="1"/>
  <c r="F78" i="351"/>
  <c r="S77" i="351"/>
  <c r="K77" i="351"/>
  <c r="L77" i="351" s="1"/>
  <c r="P77" i="351" s="1"/>
  <c r="F77" i="351"/>
  <c r="S76" i="351"/>
  <c r="K76" i="351"/>
  <c r="L76" i="351" s="1"/>
  <c r="F76" i="351"/>
  <c r="S75" i="351"/>
  <c r="K75" i="351"/>
  <c r="L75" i="351" s="1"/>
  <c r="D75" i="351"/>
  <c r="F75" i="351" s="1"/>
  <c r="S74" i="351"/>
  <c r="K74" i="351"/>
  <c r="L74" i="351" s="1"/>
  <c r="E74" i="351"/>
  <c r="D74" i="351"/>
  <c r="S73" i="351"/>
  <c r="K73" i="351"/>
  <c r="L73" i="351" s="1"/>
  <c r="P73" i="351" s="1"/>
  <c r="F73" i="351"/>
  <c r="S72" i="351"/>
  <c r="K72" i="351"/>
  <c r="L72" i="351" s="1"/>
  <c r="F72" i="351"/>
  <c r="S71" i="351"/>
  <c r="K71" i="351"/>
  <c r="L71" i="351" s="1"/>
  <c r="F71" i="351"/>
  <c r="S70" i="351"/>
  <c r="N70" i="351"/>
  <c r="K70" i="351"/>
  <c r="L70" i="351" s="1"/>
  <c r="D70" i="351"/>
  <c r="F70" i="351" s="1"/>
  <c r="S69" i="351"/>
  <c r="J69" i="351"/>
  <c r="J115" i="351" s="1"/>
  <c r="F69" i="351"/>
  <c r="S68" i="351"/>
  <c r="K68" i="351"/>
  <c r="L68" i="351" s="1"/>
  <c r="P68" i="351" s="1"/>
  <c r="F68" i="351"/>
  <c r="S67" i="351"/>
  <c r="K67" i="351"/>
  <c r="L67" i="351" s="1"/>
  <c r="F67" i="351"/>
  <c r="S66" i="351"/>
  <c r="K66" i="351"/>
  <c r="L66" i="351" s="1"/>
  <c r="F66" i="351"/>
  <c r="S65" i="351"/>
  <c r="K65" i="351"/>
  <c r="L65" i="351" s="1"/>
  <c r="P65" i="351" s="1"/>
  <c r="F65" i="351"/>
  <c r="S64" i="351"/>
  <c r="K64" i="351"/>
  <c r="L64" i="351" s="1"/>
  <c r="P64" i="351" s="1"/>
  <c r="F64" i="351"/>
  <c r="S63" i="351"/>
  <c r="K63" i="351"/>
  <c r="L63" i="351" s="1"/>
  <c r="F63" i="351"/>
  <c r="S62" i="351"/>
  <c r="K62" i="351"/>
  <c r="L62" i="351" s="1"/>
  <c r="P62" i="351" s="1"/>
  <c r="F62" i="351"/>
  <c r="S61" i="351"/>
  <c r="K61" i="351"/>
  <c r="L61" i="351" s="1"/>
  <c r="P61" i="351" s="1"/>
  <c r="F61" i="351"/>
  <c r="S60" i="351"/>
  <c r="K60" i="351"/>
  <c r="L60" i="351" s="1"/>
  <c r="P60" i="351" s="1"/>
  <c r="F60" i="351"/>
  <c r="S59" i="351"/>
  <c r="K59" i="351"/>
  <c r="L59" i="351" s="1"/>
  <c r="P59" i="351" s="1"/>
  <c r="F59" i="351"/>
  <c r="S58" i="351"/>
  <c r="K58" i="351"/>
  <c r="L58" i="351" s="1"/>
  <c r="P58" i="351" s="1"/>
  <c r="D58" i="351"/>
  <c r="F58" i="351" s="1"/>
  <c r="S57" i="351"/>
  <c r="K57" i="351"/>
  <c r="L57" i="351" s="1"/>
  <c r="P57" i="351" s="1"/>
  <c r="F57" i="351"/>
  <c r="S56" i="351"/>
  <c r="K56" i="351"/>
  <c r="L56" i="351" s="1"/>
  <c r="F56" i="351"/>
  <c r="S55" i="351"/>
  <c r="K55" i="351"/>
  <c r="L55" i="351" s="1"/>
  <c r="F55" i="351"/>
  <c r="S54" i="351"/>
  <c r="K54" i="351"/>
  <c r="L54" i="351" s="1"/>
  <c r="P54" i="351" s="1"/>
  <c r="F54" i="351"/>
  <c r="S53" i="351"/>
  <c r="K53" i="351"/>
  <c r="L53" i="351" s="1"/>
  <c r="P53" i="351" s="1"/>
  <c r="F53" i="351"/>
  <c r="S52" i="351"/>
  <c r="K52" i="351"/>
  <c r="L52" i="351" s="1"/>
  <c r="F52" i="351"/>
  <c r="S50" i="351"/>
  <c r="K50" i="351"/>
  <c r="L50" i="351" s="1"/>
  <c r="P50" i="351" s="1"/>
  <c r="F50" i="351"/>
  <c r="S49" i="351"/>
  <c r="K49" i="351"/>
  <c r="L49" i="351" s="1"/>
  <c r="P49" i="351" s="1"/>
  <c r="F49" i="351"/>
  <c r="S48" i="351"/>
  <c r="K48" i="351"/>
  <c r="L48" i="351" s="1"/>
  <c r="F48" i="351"/>
  <c r="S47" i="351"/>
  <c r="K47" i="351"/>
  <c r="L47" i="351" s="1"/>
  <c r="P47" i="351" s="1"/>
  <c r="F47" i="351"/>
  <c r="S46" i="351"/>
  <c r="K46" i="351"/>
  <c r="L46" i="351" s="1"/>
  <c r="F46" i="351"/>
  <c r="S45" i="351"/>
  <c r="K45" i="351"/>
  <c r="L45" i="351" s="1"/>
  <c r="F45" i="351"/>
  <c r="S44" i="351"/>
  <c r="K44" i="351"/>
  <c r="L44" i="351" s="1"/>
  <c r="P44" i="351" s="1"/>
  <c r="F44" i="351"/>
  <c r="S43" i="351"/>
  <c r="K43" i="351"/>
  <c r="L43" i="351" s="1"/>
  <c r="F43" i="351"/>
  <c r="S41" i="351"/>
  <c r="K41" i="351"/>
  <c r="L41" i="351" s="1"/>
  <c r="P41" i="351" s="1"/>
  <c r="D41" i="351"/>
  <c r="F41" i="351" s="1"/>
  <c r="S40" i="351"/>
  <c r="K40" i="351"/>
  <c r="L40" i="351" s="1"/>
  <c r="D40" i="351"/>
  <c r="F40" i="351" s="1"/>
  <c r="S39" i="351"/>
  <c r="K39" i="351"/>
  <c r="L39" i="351" s="1"/>
  <c r="P39" i="351" s="1"/>
  <c r="F39" i="351"/>
  <c r="S38" i="351"/>
  <c r="K38" i="351"/>
  <c r="L38" i="351" s="1"/>
  <c r="F38" i="351"/>
  <c r="S37" i="351"/>
  <c r="K37" i="351"/>
  <c r="L37" i="351" s="1"/>
  <c r="E37" i="351"/>
  <c r="D37" i="351"/>
  <c r="S36" i="351"/>
  <c r="K36" i="351"/>
  <c r="L36" i="351" s="1"/>
  <c r="P36" i="351" s="1"/>
  <c r="F36" i="351"/>
  <c r="S35" i="351"/>
  <c r="K35" i="351"/>
  <c r="L35" i="351" s="1"/>
  <c r="P35" i="351" s="1"/>
  <c r="F35" i="351"/>
  <c r="S34" i="351"/>
  <c r="K34" i="351"/>
  <c r="L34" i="351" s="1"/>
  <c r="D34" i="351"/>
  <c r="F34" i="351" s="1"/>
  <c r="S33" i="351"/>
  <c r="K33" i="351"/>
  <c r="L33" i="351" s="1"/>
  <c r="F33" i="351"/>
  <c r="K32" i="351"/>
  <c r="L32" i="351" s="1"/>
  <c r="F32" i="351"/>
  <c r="S31" i="351"/>
  <c r="K31" i="351"/>
  <c r="L31" i="351" s="1"/>
  <c r="P31" i="351" s="1"/>
  <c r="F31" i="351"/>
  <c r="S30" i="351"/>
  <c r="K30" i="351"/>
  <c r="L30" i="351" s="1"/>
  <c r="D30" i="351"/>
  <c r="F30" i="351" s="1"/>
  <c r="S29" i="351"/>
  <c r="K29" i="351"/>
  <c r="L29" i="351" s="1"/>
  <c r="F29" i="351"/>
  <c r="S28" i="351"/>
  <c r="K28" i="351"/>
  <c r="L28" i="351" s="1"/>
  <c r="F28" i="351"/>
  <c r="S27" i="351"/>
  <c r="K27" i="351"/>
  <c r="L27" i="351" s="1"/>
  <c r="P27" i="351" s="1"/>
  <c r="F27" i="351"/>
  <c r="S26" i="351"/>
  <c r="K26" i="351"/>
  <c r="L26" i="351" s="1"/>
  <c r="F26" i="351"/>
  <c r="S25" i="351"/>
  <c r="K25" i="351"/>
  <c r="L25" i="351" s="1"/>
  <c r="F25" i="351"/>
  <c r="S24" i="351"/>
  <c r="K24" i="351"/>
  <c r="L24" i="351" s="1"/>
  <c r="P24" i="351" s="1"/>
  <c r="F24" i="351"/>
  <c r="S23" i="351"/>
  <c r="K23" i="351"/>
  <c r="L23" i="351" s="1"/>
  <c r="F23" i="351"/>
  <c r="S22" i="351"/>
  <c r="K22" i="351"/>
  <c r="L22" i="351" s="1"/>
  <c r="P22" i="351" s="1"/>
  <c r="F22" i="351"/>
  <c r="S21" i="351"/>
  <c r="K21" i="351"/>
  <c r="L21" i="351" s="1"/>
  <c r="P21" i="351" s="1"/>
  <c r="F21" i="351"/>
  <c r="S20" i="351"/>
  <c r="K20" i="351"/>
  <c r="L20" i="351" s="1"/>
  <c r="F20" i="351"/>
  <c r="S19" i="351"/>
  <c r="K19" i="351"/>
  <c r="L19" i="351" s="1"/>
  <c r="P19" i="351" s="1"/>
  <c r="D19" i="351"/>
  <c r="F19" i="351" s="1"/>
  <c r="S18" i="351"/>
  <c r="K18" i="351"/>
  <c r="L18" i="351" s="1"/>
  <c r="P18" i="351" s="1"/>
  <c r="D18" i="351"/>
  <c r="F18" i="351" s="1"/>
  <c r="S16" i="351"/>
  <c r="K16" i="351"/>
  <c r="L16" i="351" s="1"/>
  <c r="D16" i="351"/>
  <c r="F16" i="351" s="1"/>
  <c r="S15" i="351"/>
  <c r="K15" i="351"/>
  <c r="L15" i="351" s="1"/>
  <c r="F15" i="351"/>
  <c r="S14" i="351"/>
  <c r="K14" i="351"/>
  <c r="L14" i="351" s="1"/>
  <c r="F14" i="351"/>
  <c r="S13" i="351"/>
  <c r="K13" i="351"/>
  <c r="L13" i="351" s="1"/>
  <c r="F13" i="351"/>
  <c r="S12" i="351"/>
  <c r="K12" i="351"/>
  <c r="L12" i="351" s="1"/>
  <c r="P12" i="351" s="1"/>
  <c r="D12" i="351"/>
  <c r="F12" i="351" s="1"/>
  <c r="S11" i="351"/>
  <c r="K11" i="351"/>
  <c r="L11" i="351" s="1"/>
  <c r="P11" i="351" s="1"/>
  <c r="E11" i="351"/>
  <c r="D11" i="351"/>
  <c r="S10" i="351"/>
  <c r="K10" i="351"/>
  <c r="L10" i="351" s="1"/>
  <c r="D10" i="351"/>
  <c r="F10" i="351" s="1"/>
  <c r="S9" i="351"/>
  <c r="K9" i="351"/>
  <c r="L9" i="351" s="1"/>
  <c r="D9" i="351"/>
  <c r="F9" i="351" s="1"/>
  <c r="S8" i="351"/>
  <c r="K8" i="351"/>
  <c r="L8" i="351" s="1"/>
  <c r="D8" i="351"/>
  <c r="F8" i="351" s="1"/>
  <c r="S7" i="351"/>
  <c r="K7" i="351"/>
  <c r="L7" i="351" s="1"/>
  <c r="D7" i="351"/>
  <c r="F7" i="351" s="1"/>
  <c r="S6" i="351"/>
  <c r="K6" i="351"/>
  <c r="L6" i="351" s="1"/>
  <c r="D6" i="351"/>
  <c r="F6" i="351" s="1"/>
  <c r="A6" i="351"/>
  <c r="A7" i="351" s="1"/>
  <c r="A8" i="351" s="1"/>
  <c r="A9" i="351" s="1"/>
  <c r="A10" i="351" s="1"/>
  <c r="A11" i="351" s="1"/>
  <c r="A12" i="351" s="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S5" i="351"/>
  <c r="K5" i="351"/>
  <c r="D5" i="351"/>
  <c r="Q130" i="336"/>
  <c r="AC127" i="336"/>
  <c r="AB127" i="336"/>
  <c r="AA127" i="336"/>
  <c r="Z127" i="336"/>
  <c r="Y127" i="336"/>
  <c r="X127" i="336"/>
  <c r="W127" i="336"/>
  <c r="V127" i="336"/>
  <c r="U127" i="336"/>
  <c r="T127" i="336"/>
  <c r="S127" i="336"/>
  <c r="R127" i="336"/>
  <c r="Q127" i="336"/>
  <c r="P127" i="336"/>
  <c r="O127" i="336"/>
  <c r="N127" i="336"/>
  <c r="M127" i="336"/>
  <c r="L127" i="336"/>
  <c r="K127" i="336"/>
  <c r="J127" i="336"/>
  <c r="I127" i="336"/>
  <c r="H127" i="336"/>
  <c r="G127" i="336"/>
  <c r="F127" i="336"/>
  <c r="E127" i="336"/>
  <c r="D127" i="336"/>
  <c r="C127" i="336"/>
  <c r="B127" i="336"/>
  <c r="AC126" i="336"/>
  <c r="AB126" i="336"/>
  <c r="AA126" i="336"/>
  <c r="AA128" i="336" s="1"/>
  <c r="Z126" i="336"/>
  <c r="Z128" i="336" s="1"/>
  <c r="Y126" i="336"/>
  <c r="Y128" i="336" s="1"/>
  <c r="X126" i="336"/>
  <c r="X128" i="336" s="1"/>
  <c r="W126" i="336"/>
  <c r="W128" i="336" s="1"/>
  <c r="V126" i="336"/>
  <c r="V128" i="336" s="1"/>
  <c r="U126" i="336"/>
  <c r="U128" i="336" s="1"/>
  <c r="E12" i="61" s="1"/>
  <c r="T126" i="336"/>
  <c r="T128" i="336" s="1"/>
  <c r="S126" i="336"/>
  <c r="S128" i="336" s="1"/>
  <c r="R126" i="336"/>
  <c r="R128" i="336" s="1"/>
  <c r="Q126" i="336"/>
  <c r="Q128" i="336" s="1"/>
  <c r="P126" i="336"/>
  <c r="P128" i="336" s="1"/>
  <c r="O126" i="336"/>
  <c r="O128" i="336" s="1"/>
  <c r="N126" i="336"/>
  <c r="N128" i="336" s="1"/>
  <c r="M126" i="336"/>
  <c r="M128" i="336" s="1"/>
  <c r="L126" i="336"/>
  <c r="L128" i="336" s="1"/>
  <c r="K126" i="336"/>
  <c r="K128" i="336" s="1"/>
  <c r="J126" i="336"/>
  <c r="J128" i="336" s="1"/>
  <c r="I126" i="336"/>
  <c r="I128" i="336" s="1"/>
  <c r="H126" i="336"/>
  <c r="H128" i="336" s="1"/>
  <c r="G126" i="336"/>
  <c r="G128" i="336" s="1"/>
  <c r="F126" i="336"/>
  <c r="F128" i="336" s="1"/>
  <c r="E126" i="336"/>
  <c r="E128" i="336" s="1"/>
  <c r="D126" i="336"/>
  <c r="D128" i="336" s="1"/>
  <c r="C126" i="336"/>
  <c r="B126" i="336"/>
  <c r="AC124" i="336"/>
  <c r="AB124" i="336"/>
  <c r="AA124" i="336"/>
  <c r="AA125" i="336" s="1"/>
  <c r="Z124" i="336"/>
  <c r="Z125" i="336" s="1"/>
  <c r="Y124" i="336"/>
  <c r="Y125" i="336" s="1"/>
  <c r="X124" i="336"/>
  <c r="X125" i="336" s="1"/>
  <c r="W124" i="336"/>
  <c r="W125" i="336" s="1"/>
  <c r="R124" i="336"/>
  <c r="R125" i="336" s="1"/>
  <c r="Q124" i="336"/>
  <c r="Q125" i="336" s="1"/>
  <c r="N124" i="336"/>
  <c r="N125" i="336" s="1"/>
  <c r="J124" i="336"/>
  <c r="J125" i="336" s="1"/>
  <c r="I124" i="336"/>
  <c r="I125" i="336" s="1"/>
  <c r="H124" i="336"/>
  <c r="H125" i="336" s="1"/>
  <c r="G124" i="336"/>
  <c r="G125" i="336" s="1"/>
  <c r="E124" i="336"/>
  <c r="E125" i="336" s="1"/>
  <c r="D124" i="336"/>
  <c r="D125" i="336" s="1"/>
  <c r="C124" i="336"/>
  <c r="B124" i="336"/>
  <c r="AC122" i="336"/>
  <c r="AB122" i="336"/>
  <c r="AA122" i="336"/>
  <c r="Z122" i="336"/>
  <c r="Y122" i="336"/>
  <c r="X122" i="336"/>
  <c r="W122" i="336"/>
  <c r="R122" i="336"/>
  <c r="Q122" i="336"/>
  <c r="N122" i="336"/>
  <c r="J122" i="336"/>
  <c r="I122" i="336"/>
  <c r="H122" i="336"/>
  <c r="G122" i="336"/>
  <c r="E122" i="336"/>
  <c r="D122" i="336"/>
  <c r="C122" i="336"/>
  <c r="B122" i="336"/>
  <c r="AC121" i="336"/>
  <c r="AB121" i="336"/>
  <c r="AA121" i="336"/>
  <c r="Z121" i="336"/>
  <c r="Y121" i="336"/>
  <c r="X121" i="336"/>
  <c r="W121" i="336"/>
  <c r="R121" i="336"/>
  <c r="Q121" i="336"/>
  <c r="N121" i="336"/>
  <c r="J121" i="336"/>
  <c r="I121" i="336"/>
  <c r="H121" i="336"/>
  <c r="G121" i="336"/>
  <c r="E121" i="336"/>
  <c r="D121" i="336"/>
  <c r="C121" i="336"/>
  <c r="B121" i="336"/>
  <c r="AC120" i="336"/>
  <c r="AB120" i="336"/>
  <c r="AA120" i="336"/>
  <c r="Z120" i="336"/>
  <c r="Y120" i="336"/>
  <c r="X120" i="336"/>
  <c r="W120" i="336"/>
  <c r="R120" i="336"/>
  <c r="Q120" i="336"/>
  <c r="N120" i="336"/>
  <c r="J120" i="336"/>
  <c r="I120" i="336"/>
  <c r="H120" i="336"/>
  <c r="G120" i="336"/>
  <c r="E120" i="336"/>
  <c r="D120" i="336"/>
  <c r="C120" i="336"/>
  <c r="B120" i="336"/>
  <c r="AC119" i="336"/>
  <c r="AB119" i="336"/>
  <c r="AA119" i="336"/>
  <c r="Z119" i="336"/>
  <c r="Y119" i="336"/>
  <c r="X119" i="336"/>
  <c r="W119" i="336"/>
  <c r="V119" i="336"/>
  <c r="U119" i="336"/>
  <c r="T119" i="336"/>
  <c r="S119" i="336"/>
  <c r="R119" i="336"/>
  <c r="Q119" i="336"/>
  <c r="P119" i="336"/>
  <c r="O119" i="336"/>
  <c r="N119" i="336"/>
  <c r="M119" i="336"/>
  <c r="L119" i="336"/>
  <c r="K119" i="336"/>
  <c r="J119" i="336"/>
  <c r="I119" i="336"/>
  <c r="H119" i="336"/>
  <c r="G119" i="336"/>
  <c r="F119" i="336"/>
  <c r="E119" i="336"/>
  <c r="D119" i="336"/>
  <c r="C119" i="336"/>
  <c r="B119" i="336"/>
  <c r="AC118" i="336"/>
  <c r="AB118" i="336"/>
  <c r="AA118" i="336"/>
  <c r="Z118" i="336"/>
  <c r="Y118" i="336"/>
  <c r="X118" i="336"/>
  <c r="W118" i="336"/>
  <c r="R118" i="336"/>
  <c r="Q118" i="336"/>
  <c r="N118" i="336"/>
  <c r="J118" i="336"/>
  <c r="I118" i="336"/>
  <c r="H118" i="336"/>
  <c r="G118" i="336"/>
  <c r="E118" i="336"/>
  <c r="D118" i="336"/>
  <c r="C118" i="336"/>
  <c r="B118" i="336"/>
  <c r="AC116" i="336"/>
  <c r="AB116" i="336"/>
  <c r="AA116" i="336"/>
  <c r="AA117" i="336" s="1"/>
  <c r="Z116" i="336"/>
  <c r="Z117" i="336" s="1"/>
  <c r="Y116" i="336"/>
  <c r="Y117" i="336" s="1"/>
  <c r="X116" i="336"/>
  <c r="X117" i="336" s="1"/>
  <c r="W116" i="336"/>
  <c r="W117" i="336" s="1"/>
  <c r="R116" i="336"/>
  <c r="R117" i="336" s="1"/>
  <c r="Q116" i="336"/>
  <c r="Q117" i="336" s="1"/>
  <c r="N116" i="336"/>
  <c r="N117" i="336" s="1"/>
  <c r="J116" i="336"/>
  <c r="J117" i="336" s="1"/>
  <c r="I116" i="336"/>
  <c r="I117" i="336" s="1"/>
  <c r="H116" i="336"/>
  <c r="H117" i="336" s="1"/>
  <c r="G116" i="336"/>
  <c r="G117" i="336" s="1"/>
  <c r="E116" i="336"/>
  <c r="E117" i="336" s="1"/>
  <c r="D116" i="336"/>
  <c r="D117" i="336" s="1"/>
  <c r="C116" i="336"/>
  <c r="B116" i="336"/>
  <c r="AC114" i="336"/>
  <c r="AB114" i="336"/>
  <c r="AA114" i="336"/>
  <c r="Z114" i="336"/>
  <c r="Y114" i="336"/>
  <c r="X114" i="336"/>
  <c r="W114" i="336"/>
  <c r="R114" i="336"/>
  <c r="N114" i="336"/>
  <c r="J114" i="336"/>
  <c r="I114" i="336"/>
  <c r="H114" i="336"/>
  <c r="E114" i="336"/>
  <c r="D114" i="336"/>
  <c r="C114" i="336"/>
  <c r="B114" i="336"/>
  <c r="AC113" i="336"/>
  <c r="AB113" i="336"/>
  <c r="AA113" i="336"/>
  <c r="AA115" i="336" s="1"/>
  <c r="Z113" i="336"/>
  <c r="Z115" i="336" s="1"/>
  <c r="Y113" i="336"/>
  <c r="Y115" i="336" s="1"/>
  <c r="X113" i="336"/>
  <c r="X115" i="336" s="1"/>
  <c r="W113" i="336"/>
  <c r="W115" i="336" s="1"/>
  <c r="V113" i="336"/>
  <c r="V115" i="336" s="1"/>
  <c r="U113" i="336"/>
  <c r="U115" i="336" s="1"/>
  <c r="T113" i="336"/>
  <c r="T115" i="336" s="1"/>
  <c r="S113" i="336"/>
  <c r="S115" i="336" s="1"/>
  <c r="R113" i="336"/>
  <c r="R115" i="336" s="1"/>
  <c r="Q113" i="336"/>
  <c r="Q115" i="336" s="1"/>
  <c r="P113" i="336"/>
  <c r="P115" i="336" s="1"/>
  <c r="O113" i="336"/>
  <c r="O115" i="336" s="1"/>
  <c r="N113" i="336"/>
  <c r="N115" i="336" s="1"/>
  <c r="M113" i="336"/>
  <c r="M115" i="336" s="1"/>
  <c r="L113" i="336"/>
  <c r="L115" i="336" s="1"/>
  <c r="K113" i="336"/>
  <c r="K115" i="336" s="1"/>
  <c r="J113" i="336"/>
  <c r="J115" i="336" s="1"/>
  <c r="I113" i="336"/>
  <c r="I115" i="336" s="1"/>
  <c r="H113" i="336"/>
  <c r="H115" i="336" s="1"/>
  <c r="G113" i="336"/>
  <c r="G115" i="336" s="1"/>
  <c r="F113" i="336"/>
  <c r="F115" i="336" s="1"/>
  <c r="E113" i="336"/>
  <c r="E115" i="336" s="1"/>
  <c r="D113" i="336"/>
  <c r="D115" i="336" s="1"/>
  <c r="C113" i="336"/>
  <c r="B113" i="336"/>
  <c r="AC111" i="336"/>
  <c r="AB111" i="336"/>
  <c r="AA111" i="336"/>
  <c r="Z111" i="336"/>
  <c r="Y111" i="336"/>
  <c r="X111" i="336"/>
  <c r="W111" i="336"/>
  <c r="R111" i="336"/>
  <c r="N111" i="336"/>
  <c r="J111" i="336"/>
  <c r="I111" i="336"/>
  <c r="H111" i="336"/>
  <c r="E111" i="336"/>
  <c r="D111" i="336"/>
  <c r="C111" i="336"/>
  <c r="B111" i="336"/>
  <c r="AC110" i="336"/>
  <c r="AB110" i="336"/>
  <c r="AA110" i="336"/>
  <c r="Z110" i="336"/>
  <c r="Y110" i="336"/>
  <c r="X110" i="336"/>
  <c r="W110" i="336"/>
  <c r="R110" i="336"/>
  <c r="Q110" i="336"/>
  <c r="N110" i="336"/>
  <c r="J110" i="336"/>
  <c r="I110" i="336"/>
  <c r="H110" i="336"/>
  <c r="G110" i="336"/>
  <c r="E110" i="336"/>
  <c r="D110" i="336"/>
  <c r="C110" i="336"/>
  <c r="B110" i="336"/>
  <c r="AC109" i="336"/>
  <c r="AB109" i="336"/>
  <c r="AA109" i="336"/>
  <c r="Z109" i="336"/>
  <c r="Y109" i="336"/>
  <c r="X109" i="336"/>
  <c r="W109" i="336"/>
  <c r="R109" i="336"/>
  <c r="Q109" i="336"/>
  <c r="N109" i="336"/>
  <c r="J109" i="336"/>
  <c r="I109" i="336"/>
  <c r="H109" i="336"/>
  <c r="G109" i="336"/>
  <c r="E109" i="336"/>
  <c r="D109" i="336"/>
  <c r="C109" i="336"/>
  <c r="B109" i="336"/>
  <c r="AC108" i="336"/>
  <c r="AB108" i="336"/>
  <c r="AA108" i="336"/>
  <c r="Z108" i="336"/>
  <c r="Y108" i="336"/>
  <c r="X108" i="336"/>
  <c r="W108" i="336"/>
  <c r="R108" i="336"/>
  <c r="Q108" i="336"/>
  <c r="N108" i="336"/>
  <c r="J108" i="336"/>
  <c r="I108" i="336"/>
  <c r="H108" i="336"/>
  <c r="G108" i="336"/>
  <c r="E108" i="336"/>
  <c r="D108" i="336"/>
  <c r="C108" i="336"/>
  <c r="B108" i="336"/>
  <c r="AC107" i="336"/>
  <c r="AB107" i="336"/>
  <c r="AA107" i="336"/>
  <c r="Z107" i="336"/>
  <c r="Y107" i="336"/>
  <c r="X107" i="336"/>
  <c r="W107" i="336"/>
  <c r="R107" i="336"/>
  <c r="Q107" i="336"/>
  <c r="N107" i="336"/>
  <c r="J107" i="336"/>
  <c r="I107" i="336"/>
  <c r="H107" i="336"/>
  <c r="G107" i="336"/>
  <c r="E107" i="336"/>
  <c r="C107" i="336"/>
  <c r="B107" i="336"/>
  <c r="AC106" i="336"/>
  <c r="AB106" i="336"/>
  <c r="AA106" i="336"/>
  <c r="Z106" i="336"/>
  <c r="Y106" i="336"/>
  <c r="X106" i="336"/>
  <c r="W106" i="336"/>
  <c r="R106" i="336"/>
  <c r="Q106" i="336"/>
  <c r="N106" i="336"/>
  <c r="J106" i="336"/>
  <c r="I106" i="336"/>
  <c r="H106" i="336"/>
  <c r="G106" i="336"/>
  <c r="E106" i="336"/>
  <c r="D106" i="336"/>
  <c r="C106" i="336"/>
  <c r="B106" i="336"/>
  <c r="AC105" i="336"/>
  <c r="AB105" i="336"/>
  <c r="AA105" i="336"/>
  <c r="Z105" i="336"/>
  <c r="Y105" i="336"/>
  <c r="X105" i="336"/>
  <c r="W105" i="336"/>
  <c r="R105" i="336"/>
  <c r="Q105" i="336"/>
  <c r="N105" i="336"/>
  <c r="J105" i="336"/>
  <c r="I105" i="336"/>
  <c r="H105" i="336"/>
  <c r="G105" i="336"/>
  <c r="E105" i="336"/>
  <c r="D105" i="336"/>
  <c r="C105" i="336"/>
  <c r="B105" i="336"/>
  <c r="AC104" i="336"/>
  <c r="AB104" i="336"/>
  <c r="AA104" i="336"/>
  <c r="Z104" i="336"/>
  <c r="Y104" i="336"/>
  <c r="X104" i="336"/>
  <c r="W104" i="336"/>
  <c r="R104" i="336"/>
  <c r="N104" i="336"/>
  <c r="J104" i="336"/>
  <c r="I104" i="336"/>
  <c r="H104" i="336"/>
  <c r="E104" i="336"/>
  <c r="D104" i="336"/>
  <c r="C104" i="336"/>
  <c r="B104" i="336"/>
  <c r="AC103" i="336"/>
  <c r="AB103" i="336"/>
  <c r="AA103" i="336"/>
  <c r="Z103" i="336"/>
  <c r="Y103" i="336"/>
  <c r="X103" i="336"/>
  <c r="W103" i="336"/>
  <c r="R103" i="336"/>
  <c r="Q103" i="336"/>
  <c r="N103" i="336"/>
  <c r="J103" i="336"/>
  <c r="I103" i="336"/>
  <c r="H103" i="336"/>
  <c r="G103" i="336"/>
  <c r="E103" i="336"/>
  <c r="D103" i="336"/>
  <c r="C103" i="336"/>
  <c r="B103" i="336"/>
  <c r="AC102" i="336"/>
  <c r="AB102" i="336"/>
  <c r="AA102" i="336"/>
  <c r="Z102" i="336"/>
  <c r="Y102" i="336"/>
  <c r="X102" i="336"/>
  <c r="W102" i="336"/>
  <c r="R102" i="336"/>
  <c r="Q102" i="336"/>
  <c r="N102" i="336"/>
  <c r="J102" i="336"/>
  <c r="I102" i="336"/>
  <c r="H102" i="336"/>
  <c r="G102" i="336"/>
  <c r="E102" i="336"/>
  <c r="D102" i="336"/>
  <c r="C102" i="336"/>
  <c r="B102" i="336"/>
  <c r="AC101" i="336"/>
  <c r="AB101" i="336"/>
  <c r="AA101" i="336"/>
  <c r="Z101" i="336"/>
  <c r="Y101" i="336"/>
  <c r="X101" i="336"/>
  <c r="W101" i="336"/>
  <c r="R101" i="336"/>
  <c r="Q101" i="336"/>
  <c r="N101" i="336"/>
  <c r="J101" i="336"/>
  <c r="I101" i="336"/>
  <c r="H101" i="336"/>
  <c r="G101" i="336"/>
  <c r="E101" i="336"/>
  <c r="D101" i="336"/>
  <c r="C101" i="336"/>
  <c r="B101" i="336"/>
  <c r="AC100" i="336"/>
  <c r="AB100" i="336"/>
  <c r="AA100" i="336"/>
  <c r="Z100" i="336"/>
  <c r="Y100" i="336"/>
  <c r="X100" i="336"/>
  <c r="W100" i="336"/>
  <c r="R100" i="336"/>
  <c r="Q100" i="336"/>
  <c r="J100" i="336"/>
  <c r="I100" i="336"/>
  <c r="H100" i="336"/>
  <c r="G100" i="336"/>
  <c r="E100" i="336"/>
  <c r="D100" i="336"/>
  <c r="C100" i="336"/>
  <c r="B100" i="336"/>
  <c r="AC99" i="336"/>
  <c r="AB99" i="336"/>
  <c r="AA99" i="336"/>
  <c r="Z99" i="336"/>
  <c r="Y99" i="336"/>
  <c r="X99" i="336"/>
  <c r="W99" i="336"/>
  <c r="R99" i="336"/>
  <c r="N99" i="336"/>
  <c r="J99" i="336"/>
  <c r="I99" i="336"/>
  <c r="H99" i="336"/>
  <c r="E99" i="336"/>
  <c r="C99" i="336"/>
  <c r="B99" i="336"/>
  <c r="AC98" i="336"/>
  <c r="AB98" i="336"/>
  <c r="AA98" i="336"/>
  <c r="Z98" i="336"/>
  <c r="Y98" i="336"/>
  <c r="X98" i="336"/>
  <c r="W98" i="336"/>
  <c r="R98" i="336"/>
  <c r="N98" i="336"/>
  <c r="J98" i="336"/>
  <c r="I98" i="336"/>
  <c r="H98" i="336"/>
  <c r="E98" i="336"/>
  <c r="D98" i="336"/>
  <c r="C98" i="336"/>
  <c r="B98" i="336"/>
  <c r="AC97" i="336"/>
  <c r="AB97" i="336"/>
  <c r="AA97" i="336"/>
  <c r="Z97" i="336"/>
  <c r="Y97" i="336"/>
  <c r="X97" i="336"/>
  <c r="W97" i="336"/>
  <c r="R97" i="336"/>
  <c r="N97" i="336"/>
  <c r="J97" i="336"/>
  <c r="I97" i="336"/>
  <c r="H97" i="336"/>
  <c r="E97" i="336"/>
  <c r="C97" i="336"/>
  <c r="B97" i="336"/>
  <c r="AC96" i="336"/>
  <c r="AB96" i="336"/>
  <c r="AA96" i="336"/>
  <c r="Z96" i="336"/>
  <c r="Y96" i="336"/>
  <c r="X96" i="336"/>
  <c r="W96" i="336"/>
  <c r="R96" i="336"/>
  <c r="Q96" i="336"/>
  <c r="N96" i="336"/>
  <c r="J96" i="336"/>
  <c r="I96" i="336"/>
  <c r="H96" i="336"/>
  <c r="G96" i="336"/>
  <c r="E96" i="336"/>
  <c r="D96" i="336"/>
  <c r="C96" i="336"/>
  <c r="B96" i="336"/>
  <c r="AC95" i="336"/>
  <c r="AB95" i="336"/>
  <c r="AA95" i="336"/>
  <c r="Z95" i="336"/>
  <c r="Y95" i="336"/>
  <c r="X95" i="336"/>
  <c r="R95" i="336"/>
  <c r="Q95" i="336"/>
  <c r="N95" i="336"/>
  <c r="J95" i="336"/>
  <c r="I95" i="336"/>
  <c r="H95" i="336"/>
  <c r="C95" i="336"/>
  <c r="B95" i="336"/>
  <c r="S93" i="336"/>
  <c r="K93" i="336"/>
  <c r="L93" i="336" s="1"/>
  <c r="F93" i="336"/>
  <c r="AC92" i="336"/>
  <c r="AB92" i="336"/>
  <c r="AA92" i="336"/>
  <c r="Z92" i="336"/>
  <c r="Y92" i="336"/>
  <c r="X92" i="336"/>
  <c r="W92" i="336"/>
  <c r="V92" i="336"/>
  <c r="U92" i="336"/>
  <c r="T92" i="336"/>
  <c r="S92" i="336"/>
  <c r="R92" i="336"/>
  <c r="Q92" i="336"/>
  <c r="P92" i="336"/>
  <c r="O92" i="336"/>
  <c r="N92" i="336"/>
  <c r="M92" i="336"/>
  <c r="L92" i="336"/>
  <c r="K92" i="336"/>
  <c r="J92" i="336"/>
  <c r="I92" i="336"/>
  <c r="H92" i="336"/>
  <c r="G92" i="336"/>
  <c r="F92" i="336"/>
  <c r="E92" i="336"/>
  <c r="D92" i="336"/>
  <c r="C92" i="336"/>
  <c r="B92" i="336"/>
  <c r="AC91" i="336"/>
  <c r="AB91" i="336"/>
  <c r="Z91" i="336"/>
  <c r="Y91" i="336"/>
  <c r="X91" i="336"/>
  <c r="W91" i="336"/>
  <c r="R91" i="336"/>
  <c r="Q91" i="336"/>
  <c r="N91" i="336"/>
  <c r="J91" i="336"/>
  <c r="I91" i="336"/>
  <c r="H91" i="336"/>
  <c r="G91" i="336"/>
  <c r="E91" i="336"/>
  <c r="D91" i="336"/>
  <c r="C91" i="336"/>
  <c r="B91" i="336"/>
  <c r="AC90" i="336"/>
  <c r="AB90" i="336"/>
  <c r="AA90" i="336"/>
  <c r="Z90" i="336"/>
  <c r="Y90" i="336"/>
  <c r="X90" i="336"/>
  <c r="W90" i="336"/>
  <c r="R90" i="336"/>
  <c r="Q90" i="336"/>
  <c r="N90" i="336"/>
  <c r="J90" i="336"/>
  <c r="I90" i="336"/>
  <c r="H90" i="336"/>
  <c r="G90" i="336"/>
  <c r="E90" i="336"/>
  <c r="D90" i="336"/>
  <c r="C90" i="336"/>
  <c r="B90" i="336"/>
  <c r="AC89" i="336"/>
  <c r="AB89" i="336"/>
  <c r="AA89" i="336"/>
  <c r="Z89" i="336"/>
  <c r="Y89" i="336"/>
  <c r="X89" i="336"/>
  <c r="W89" i="336"/>
  <c r="R89" i="336"/>
  <c r="Q89" i="336"/>
  <c r="N89" i="336"/>
  <c r="J89" i="336"/>
  <c r="I89" i="336"/>
  <c r="H89" i="336"/>
  <c r="G89" i="336"/>
  <c r="E89" i="336"/>
  <c r="D89" i="336"/>
  <c r="C89" i="336"/>
  <c r="B89" i="336"/>
  <c r="AC88" i="336"/>
  <c r="AB88" i="336"/>
  <c r="Z88" i="336"/>
  <c r="Y88" i="336"/>
  <c r="X88" i="336"/>
  <c r="W88" i="336"/>
  <c r="R88" i="336"/>
  <c r="Q88" i="336"/>
  <c r="N88" i="336"/>
  <c r="J88" i="336"/>
  <c r="I88" i="336"/>
  <c r="H88" i="336"/>
  <c r="E88" i="336"/>
  <c r="D88" i="336"/>
  <c r="C88" i="336"/>
  <c r="B88" i="336"/>
  <c r="AC87" i="336"/>
  <c r="AB87" i="336"/>
  <c r="AA87" i="336"/>
  <c r="Z87" i="336"/>
  <c r="Y87" i="336"/>
  <c r="X87" i="336"/>
  <c r="W87" i="336"/>
  <c r="R87" i="336"/>
  <c r="Q87" i="336"/>
  <c r="N87" i="336"/>
  <c r="J87" i="336"/>
  <c r="I87" i="336"/>
  <c r="H87" i="336"/>
  <c r="G87" i="336"/>
  <c r="E87" i="336"/>
  <c r="D87" i="336"/>
  <c r="C87" i="336"/>
  <c r="B87" i="336"/>
  <c r="AC86" i="336"/>
  <c r="AB86" i="336"/>
  <c r="Z86" i="336"/>
  <c r="Y86" i="336"/>
  <c r="X86" i="336"/>
  <c r="W86" i="336"/>
  <c r="R86" i="336"/>
  <c r="Q86" i="336"/>
  <c r="N86" i="336"/>
  <c r="J86" i="336"/>
  <c r="I86" i="336"/>
  <c r="H86" i="336"/>
  <c r="G86" i="336"/>
  <c r="E86" i="336"/>
  <c r="D86" i="336"/>
  <c r="C86" i="336"/>
  <c r="B86" i="336"/>
  <c r="AC85" i="336"/>
  <c r="AB85" i="336"/>
  <c r="AA85" i="336"/>
  <c r="Z85" i="336"/>
  <c r="Y85" i="336"/>
  <c r="X85" i="336"/>
  <c r="W85" i="336"/>
  <c r="R85" i="336"/>
  <c r="Q85" i="336"/>
  <c r="N85" i="336"/>
  <c r="J85" i="336"/>
  <c r="I85" i="336"/>
  <c r="H85" i="336"/>
  <c r="G85" i="336"/>
  <c r="E85" i="336"/>
  <c r="D85" i="336"/>
  <c r="C85" i="336"/>
  <c r="B85" i="336"/>
  <c r="AC84" i="336"/>
  <c r="AB84" i="336"/>
  <c r="AA84" i="336"/>
  <c r="Z84" i="336"/>
  <c r="Y84" i="336"/>
  <c r="X84" i="336"/>
  <c r="W84" i="336"/>
  <c r="R84" i="336"/>
  <c r="Q84" i="336"/>
  <c r="N84" i="336"/>
  <c r="J84" i="336"/>
  <c r="I84" i="336"/>
  <c r="H84" i="336"/>
  <c r="G84" i="336"/>
  <c r="E84" i="336"/>
  <c r="C84" i="336"/>
  <c r="B84" i="336"/>
  <c r="AC83" i="336"/>
  <c r="AB83" i="336"/>
  <c r="Z83" i="336"/>
  <c r="Y83" i="336"/>
  <c r="X83" i="336"/>
  <c r="W83" i="336"/>
  <c r="R83" i="336"/>
  <c r="Q83" i="336"/>
  <c r="N83" i="336"/>
  <c r="J83" i="336"/>
  <c r="I83" i="336"/>
  <c r="H83" i="336"/>
  <c r="G83" i="336"/>
  <c r="E83" i="336"/>
  <c r="C83" i="336"/>
  <c r="B83" i="336"/>
  <c r="AC82" i="336"/>
  <c r="AB82" i="336"/>
  <c r="AA82" i="336"/>
  <c r="Z82" i="336"/>
  <c r="Y82" i="336"/>
  <c r="X82" i="336"/>
  <c r="W82" i="336"/>
  <c r="R82" i="336"/>
  <c r="Q82" i="336"/>
  <c r="N82" i="336"/>
  <c r="J82" i="336"/>
  <c r="I82" i="336"/>
  <c r="H82" i="336"/>
  <c r="G82" i="336"/>
  <c r="E82" i="336"/>
  <c r="D82" i="336"/>
  <c r="C82" i="336"/>
  <c r="B82" i="336"/>
  <c r="AC81" i="336"/>
  <c r="AB81" i="336"/>
  <c r="AA81" i="336"/>
  <c r="Z81" i="336"/>
  <c r="Y81" i="336"/>
  <c r="X81" i="336"/>
  <c r="W81" i="336"/>
  <c r="R81" i="336"/>
  <c r="Q81" i="336"/>
  <c r="N81" i="336"/>
  <c r="J81" i="336"/>
  <c r="I81" i="336"/>
  <c r="H81" i="336"/>
  <c r="G81" i="336"/>
  <c r="E81" i="336"/>
  <c r="D81" i="336"/>
  <c r="C81" i="336"/>
  <c r="B81" i="336"/>
  <c r="AC80" i="336"/>
  <c r="AB80" i="336"/>
  <c r="AA80" i="336"/>
  <c r="Z80" i="336"/>
  <c r="Y80" i="336"/>
  <c r="X80" i="336"/>
  <c r="W80" i="336"/>
  <c r="R80" i="336"/>
  <c r="Q80" i="336"/>
  <c r="N80" i="336"/>
  <c r="J80" i="336"/>
  <c r="I80" i="336"/>
  <c r="H80" i="336"/>
  <c r="G80" i="336"/>
  <c r="E80" i="336"/>
  <c r="D80" i="336"/>
  <c r="C80" i="336"/>
  <c r="B80" i="336"/>
  <c r="AC79" i="336"/>
  <c r="AB79" i="336"/>
  <c r="AA79" i="336"/>
  <c r="Z79" i="336"/>
  <c r="Y79" i="336"/>
  <c r="X79" i="336"/>
  <c r="W79" i="336"/>
  <c r="R79" i="336"/>
  <c r="N79" i="336"/>
  <c r="J79" i="336"/>
  <c r="I79" i="336"/>
  <c r="H79" i="336"/>
  <c r="E79" i="336"/>
  <c r="D79" i="336"/>
  <c r="C79" i="336"/>
  <c r="B79" i="336"/>
  <c r="AC78" i="336"/>
  <c r="AB78" i="336"/>
  <c r="AA78" i="336"/>
  <c r="Z78" i="336"/>
  <c r="Y78" i="336"/>
  <c r="X78" i="336"/>
  <c r="W78" i="336"/>
  <c r="R78" i="336"/>
  <c r="Q78" i="336"/>
  <c r="N78" i="336"/>
  <c r="J78" i="336"/>
  <c r="I78" i="336"/>
  <c r="H78" i="336"/>
  <c r="G78" i="336"/>
  <c r="E78" i="336"/>
  <c r="D78" i="336"/>
  <c r="C78" i="336"/>
  <c r="B78" i="336"/>
  <c r="AC77" i="336"/>
  <c r="AB77" i="336"/>
  <c r="AA77" i="336"/>
  <c r="Z77" i="336"/>
  <c r="Y77" i="336"/>
  <c r="X77" i="336"/>
  <c r="W77" i="336"/>
  <c r="R77" i="336"/>
  <c r="Q77" i="336"/>
  <c r="J77" i="336"/>
  <c r="I77" i="336"/>
  <c r="H77" i="336"/>
  <c r="E77" i="336"/>
  <c r="D77" i="336"/>
  <c r="C77" i="336"/>
  <c r="B77" i="336"/>
  <c r="AC76" i="336"/>
  <c r="AB76" i="336"/>
  <c r="AA76" i="336"/>
  <c r="Z76" i="336"/>
  <c r="Y76" i="336"/>
  <c r="X76" i="336"/>
  <c r="W76" i="336"/>
  <c r="R76" i="336"/>
  <c r="N76" i="336"/>
  <c r="J76" i="336"/>
  <c r="I76" i="336"/>
  <c r="H76" i="336"/>
  <c r="G76" i="336"/>
  <c r="E76" i="336"/>
  <c r="D76" i="336"/>
  <c r="C76" i="336"/>
  <c r="B76" i="336"/>
  <c r="AC75" i="336"/>
  <c r="AB75" i="336"/>
  <c r="AA75" i="336"/>
  <c r="Z75" i="336"/>
  <c r="Y75" i="336"/>
  <c r="X75" i="336"/>
  <c r="W75" i="336"/>
  <c r="R75" i="336"/>
  <c r="Q75" i="336"/>
  <c r="N75" i="336"/>
  <c r="J75" i="336"/>
  <c r="I75" i="336"/>
  <c r="H75" i="336"/>
  <c r="G75" i="336"/>
  <c r="E75" i="336"/>
  <c r="D75" i="336"/>
  <c r="C75" i="336"/>
  <c r="B75" i="336"/>
  <c r="AC74" i="336"/>
  <c r="AB74" i="336"/>
  <c r="Z74" i="336"/>
  <c r="Y74" i="336"/>
  <c r="X74" i="336"/>
  <c r="W74" i="336"/>
  <c r="R74" i="336"/>
  <c r="N74" i="336"/>
  <c r="J74" i="336"/>
  <c r="I74" i="336"/>
  <c r="H74" i="336"/>
  <c r="E74" i="336"/>
  <c r="D74" i="336"/>
  <c r="C74" i="336"/>
  <c r="B74" i="336"/>
  <c r="AC73" i="336"/>
  <c r="AB73" i="336"/>
  <c r="AA73" i="336"/>
  <c r="Z73" i="336"/>
  <c r="Y73" i="336"/>
  <c r="X73" i="336"/>
  <c r="W73" i="336"/>
  <c r="V73" i="336"/>
  <c r="U73" i="336"/>
  <c r="T73" i="336"/>
  <c r="S73" i="336"/>
  <c r="R73" i="336"/>
  <c r="Q73" i="336"/>
  <c r="P73" i="336"/>
  <c r="O73" i="336"/>
  <c r="N73" i="336"/>
  <c r="M73" i="336"/>
  <c r="L73" i="336"/>
  <c r="K73" i="336"/>
  <c r="J73" i="336"/>
  <c r="I73" i="336"/>
  <c r="H73" i="336"/>
  <c r="G73" i="336"/>
  <c r="F73" i="336"/>
  <c r="E73" i="336"/>
  <c r="D73" i="336"/>
  <c r="C73" i="336"/>
  <c r="B73" i="336"/>
  <c r="AC72" i="336"/>
  <c r="AB72" i="336"/>
  <c r="AA72" i="336"/>
  <c r="Z72" i="336"/>
  <c r="Y72" i="336"/>
  <c r="X72" i="336"/>
  <c r="W72" i="336"/>
  <c r="R72" i="336"/>
  <c r="Q72" i="336"/>
  <c r="J72" i="336"/>
  <c r="I72" i="336"/>
  <c r="H72" i="336"/>
  <c r="G72" i="336"/>
  <c r="E72" i="336"/>
  <c r="D72" i="336"/>
  <c r="C72" i="336"/>
  <c r="B72" i="336"/>
  <c r="AC71" i="336"/>
  <c r="AB71" i="336"/>
  <c r="AA71" i="336"/>
  <c r="Z71" i="336"/>
  <c r="Y71" i="336"/>
  <c r="X71" i="336"/>
  <c r="W71" i="336"/>
  <c r="R71" i="336"/>
  <c r="Q71" i="336"/>
  <c r="N71" i="336"/>
  <c r="J71" i="336"/>
  <c r="I71" i="336"/>
  <c r="H71" i="336"/>
  <c r="G71" i="336"/>
  <c r="E71" i="336"/>
  <c r="D71" i="336"/>
  <c r="C71" i="336"/>
  <c r="B71" i="336"/>
  <c r="AC70" i="336"/>
  <c r="AB70" i="336"/>
  <c r="AA70" i="336"/>
  <c r="Z70" i="336"/>
  <c r="Y70" i="336"/>
  <c r="X70" i="336"/>
  <c r="W70" i="336"/>
  <c r="R70" i="336"/>
  <c r="Q70" i="336"/>
  <c r="N70" i="336"/>
  <c r="J70" i="336"/>
  <c r="I70" i="336"/>
  <c r="H70" i="336"/>
  <c r="G70" i="336"/>
  <c r="E70" i="336"/>
  <c r="D70" i="336"/>
  <c r="C70" i="336"/>
  <c r="B70" i="336"/>
  <c r="AC69" i="336"/>
  <c r="AB69" i="336"/>
  <c r="Z69" i="336"/>
  <c r="Y69" i="336"/>
  <c r="X69" i="336"/>
  <c r="W69" i="336"/>
  <c r="R69" i="336"/>
  <c r="N69" i="336"/>
  <c r="J69" i="336"/>
  <c r="I69" i="336"/>
  <c r="H69" i="336"/>
  <c r="E69" i="336"/>
  <c r="D69" i="336"/>
  <c r="C69" i="336"/>
  <c r="B69" i="336"/>
  <c r="AC68" i="336"/>
  <c r="AB68" i="336"/>
  <c r="Z68" i="336"/>
  <c r="Y68" i="336"/>
  <c r="X68" i="336"/>
  <c r="W68" i="336"/>
  <c r="R68" i="336"/>
  <c r="Q68" i="336"/>
  <c r="N68" i="336"/>
  <c r="J68" i="336"/>
  <c r="I68" i="336"/>
  <c r="H68" i="336"/>
  <c r="G68" i="336"/>
  <c r="E68" i="336"/>
  <c r="C68" i="336"/>
  <c r="B68" i="336"/>
  <c r="AC67" i="336"/>
  <c r="AB67" i="336"/>
  <c r="AA67" i="336"/>
  <c r="Z67" i="336"/>
  <c r="Y67" i="336"/>
  <c r="X67" i="336"/>
  <c r="W67" i="336"/>
  <c r="R67" i="336"/>
  <c r="Q67" i="336"/>
  <c r="N67" i="336"/>
  <c r="J67" i="336"/>
  <c r="I67" i="336"/>
  <c r="H67" i="336"/>
  <c r="G67" i="336"/>
  <c r="E67" i="336"/>
  <c r="D67" i="336"/>
  <c r="C67" i="336"/>
  <c r="B67" i="336"/>
  <c r="AC66" i="336"/>
  <c r="AB66" i="336"/>
  <c r="AA66" i="336"/>
  <c r="Z66" i="336"/>
  <c r="Y66" i="336"/>
  <c r="X66" i="336"/>
  <c r="W66" i="336"/>
  <c r="R66" i="336"/>
  <c r="N66" i="336"/>
  <c r="J66" i="336"/>
  <c r="I66" i="336"/>
  <c r="H66" i="336"/>
  <c r="E66" i="336"/>
  <c r="D66" i="336"/>
  <c r="C66" i="336"/>
  <c r="B66" i="336"/>
  <c r="AC65" i="336"/>
  <c r="AB65" i="336"/>
  <c r="AA65" i="336"/>
  <c r="Z65" i="336"/>
  <c r="Y65" i="336"/>
  <c r="X65" i="336"/>
  <c r="W65" i="336"/>
  <c r="R65" i="336"/>
  <c r="Q65" i="336"/>
  <c r="N65" i="336"/>
  <c r="J65" i="336"/>
  <c r="I65" i="336"/>
  <c r="H65" i="336"/>
  <c r="G65" i="336"/>
  <c r="E65" i="336"/>
  <c r="C65" i="336"/>
  <c r="B65" i="336"/>
  <c r="AC64" i="336"/>
  <c r="AB64" i="336"/>
  <c r="Z64" i="336"/>
  <c r="Y64" i="336"/>
  <c r="X64" i="336"/>
  <c r="W64" i="336"/>
  <c r="R64" i="336"/>
  <c r="J64" i="336"/>
  <c r="I64" i="336"/>
  <c r="H64" i="336"/>
  <c r="E64" i="336"/>
  <c r="C64" i="336"/>
  <c r="B64" i="336"/>
  <c r="AC62" i="336"/>
  <c r="AB62" i="336"/>
  <c r="AA62" i="336"/>
  <c r="AA63" i="336" s="1"/>
  <c r="Z62" i="336"/>
  <c r="Z63" i="336" s="1"/>
  <c r="Y62" i="336"/>
  <c r="Y63" i="336" s="1"/>
  <c r="X62" i="336"/>
  <c r="X63" i="336" s="1"/>
  <c r="W62" i="336"/>
  <c r="W63" i="336" s="1"/>
  <c r="R62" i="336"/>
  <c r="R63" i="336" s="1"/>
  <c r="Q62" i="336"/>
  <c r="Q63" i="336" s="1"/>
  <c r="N62" i="336"/>
  <c r="N63" i="336" s="1"/>
  <c r="J62" i="336"/>
  <c r="J63" i="336" s="1"/>
  <c r="I62" i="336"/>
  <c r="I63" i="336" s="1"/>
  <c r="H62" i="336"/>
  <c r="H63" i="336" s="1"/>
  <c r="G62" i="336"/>
  <c r="G63" i="336" s="1"/>
  <c r="E62" i="336"/>
  <c r="E63" i="336" s="1"/>
  <c r="C62" i="336"/>
  <c r="B62" i="336"/>
  <c r="AC60" i="336"/>
  <c r="AB60" i="336"/>
  <c r="AA60" i="336"/>
  <c r="Z60" i="336"/>
  <c r="Y60" i="336"/>
  <c r="X60" i="336"/>
  <c r="W60" i="336"/>
  <c r="R60" i="336"/>
  <c r="Q60" i="336"/>
  <c r="N60" i="336"/>
  <c r="J60" i="336"/>
  <c r="I60" i="336"/>
  <c r="H60" i="336"/>
  <c r="G60" i="336"/>
  <c r="E60" i="336"/>
  <c r="D60" i="336"/>
  <c r="C60" i="336"/>
  <c r="B60" i="336"/>
  <c r="AC59" i="336"/>
  <c r="AB59" i="336"/>
  <c r="AA59" i="336"/>
  <c r="Z59" i="336"/>
  <c r="Y59" i="336"/>
  <c r="X59" i="336"/>
  <c r="W59" i="336"/>
  <c r="R59" i="336"/>
  <c r="Q59" i="336"/>
  <c r="N59" i="336"/>
  <c r="J59" i="336"/>
  <c r="I59" i="336"/>
  <c r="H59" i="336"/>
  <c r="G59" i="336"/>
  <c r="E59" i="336"/>
  <c r="D59" i="336"/>
  <c r="C59" i="336"/>
  <c r="B59" i="336"/>
  <c r="AC58" i="336"/>
  <c r="AB58" i="336"/>
  <c r="AA58" i="336"/>
  <c r="Z58" i="336"/>
  <c r="Y58" i="336"/>
  <c r="X58" i="336"/>
  <c r="W58" i="336"/>
  <c r="R58" i="336"/>
  <c r="Q58" i="336"/>
  <c r="N58" i="336"/>
  <c r="J58" i="336"/>
  <c r="I58" i="336"/>
  <c r="H58" i="336"/>
  <c r="G58" i="336"/>
  <c r="E58" i="336"/>
  <c r="C58" i="336"/>
  <c r="B58" i="336"/>
  <c r="AC57" i="336"/>
  <c r="AB57" i="336"/>
  <c r="AA57" i="336"/>
  <c r="Z57" i="336"/>
  <c r="Y57" i="336"/>
  <c r="X57" i="336"/>
  <c r="W57" i="336"/>
  <c r="R57" i="336"/>
  <c r="Q57" i="336"/>
  <c r="N57" i="336"/>
  <c r="J57" i="336"/>
  <c r="I57" i="336"/>
  <c r="H57" i="336"/>
  <c r="G57" i="336"/>
  <c r="E57" i="336"/>
  <c r="D57" i="336"/>
  <c r="C57" i="336"/>
  <c r="B57" i="336"/>
  <c r="AC56" i="336"/>
  <c r="AB56" i="336"/>
  <c r="AA56" i="336"/>
  <c r="Z56" i="336"/>
  <c r="Y56" i="336"/>
  <c r="X56" i="336"/>
  <c r="W56" i="336"/>
  <c r="R56" i="336"/>
  <c r="Q56" i="336"/>
  <c r="N56" i="336"/>
  <c r="J56" i="336"/>
  <c r="I56" i="336"/>
  <c r="H56" i="336"/>
  <c r="G56" i="336"/>
  <c r="E56" i="336"/>
  <c r="D56" i="336"/>
  <c r="C56" i="336"/>
  <c r="B56" i="336"/>
  <c r="AC55" i="336"/>
  <c r="AB55" i="336"/>
  <c r="AA55" i="336"/>
  <c r="Z55" i="336"/>
  <c r="Y55" i="336"/>
  <c r="X55" i="336"/>
  <c r="W55" i="336"/>
  <c r="R55" i="336"/>
  <c r="Q55" i="336"/>
  <c r="N55" i="336"/>
  <c r="J55" i="336"/>
  <c r="I55" i="336"/>
  <c r="H55" i="336"/>
  <c r="G55" i="336"/>
  <c r="E55" i="336"/>
  <c r="D55" i="336"/>
  <c r="C55" i="336"/>
  <c r="B55" i="336"/>
  <c r="AC54" i="336"/>
  <c r="AB54" i="336"/>
  <c r="AA54" i="336"/>
  <c r="Z54" i="336"/>
  <c r="Y54" i="336"/>
  <c r="X54" i="336"/>
  <c r="W54" i="336"/>
  <c r="R54" i="336"/>
  <c r="Q54" i="336"/>
  <c r="N54" i="336"/>
  <c r="J54" i="336"/>
  <c r="I54" i="336"/>
  <c r="H54" i="336"/>
  <c r="G54" i="336"/>
  <c r="E54" i="336"/>
  <c r="D54" i="336"/>
  <c r="C54" i="336"/>
  <c r="B54" i="336"/>
  <c r="AC53" i="336"/>
  <c r="AB53" i="336"/>
  <c r="AA53" i="336"/>
  <c r="Z53" i="336"/>
  <c r="Y53" i="336"/>
  <c r="X53" i="336"/>
  <c r="W53" i="336"/>
  <c r="R53" i="336"/>
  <c r="Q53" i="336"/>
  <c r="N53" i="336"/>
  <c r="J53" i="336"/>
  <c r="I53" i="336"/>
  <c r="H53" i="336"/>
  <c r="G53" i="336"/>
  <c r="E53" i="336"/>
  <c r="D53" i="336"/>
  <c r="C53" i="336"/>
  <c r="B53" i="336"/>
  <c r="AC52" i="336"/>
  <c r="AB52" i="336"/>
  <c r="AA52" i="336"/>
  <c r="Z52" i="336"/>
  <c r="Y52" i="336"/>
  <c r="X52" i="336"/>
  <c r="W52" i="336"/>
  <c r="R52" i="336"/>
  <c r="Q52" i="336"/>
  <c r="N52" i="336"/>
  <c r="J52" i="336"/>
  <c r="I52" i="336"/>
  <c r="H52" i="336"/>
  <c r="C52" i="336"/>
  <c r="B52" i="336"/>
  <c r="AC51" i="336"/>
  <c r="AB51" i="336"/>
  <c r="AA51" i="336"/>
  <c r="Z51" i="336"/>
  <c r="Y51" i="336"/>
  <c r="X51" i="336"/>
  <c r="W51" i="336"/>
  <c r="R51" i="336"/>
  <c r="Q51" i="336"/>
  <c r="N51" i="336"/>
  <c r="J51" i="336"/>
  <c r="I51" i="336"/>
  <c r="H51" i="336"/>
  <c r="G51" i="336"/>
  <c r="E51" i="336"/>
  <c r="D51" i="336"/>
  <c r="C51" i="336"/>
  <c r="B51" i="336"/>
  <c r="AC50" i="336"/>
  <c r="AB50" i="336"/>
  <c r="AA50" i="336"/>
  <c r="Z50" i="336"/>
  <c r="Y50" i="336"/>
  <c r="X50" i="336"/>
  <c r="W50" i="336"/>
  <c r="R50" i="336"/>
  <c r="Q50" i="336"/>
  <c r="N50" i="336"/>
  <c r="J50" i="336"/>
  <c r="I50" i="336"/>
  <c r="H50" i="336"/>
  <c r="G50" i="336"/>
  <c r="E50" i="336"/>
  <c r="D50" i="336"/>
  <c r="C50" i="336"/>
  <c r="B50" i="336"/>
  <c r="AC49" i="336"/>
  <c r="AB49" i="336"/>
  <c r="AA49" i="336"/>
  <c r="Z49" i="336"/>
  <c r="Y49" i="336"/>
  <c r="X49" i="336"/>
  <c r="W49" i="336"/>
  <c r="R49" i="336"/>
  <c r="Q49" i="336"/>
  <c r="N49" i="336"/>
  <c r="J49" i="336"/>
  <c r="I49" i="336"/>
  <c r="H49" i="336"/>
  <c r="G49" i="336"/>
  <c r="E49" i="336"/>
  <c r="D49" i="336"/>
  <c r="C49" i="336"/>
  <c r="B49" i="336"/>
  <c r="AC48" i="336"/>
  <c r="AB48" i="336"/>
  <c r="AA48" i="336"/>
  <c r="Z48" i="336"/>
  <c r="Y48" i="336"/>
  <c r="X48" i="336"/>
  <c r="W48" i="336"/>
  <c r="R48" i="336"/>
  <c r="Q48" i="336"/>
  <c r="N48" i="336"/>
  <c r="J48" i="336"/>
  <c r="I48" i="336"/>
  <c r="H48" i="336"/>
  <c r="G48" i="336"/>
  <c r="F48" i="336"/>
  <c r="E48" i="336"/>
  <c r="D48" i="336"/>
  <c r="C48" i="336"/>
  <c r="B48" i="336"/>
  <c r="AC47" i="336"/>
  <c r="AB47" i="336"/>
  <c r="AA47" i="336"/>
  <c r="Z47" i="336"/>
  <c r="Y47" i="336"/>
  <c r="X47" i="336"/>
  <c r="W47" i="336"/>
  <c r="R47" i="336"/>
  <c r="Q47" i="336"/>
  <c r="N47" i="336"/>
  <c r="J47" i="336"/>
  <c r="I47" i="336"/>
  <c r="H47" i="336"/>
  <c r="G47" i="336"/>
  <c r="E47" i="336"/>
  <c r="D47" i="336"/>
  <c r="C47" i="336"/>
  <c r="B47" i="336"/>
  <c r="AC46" i="336"/>
  <c r="AB46" i="336"/>
  <c r="AA46" i="336"/>
  <c r="Z46" i="336"/>
  <c r="Y46" i="336"/>
  <c r="X46" i="336"/>
  <c r="W46" i="336"/>
  <c r="R46" i="336"/>
  <c r="Q46" i="336"/>
  <c r="N46" i="336"/>
  <c r="J46" i="336"/>
  <c r="I46" i="336"/>
  <c r="H46" i="336"/>
  <c r="G46" i="336"/>
  <c r="E46" i="336"/>
  <c r="D46" i="336"/>
  <c r="C46" i="336"/>
  <c r="B46" i="336"/>
  <c r="AC45" i="336"/>
  <c r="AB45" i="336"/>
  <c r="AA45" i="336"/>
  <c r="Z45" i="336"/>
  <c r="Y45" i="336"/>
  <c r="X45" i="336"/>
  <c r="W45" i="336"/>
  <c r="R45" i="336"/>
  <c r="Q45" i="336"/>
  <c r="N45" i="336"/>
  <c r="J45" i="336"/>
  <c r="I45" i="336"/>
  <c r="H45" i="336"/>
  <c r="G45" i="336"/>
  <c r="E45" i="336"/>
  <c r="D45" i="336"/>
  <c r="C45" i="336"/>
  <c r="B45" i="336"/>
  <c r="AC44" i="336"/>
  <c r="AB44" i="336"/>
  <c r="AA44" i="336"/>
  <c r="Z44" i="336"/>
  <c r="Y44" i="336"/>
  <c r="X44" i="336"/>
  <c r="W44" i="336"/>
  <c r="R44" i="336"/>
  <c r="Q44" i="336"/>
  <c r="N44" i="336"/>
  <c r="J44" i="336"/>
  <c r="I44" i="336"/>
  <c r="H44" i="336"/>
  <c r="G44" i="336"/>
  <c r="E44" i="336"/>
  <c r="D44" i="336"/>
  <c r="C44" i="336"/>
  <c r="B44" i="336"/>
  <c r="AC43" i="336"/>
  <c r="AB43" i="336"/>
  <c r="AA43" i="336"/>
  <c r="Z43" i="336"/>
  <c r="Y43" i="336"/>
  <c r="X43" i="336"/>
  <c r="W43" i="336"/>
  <c r="R43" i="336"/>
  <c r="J43" i="336"/>
  <c r="I43" i="336"/>
  <c r="H43" i="336"/>
  <c r="G43" i="336"/>
  <c r="E43" i="336"/>
  <c r="D43" i="336"/>
  <c r="C43" i="336"/>
  <c r="B43" i="336"/>
  <c r="AC42" i="336"/>
  <c r="AB42" i="336"/>
  <c r="AA42" i="336"/>
  <c r="Z42" i="336"/>
  <c r="Y42" i="336"/>
  <c r="X42" i="336"/>
  <c r="W42" i="336"/>
  <c r="R42" i="336"/>
  <c r="Q42" i="336"/>
  <c r="N42" i="336"/>
  <c r="J42" i="336"/>
  <c r="I42" i="336"/>
  <c r="H42" i="336"/>
  <c r="G42" i="336"/>
  <c r="E42" i="336"/>
  <c r="D42" i="336"/>
  <c r="C42" i="336"/>
  <c r="B42" i="336"/>
  <c r="AC41" i="336"/>
  <c r="AB41" i="336"/>
  <c r="AA41" i="336"/>
  <c r="Z41" i="336"/>
  <c r="Y41" i="336"/>
  <c r="X41" i="336"/>
  <c r="W41" i="336"/>
  <c r="R41" i="336"/>
  <c r="Q41" i="336"/>
  <c r="N41" i="336"/>
  <c r="J41" i="336"/>
  <c r="I41" i="336"/>
  <c r="H41" i="336"/>
  <c r="G41" i="336"/>
  <c r="E41" i="336"/>
  <c r="D41" i="336"/>
  <c r="C41" i="336"/>
  <c r="B41" i="336"/>
  <c r="S40" i="336"/>
  <c r="K40" i="336"/>
  <c r="L40" i="336" s="1"/>
  <c r="F40" i="336"/>
  <c r="AC39" i="336"/>
  <c r="AB39" i="336"/>
  <c r="AA39" i="336"/>
  <c r="Z39" i="336"/>
  <c r="Y39" i="336"/>
  <c r="X39" i="336"/>
  <c r="W39" i="336"/>
  <c r="R39" i="336"/>
  <c r="Q39" i="336"/>
  <c r="N39" i="336"/>
  <c r="J39" i="336"/>
  <c r="I39" i="336"/>
  <c r="H39" i="336"/>
  <c r="G39" i="336"/>
  <c r="E39" i="336"/>
  <c r="D39" i="336"/>
  <c r="C39" i="336"/>
  <c r="B39" i="336"/>
  <c r="AC38" i="336"/>
  <c r="AB38" i="336"/>
  <c r="AA38" i="336"/>
  <c r="Z38" i="336"/>
  <c r="Y38" i="336"/>
  <c r="X38" i="336"/>
  <c r="W38" i="336"/>
  <c r="R38" i="336"/>
  <c r="Q38" i="336"/>
  <c r="N38" i="336"/>
  <c r="J38" i="336"/>
  <c r="I38" i="336"/>
  <c r="H38" i="336"/>
  <c r="G38" i="336"/>
  <c r="E38" i="336"/>
  <c r="D38" i="336"/>
  <c r="C38" i="336"/>
  <c r="B38" i="336"/>
  <c r="AC37" i="336"/>
  <c r="AB37" i="336"/>
  <c r="AA37" i="336"/>
  <c r="Z37" i="336"/>
  <c r="Y37" i="336"/>
  <c r="X37" i="336"/>
  <c r="W37" i="336"/>
  <c r="R37" i="336"/>
  <c r="Q37" i="336"/>
  <c r="N37" i="336"/>
  <c r="J37" i="336"/>
  <c r="I37" i="336"/>
  <c r="H37" i="336"/>
  <c r="G37" i="336"/>
  <c r="E37" i="336"/>
  <c r="D37" i="336"/>
  <c r="C37" i="336"/>
  <c r="B37" i="336"/>
  <c r="AC36" i="336"/>
  <c r="AB36" i="336"/>
  <c r="AA36" i="336"/>
  <c r="Z36" i="336"/>
  <c r="Y36" i="336"/>
  <c r="X36" i="336"/>
  <c r="W36" i="336"/>
  <c r="R36" i="336"/>
  <c r="Q36" i="336"/>
  <c r="N36" i="336"/>
  <c r="J36" i="336"/>
  <c r="I36" i="336"/>
  <c r="H36" i="336"/>
  <c r="G36" i="336"/>
  <c r="E36" i="336"/>
  <c r="D36" i="336"/>
  <c r="C36" i="336"/>
  <c r="B36" i="336"/>
  <c r="AC35" i="336"/>
  <c r="AB35" i="336"/>
  <c r="AA35" i="336"/>
  <c r="Z35" i="336"/>
  <c r="Y35" i="336"/>
  <c r="X35" i="336"/>
  <c r="W35" i="336"/>
  <c r="R35" i="336"/>
  <c r="Q35" i="336"/>
  <c r="N35" i="336"/>
  <c r="J35" i="336"/>
  <c r="I35" i="336"/>
  <c r="H35" i="336"/>
  <c r="G35" i="336"/>
  <c r="E35" i="336"/>
  <c r="D35" i="336"/>
  <c r="C35" i="336"/>
  <c r="B35" i="336"/>
  <c r="AC34" i="336"/>
  <c r="AB34" i="336"/>
  <c r="AA34" i="336"/>
  <c r="Z34" i="336"/>
  <c r="Y34" i="336"/>
  <c r="X34" i="336"/>
  <c r="W34" i="336"/>
  <c r="R34" i="336"/>
  <c r="Q34" i="336"/>
  <c r="N34" i="336"/>
  <c r="J34" i="336"/>
  <c r="I34" i="336"/>
  <c r="H34" i="336"/>
  <c r="G34" i="336"/>
  <c r="E34" i="336"/>
  <c r="D34" i="336"/>
  <c r="C34" i="336"/>
  <c r="B34" i="336"/>
  <c r="AC33" i="336"/>
  <c r="AB33" i="336"/>
  <c r="AA33" i="336"/>
  <c r="Z33" i="336"/>
  <c r="Y33" i="336"/>
  <c r="X33" i="336"/>
  <c r="W33" i="336"/>
  <c r="R33" i="336"/>
  <c r="Q33" i="336"/>
  <c r="N33" i="336"/>
  <c r="J33" i="336"/>
  <c r="I33" i="336"/>
  <c r="H33" i="336"/>
  <c r="G33" i="336"/>
  <c r="E33" i="336"/>
  <c r="D33" i="336"/>
  <c r="C33" i="336"/>
  <c r="B33" i="336"/>
  <c r="AC32" i="336"/>
  <c r="AB32" i="336"/>
  <c r="AA32" i="336"/>
  <c r="Z32" i="336"/>
  <c r="Y32" i="336"/>
  <c r="X32" i="336"/>
  <c r="W32" i="336"/>
  <c r="R32" i="336"/>
  <c r="Q32" i="336"/>
  <c r="N32" i="336"/>
  <c r="J32" i="336"/>
  <c r="I32" i="336"/>
  <c r="H32" i="336"/>
  <c r="G32" i="336"/>
  <c r="E32" i="336"/>
  <c r="D32" i="336"/>
  <c r="C32" i="336"/>
  <c r="B32" i="336"/>
  <c r="AC31" i="336"/>
  <c r="AB31" i="336"/>
  <c r="AA31" i="336"/>
  <c r="Z31" i="336"/>
  <c r="Y31" i="336"/>
  <c r="X31" i="336"/>
  <c r="W31" i="336"/>
  <c r="R31" i="336"/>
  <c r="Q31" i="336"/>
  <c r="N31" i="336"/>
  <c r="J31" i="336"/>
  <c r="I31" i="336"/>
  <c r="H31" i="336"/>
  <c r="G31" i="336"/>
  <c r="E31" i="336"/>
  <c r="D31" i="336"/>
  <c r="C31" i="336"/>
  <c r="B31" i="336"/>
  <c r="AC30" i="336"/>
  <c r="AB30" i="336"/>
  <c r="AA30" i="336"/>
  <c r="Z30" i="336"/>
  <c r="Y30" i="336"/>
  <c r="X30" i="336"/>
  <c r="W30" i="336"/>
  <c r="R30" i="336"/>
  <c r="N30" i="336"/>
  <c r="J30" i="336"/>
  <c r="I30" i="336"/>
  <c r="H30" i="336"/>
  <c r="E30" i="336"/>
  <c r="D30" i="336"/>
  <c r="C30" i="336"/>
  <c r="B30" i="336"/>
  <c r="AC29" i="336"/>
  <c r="AB29" i="336"/>
  <c r="AA29" i="336"/>
  <c r="Z29" i="336"/>
  <c r="Y29" i="336"/>
  <c r="X29" i="336"/>
  <c r="W29" i="336"/>
  <c r="R29" i="336"/>
  <c r="Q29" i="336"/>
  <c r="N29" i="336"/>
  <c r="J29" i="336"/>
  <c r="I29" i="336"/>
  <c r="H29" i="336"/>
  <c r="G29" i="336"/>
  <c r="E29" i="336"/>
  <c r="D29" i="336"/>
  <c r="C29" i="336"/>
  <c r="B29" i="336"/>
  <c r="AC28" i="336"/>
  <c r="AB28" i="336"/>
  <c r="AA28" i="336"/>
  <c r="Z28" i="336"/>
  <c r="Y28" i="336"/>
  <c r="X28" i="336"/>
  <c r="W28" i="336"/>
  <c r="R28" i="336"/>
  <c r="Q28" i="336"/>
  <c r="N28" i="336"/>
  <c r="J28" i="336"/>
  <c r="I28" i="336"/>
  <c r="H28" i="336"/>
  <c r="G28" i="336"/>
  <c r="E28" i="336"/>
  <c r="D28" i="336"/>
  <c r="C28" i="336"/>
  <c r="B28" i="336"/>
  <c r="AC27" i="336"/>
  <c r="AB27" i="336"/>
  <c r="AA27" i="336"/>
  <c r="Z27" i="336"/>
  <c r="Y27" i="336"/>
  <c r="X27" i="336"/>
  <c r="W27" i="336"/>
  <c r="R27" i="336"/>
  <c r="Q27" i="336"/>
  <c r="N27" i="336"/>
  <c r="J27" i="336"/>
  <c r="I27" i="336"/>
  <c r="H27" i="336"/>
  <c r="G27" i="336"/>
  <c r="E27" i="336"/>
  <c r="C27" i="336"/>
  <c r="B27" i="336"/>
  <c r="AC26" i="336"/>
  <c r="AB26" i="336"/>
  <c r="AA26" i="336"/>
  <c r="Z26" i="336"/>
  <c r="Y26" i="336"/>
  <c r="X26" i="336"/>
  <c r="W26" i="336"/>
  <c r="R26" i="336"/>
  <c r="Q26" i="336"/>
  <c r="N26" i="336"/>
  <c r="J26" i="336"/>
  <c r="I26" i="336"/>
  <c r="H26" i="336"/>
  <c r="G26" i="336"/>
  <c r="E26" i="336"/>
  <c r="C26" i="336"/>
  <c r="B26" i="336"/>
  <c r="AC25" i="336"/>
  <c r="AB25" i="336"/>
  <c r="AA25" i="336"/>
  <c r="Z25" i="336"/>
  <c r="Y25" i="336"/>
  <c r="X25" i="336"/>
  <c r="W25" i="336"/>
  <c r="V25" i="336"/>
  <c r="U25" i="336"/>
  <c r="T25" i="336"/>
  <c r="S25" i="336"/>
  <c r="R25" i="336"/>
  <c r="Q25" i="336"/>
  <c r="P25" i="336"/>
  <c r="O25" i="336"/>
  <c r="N25" i="336"/>
  <c r="M25" i="336"/>
  <c r="L25" i="336"/>
  <c r="K25" i="336"/>
  <c r="J25" i="336"/>
  <c r="I25" i="336"/>
  <c r="H25" i="336"/>
  <c r="G25" i="336"/>
  <c r="F25" i="336"/>
  <c r="E25" i="336"/>
  <c r="D25" i="336"/>
  <c r="C25" i="336"/>
  <c r="B25" i="336"/>
  <c r="AC24" i="336"/>
  <c r="AB24" i="336"/>
  <c r="AA24" i="336"/>
  <c r="Z24" i="336"/>
  <c r="Y24" i="336"/>
  <c r="X24" i="336"/>
  <c r="W24" i="336"/>
  <c r="R24" i="336"/>
  <c r="Q24" i="336"/>
  <c r="N24" i="336"/>
  <c r="J24" i="336"/>
  <c r="I24" i="336"/>
  <c r="H24" i="336"/>
  <c r="G24" i="336"/>
  <c r="E24" i="336"/>
  <c r="C24" i="336"/>
  <c r="B24" i="336"/>
  <c r="AC23" i="336"/>
  <c r="AB23" i="336"/>
  <c r="AA23" i="336"/>
  <c r="Z23" i="336"/>
  <c r="Y23" i="336"/>
  <c r="X23" i="336"/>
  <c r="W23" i="336"/>
  <c r="R23" i="336"/>
  <c r="Q23" i="336"/>
  <c r="N23" i="336"/>
  <c r="J23" i="336"/>
  <c r="I23" i="336"/>
  <c r="H23" i="336"/>
  <c r="G23" i="336"/>
  <c r="E23" i="336"/>
  <c r="D23" i="336"/>
  <c r="C23" i="336"/>
  <c r="B23" i="336"/>
  <c r="AC22" i="336"/>
  <c r="AB22" i="336"/>
  <c r="AA22" i="336"/>
  <c r="Z22" i="336"/>
  <c r="Y22" i="336"/>
  <c r="X22" i="336"/>
  <c r="W22" i="336"/>
  <c r="R22" i="336"/>
  <c r="Q22" i="336"/>
  <c r="N22" i="336"/>
  <c r="J22" i="336"/>
  <c r="I22" i="336"/>
  <c r="H22" i="336"/>
  <c r="G22" i="336"/>
  <c r="E22" i="336"/>
  <c r="C22" i="336"/>
  <c r="B22" i="336"/>
  <c r="AC21" i="336"/>
  <c r="AB21" i="336"/>
  <c r="AA21" i="336"/>
  <c r="Z21" i="336"/>
  <c r="Y21" i="336"/>
  <c r="X21" i="336"/>
  <c r="W21" i="336"/>
  <c r="R21" i="336"/>
  <c r="Q21" i="336"/>
  <c r="J21" i="336"/>
  <c r="I21" i="336"/>
  <c r="H21" i="336"/>
  <c r="G21" i="336"/>
  <c r="E21" i="336"/>
  <c r="C21" i="336"/>
  <c r="B21" i="336"/>
  <c r="AC20" i="336"/>
  <c r="AB20" i="336"/>
  <c r="AA20" i="336"/>
  <c r="Z20" i="336"/>
  <c r="Y20" i="336"/>
  <c r="X20" i="336"/>
  <c r="W20" i="336"/>
  <c r="R20" i="336"/>
  <c r="Q20" i="336"/>
  <c r="N20" i="336"/>
  <c r="J20" i="336"/>
  <c r="I20" i="336"/>
  <c r="H20" i="336"/>
  <c r="G20" i="336"/>
  <c r="E20" i="336"/>
  <c r="D20" i="336"/>
  <c r="C20" i="336"/>
  <c r="B20" i="336"/>
  <c r="AC19" i="336"/>
  <c r="AB19" i="336"/>
  <c r="AA19" i="336"/>
  <c r="Z19" i="336"/>
  <c r="Y19" i="336"/>
  <c r="X19" i="336"/>
  <c r="W19" i="336"/>
  <c r="R19" i="336"/>
  <c r="Q19" i="336"/>
  <c r="J19" i="336"/>
  <c r="I19" i="336"/>
  <c r="H19" i="336"/>
  <c r="G19" i="336"/>
  <c r="E19" i="336"/>
  <c r="D19" i="336"/>
  <c r="C19" i="336"/>
  <c r="B19" i="336"/>
  <c r="AC18" i="336"/>
  <c r="AB18" i="336"/>
  <c r="AA18" i="336"/>
  <c r="Z18" i="336"/>
  <c r="Y18" i="336"/>
  <c r="X18" i="336"/>
  <c r="W18" i="336"/>
  <c r="R18" i="336"/>
  <c r="Q18" i="336"/>
  <c r="N18" i="336"/>
  <c r="J18" i="336"/>
  <c r="I18" i="336"/>
  <c r="H18" i="336"/>
  <c r="G18" i="336"/>
  <c r="E18" i="336"/>
  <c r="D18" i="336"/>
  <c r="C18" i="336"/>
  <c r="B18" i="336"/>
  <c r="AC17" i="336"/>
  <c r="AB17" i="336"/>
  <c r="AA17" i="336"/>
  <c r="Z17" i="336"/>
  <c r="Y17" i="336"/>
  <c r="X17" i="336"/>
  <c r="W17" i="336"/>
  <c r="R17" i="336"/>
  <c r="Q17" i="336"/>
  <c r="N17" i="336"/>
  <c r="J17" i="336"/>
  <c r="I17" i="336"/>
  <c r="H17" i="336"/>
  <c r="G17" i="336"/>
  <c r="E17" i="336"/>
  <c r="D17" i="336"/>
  <c r="C17" i="336"/>
  <c r="B17" i="336"/>
  <c r="AC16" i="336"/>
  <c r="AB16" i="336"/>
  <c r="AA16" i="336"/>
  <c r="Z16" i="336"/>
  <c r="Y16" i="336"/>
  <c r="X16" i="336"/>
  <c r="W16" i="336"/>
  <c r="R16" i="336"/>
  <c r="N16" i="336"/>
  <c r="J16" i="336"/>
  <c r="I16" i="336"/>
  <c r="H16" i="336"/>
  <c r="G16" i="336"/>
  <c r="E16" i="336"/>
  <c r="C16" i="336"/>
  <c r="B16" i="336"/>
  <c r="AC15" i="336"/>
  <c r="AB15" i="336"/>
  <c r="AA15" i="336"/>
  <c r="Z15" i="336"/>
  <c r="Y15" i="336"/>
  <c r="X15" i="336"/>
  <c r="W15" i="336"/>
  <c r="R15" i="336"/>
  <c r="N15" i="336"/>
  <c r="J15" i="336"/>
  <c r="I15" i="336"/>
  <c r="H15" i="336"/>
  <c r="G15" i="336"/>
  <c r="E15" i="336"/>
  <c r="D15" i="336"/>
  <c r="C15" i="336"/>
  <c r="B15" i="336"/>
  <c r="AC14" i="336"/>
  <c r="AB14" i="336"/>
  <c r="AA14" i="336"/>
  <c r="Z14" i="336"/>
  <c r="Y14" i="336"/>
  <c r="X14" i="336"/>
  <c r="W14" i="336"/>
  <c r="R14" i="336"/>
  <c r="Q14" i="336"/>
  <c r="N14" i="336"/>
  <c r="J14" i="336"/>
  <c r="I14" i="336"/>
  <c r="H14" i="336"/>
  <c r="G14" i="336"/>
  <c r="E14" i="336"/>
  <c r="D14" i="336"/>
  <c r="C14" i="336"/>
  <c r="B14" i="336"/>
  <c r="AC13" i="336"/>
  <c r="AB13" i="336"/>
  <c r="AA13" i="336"/>
  <c r="Z13" i="336"/>
  <c r="Y13" i="336"/>
  <c r="X13" i="336"/>
  <c r="W13" i="336"/>
  <c r="R13" i="336"/>
  <c r="Q13" i="336"/>
  <c r="N13" i="336"/>
  <c r="J13" i="336"/>
  <c r="I13" i="336"/>
  <c r="H13" i="336"/>
  <c r="G13" i="336"/>
  <c r="E13" i="336"/>
  <c r="C13" i="336"/>
  <c r="B13" i="336"/>
  <c r="AC12" i="336"/>
  <c r="AB12" i="336"/>
  <c r="AA12" i="336"/>
  <c r="Z12" i="336"/>
  <c r="Y12" i="336"/>
  <c r="X12" i="336"/>
  <c r="W12" i="336"/>
  <c r="R12" i="336"/>
  <c r="Q12" i="336"/>
  <c r="N12" i="336"/>
  <c r="J12" i="336"/>
  <c r="I12" i="336"/>
  <c r="H12" i="336"/>
  <c r="G12" i="336"/>
  <c r="E12" i="336"/>
  <c r="D12" i="336"/>
  <c r="C12" i="336"/>
  <c r="B12" i="336"/>
  <c r="AC11" i="336"/>
  <c r="AB11" i="336"/>
  <c r="AA11" i="336"/>
  <c r="Z11" i="336"/>
  <c r="Y11" i="336"/>
  <c r="X11" i="336"/>
  <c r="W11" i="336"/>
  <c r="R11" i="336"/>
  <c r="Q11" i="336"/>
  <c r="N11" i="336"/>
  <c r="J11" i="336"/>
  <c r="I11" i="336"/>
  <c r="H11" i="336"/>
  <c r="G11" i="336"/>
  <c r="E11" i="336"/>
  <c r="D11" i="336"/>
  <c r="C11" i="336"/>
  <c r="B11" i="336"/>
  <c r="AC9" i="336"/>
  <c r="AB9" i="336"/>
  <c r="AA9" i="336"/>
  <c r="Z9" i="336"/>
  <c r="Y9" i="336"/>
  <c r="X9" i="336"/>
  <c r="W9" i="336"/>
  <c r="R9" i="336"/>
  <c r="Q9" i="336"/>
  <c r="N9" i="336"/>
  <c r="J9" i="336"/>
  <c r="I9" i="336"/>
  <c r="H9" i="336"/>
  <c r="G9" i="336"/>
  <c r="E9" i="336"/>
  <c r="D9" i="336"/>
  <c r="C9" i="336"/>
  <c r="B9" i="336"/>
  <c r="AC8" i="336"/>
  <c r="AB8" i="336"/>
  <c r="AA8" i="336"/>
  <c r="Z8" i="336"/>
  <c r="Y8" i="336"/>
  <c r="X8" i="336"/>
  <c r="W8" i="336"/>
  <c r="R8" i="336"/>
  <c r="Q8" i="336"/>
  <c r="N8" i="336"/>
  <c r="J8" i="336"/>
  <c r="I8" i="336"/>
  <c r="H8" i="336"/>
  <c r="G8" i="336"/>
  <c r="E8" i="336"/>
  <c r="C8" i="336"/>
  <c r="B8" i="336"/>
  <c r="AC7" i="336"/>
  <c r="AB7" i="336"/>
  <c r="AA7" i="336"/>
  <c r="Z7" i="336"/>
  <c r="Y7" i="336"/>
  <c r="X7" i="336"/>
  <c r="W7" i="336"/>
  <c r="R7" i="336"/>
  <c r="Q7" i="336"/>
  <c r="N7" i="336"/>
  <c r="J7" i="336"/>
  <c r="I7" i="336"/>
  <c r="H7" i="336"/>
  <c r="G7" i="336"/>
  <c r="E7" i="336"/>
  <c r="D7" i="336"/>
  <c r="C7" i="336"/>
  <c r="B7" i="336"/>
  <c r="AC6" i="336"/>
  <c r="AB6" i="336"/>
  <c r="AA6" i="336"/>
  <c r="Z6" i="336"/>
  <c r="Y6" i="336"/>
  <c r="X6" i="336"/>
  <c r="W6" i="336"/>
  <c r="R6" i="336"/>
  <c r="Q6" i="336"/>
  <c r="N6" i="336"/>
  <c r="J6" i="336"/>
  <c r="I6" i="336"/>
  <c r="H6" i="336"/>
  <c r="G6" i="336"/>
  <c r="E6" i="336"/>
  <c r="D6" i="336"/>
  <c r="C6" i="336"/>
  <c r="B6" i="336"/>
  <c r="A6" i="336"/>
  <c r="A7" i="336" s="1"/>
  <c r="A8" i="336" s="1"/>
  <c r="A9" i="336" s="1"/>
  <c r="A11" i="336" s="1"/>
  <c r="A12" i="336" s="1"/>
  <c r="A13" i="336" s="1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A45" i="336" s="1"/>
  <c r="A46" i="336" s="1"/>
  <c r="A47" i="336" s="1"/>
  <c r="A48" i="336" s="1"/>
  <c r="A49" i="336" s="1"/>
  <c r="A50" i="336" s="1"/>
  <c r="A51" i="336" s="1"/>
  <c r="A52" i="336" s="1"/>
  <c r="A53" i="336" s="1"/>
  <c r="A54" i="336" s="1"/>
  <c r="A55" i="336" s="1"/>
  <c r="A56" i="336" s="1"/>
  <c r="A57" i="336" s="1"/>
  <c r="A58" i="336" s="1"/>
  <c r="A59" i="336" s="1"/>
  <c r="A60" i="336" s="1"/>
  <c r="A62" i="336" s="1"/>
  <c r="A64" i="336" s="1"/>
  <c r="A65" i="336" s="1"/>
  <c r="A66" i="336" s="1"/>
  <c r="A67" i="336" s="1"/>
  <c r="A68" i="336" s="1"/>
  <c r="A69" i="336" s="1"/>
  <c r="A70" i="336" s="1"/>
  <c r="A71" i="336" s="1"/>
  <c r="A72" i="336" s="1"/>
  <c r="A73" i="336" s="1"/>
  <c r="A74" i="336" s="1"/>
  <c r="A75" i="336" s="1"/>
  <c r="A76" i="336" s="1"/>
  <c r="A77" i="336" s="1"/>
  <c r="A78" i="336" s="1"/>
  <c r="A79" i="336" s="1"/>
  <c r="A80" i="336" s="1"/>
  <c r="A81" i="336" s="1"/>
  <c r="A82" i="336" s="1"/>
  <c r="A83" i="336" s="1"/>
  <c r="A84" i="336" s="1"/>
  <c r="A85" i="336" s="1"/>
  <c r="A86" i="336" s="1"/>
  <c r="A87" i="336" s="1"/>
  <c r="A88" i="336" s="1"/>
  <c r="A89" i="336" s="1"/>
  <c r="A90" i="336" s="1"/>
  <c r="A91" i="336" s="1"/>
  <c r="A92" i="336" s="1"/>
  <c r="A93" i="336" s="1"/>
  <c r="A95" i="336" s="1"/>
  <c r="A96" i="336" s="1"/>
  <c r="A97" i="336" s="1"/>
  <c r="A98" i="336" s="1"/>
  <c r="A99" i="336" s="1"/>
  <c r="A100" i="336" s="1"/>
  <c r="A101" i="336" s="1"/>
  <c r="A102" i="336" s="1"/>
  <c r="A103" i="336" s="1"/>
  <c r="A104" i="336" s="1"/>
  <c r="A105" i="336" s="1"/>
  <c r="A106" i="336" s="1"/>
  <c r="A107" i="336" s="1"/>
  <c r="A108" i="336" s="1"/>
  <c r="A109" i="336" s="1"/>
  <c r="A110" i="336" s="1"/>
  <c r="A111" i="336" s="1"/>
  <c r="A113" i="336" s="1"/>
  <c r="A114" i="336" s="1"/>
  <c r="A116" i="336" s="1"/>
  <c r="A118" i="336" s="1"/>
  <c r="A119" i="336" s="1"/>
  <c r="A120" i="336" s="1"/>
  <c r="A121" i="336" s="1"/>
  <c r="A122" i="336" s="1"/>
  <c r="A124" i="336" s="1"/>
  <c r="A126" i="336" s="1"/>
  <c r="A127" i="336" s="1"/>
  <c r="A129" i="336" s="1"/>
  <c r="AC5" i="336"/>
  <c r="AB5" i="336"/>
  <c r="AA5" i="336"/>
  <c r="Z5" i="336"/>
  <c r="Y5" i="336"/>
  <c r="X5" i="336"/>
  <c r="W5" i="336"/>
  <c r="R5" i="336"/>
  <c r="Q5" i="336"/>
  <c r="N5" i="336"/>
  <c r="H5" i="336"/>
  <c r="G5" i="336"/>
  <c r="E5" i="336"/>
  <c r="D5" i="336"/>
  <c r="C5" i="336"/>
  <c r="B5" i="336"/>
  <c r="AB121" i="337"/>
  <c r="AA121" i="337"/>
  <c r="Z121" i="337"/>
  <c r="Y121" i="337"/>
  <c r="X121" i="337"/>
  <c r="W121" i="337"/>
  <c r="V121" i="337"/>
  <c r="U121" i="337"/>
  <c r="T121" i="337"/>
  <c r="S121" i="337"/>
  <c r="R121" i="337"/>
  <c r="Q121" i="337"/>
  <c r="P121" i="337"/>
  <c r="O121" i="337"/>
  <c r="N121" i="337"/>
  <c r="M121" i="337"/>
  <c r="L121" i="337"/>
  <c r="K121" i="337"/>
  <c r="J121" i="337"/>
  <c r="I121" i="337"/>
  <c r="H121" i="337"/>
  <c r="G121" i="337"/>
  <c r="F121" i="337"/>
  <c r="E121" i="337"/>
  <c r="D121" i="337"/>
  <c r="C121" i="337"/>
  <c r="B121" i="337"/>
  <c r="AB120" i="337"/>
  <c r="Z120" i="337"/>
  <c r="Y120" i="337"/>
  <c r="X120" i="337"/>
  <c r="W120" i="337"/>
  <c r="R120" i="337"/>
  <c r="Q120" i="337"/>
  <c r="N120" i="337"/>
  <c r="J120" i="337"/>
  <c r="I120" i="337"/>
  <c r="H120" i="337"/>
  <c r="G120" i="337"/>
  <c r="E120" i="337"/>
  <c r="D120" i="337"/>
  <c r="C120" i="337"/>
  <c r="B120" i="337"/>
  <c r="AB119" i="337"/>
  <c r="AA119" i="337"/>
  <c r="Z119" i="337"/>
  <c r="Y119" i="337"/>
  <c r="X119" i="337"/>
  <c r="W119" i="337"/>
  <c r="R119" i="337"/>
  <c r="Q119" i="337"/>
  <c r="N119" i="337"/>
  <c r="J119" i="337"/>
  <c r="I119" i="337"/>
  <c r="H119" i="337"/>
  <c r="G119" i="337"/>
  <c r="E119" i="337"/>
  <c r="D119" i="337"/>
  <c r="C119" i="337"/>
  <c r="B119" i="337"/>
  <c r="AB118" i="337"/>
  <c r="AA118" i="337"/>
  <c r="Z118" i="337"/>
  <c r="Y118" i="337"/>
  <c r="X118" i="337"/>
  <c r="W118" i="337"/>
  <c r="R118" i="337"/>
  <c r="Q118" i="337"/>
  <c r="N118" i="337"/>
  <c r="J118" i="337"/>
  <c r="I118" i="337"/>
  <c r="H118" i="337"/>
  <c r="G118" i="337"/>
  <c r="E118" i="337"/>
  <c r="D118" i="337"/>
  <c r="C118" i="337"/>
  <c r="B118" i="337"/>
  <c r="AB117" i="337"/>
  <c r="AA117" i="337"/>
  <c r="Z117" i="337"/>
  <c r="Y117" i="337"/>
  <c r="X117" i="337"/>
  <c r="W117" i="337"/>
  <c r="R117" i="337"/>
  <c r="Q117" i="337"/>
  <c r="N117" i="337"/>
  <c r="J117" i="337"/>
  <c r="I117" i="337"/>
  <c r="H117" i="337"/>
  <c r="G117" i="337"/>
  <c r="F117" i="337"/>
  <c r="E117" i="337"/>
  <c r="D117" i="337"/>
  <c r="C117" i="337"/>
  <c r="B117" i="337"/>
  <c r="AB116" i="337"/>
  <c r="AA116" i="337"/>
  <c r="Z116" i="337"/>
  <c r="Y116" i="337"/>
  <c r="X116" i="337"/>
  <c r="W116" i="337"/>
  <c r="R116" i="337"/>
  <c r="Q116" i="337"/>
  <c r="N116" i="337"/>
  <c r="J116" i="337"/>
  <c r="I116" i="337"/>
  <c r="H116" i="337"/>
  <c r="G116" i="337"/>
  <c r="E116" i="337"/>
  <c r="D116" i="337"/>
  <c r="C116" i="337"/>
  <c r="B116" i="337"/>
  <c r="AB115" i="337"/>
  <c r="Z115" i="337"/>
  <c r="Y115" i="337"/>
  <c r="X115" i="337"/>
  <c r="W115" i="337"/>
  <c r="R115" i="337"/>
  <c r="Q115" i="337"/>
  <c r="N115" i="337"/>
  <c r="J115" i="337"/>
  <c r="I115" i="337"/>
  <c r="H115" i="337"/>
  <c r="E115" i="337"/>
  <c r="D115" i="337"/>
  <c r="C115" i="337"/>
  <c r="B115" i="337"/>
  <c r="AB114" i="337"/>
  <c r="AA114" i="337"/>
  <c r="Z114" i="337"/>
  <c r="Y114" i="337"/>
  <c r="X114" i="337"/>
  <c r="W114" i="337"/>
  <c r="R114" i="337"/>
  <c r="Q114" i="337"/>
  <c r="N114" i="337"/>
  <c r="J114" i="337"/>
  <c r="I114" i="337"/>
  <c r="H114" i="337"/>
  <c r="G114" i="337"/>
  <c r="E114" i="337"/>
  <c r="D114" i="337"/>
  <c r="C114" i="337"/>
  <c r="B114" i="337"/>
  <c r="AB113" i="337"/>
  <c r="Z113" i="337"/>
  <c r="Y113" i="337"/>
  <c r="X113" i="337"/>
  <c r="W113" i="337"/>
  <c r="R113" i="337"/>
  <c r="Q113" i="337"/>
  <c r="N113" i="337"/>
  <c r="J113" i="337"/>
  <c r="I113" i="337"/>
  <c r="H113" i="337"/>
  <c r="G113" i="337"/>
  <c r="E113" i="337"/>
  <c r="D113" i="337"/>
  <c r="C113" i="337"/>
  <c r="B113" i="337"/>
  <c r="AB112" i="337"/>
  <c r="AA112" i="337"/>
  <c r="Z112" i="337"/>
  <c r="Y112" i="337"/>
  <c r="X112" i="337"/>
  <c r="W112" i="337"/>
  <c r="R112" i="337"/>
  <c r="Q112" i="337"/>
  <c r="N112" i="337"/>
  <c r="J112" i="337"/>
  <c r="I112" i="337"/>
  <c r="H112" i="337"/>
  <c r="G112" i="337"/>
  <c r="E112" i="337"/>
  <c r="D112" i="337"/>
  <c r="C112" i="337"/>
  <c r="B112" i="337"/>
  <c r="AB111" i="337"/>
  <c r="AA111" i="337"/>
  <c r="Z111" i="337"/>
  <c r="Y111" i="337"/>
  <c r="X111" i="337"/>
  <c r="W111" i="337"/>
  <c r="R111" i="337"/>
  <c r="Q111" i="337"/>
  <c r="N111" i="337"/>
  <c r="J111" i="337"/>
  <c r="I111" i="337"/>
  <c r="H111" i="337"/>
  <c r="G111" i="337"/>
  <c r="E111" i="337"/>
  <c r="D111" i="337"/>
  <c r="C111" i="337"/>
  <c r="B111" i="337"/>
  <c r="AB110" i="337"/>
  <c r="AA110" i="337"/>
  <c r="Z110" i="337"/>
  <c r="Y110" i="337"/>
  <c r="X110" i="337"/>
  <c r="W110" i="337"/>
  <c r="R110" i="337"/>
  <c r="Q110" i="337"/>
  <c r="N110" i="337"/>
  <c r="J110" i="337"/>
  <c r="I110" i="337"/>
  <c r="H110" i="337"/>
  <c r="G110" i="337"/>
  <c r="E110" i="337"/>
  <c r="D110" i="337"/>
  <c r="C110" i="337"/>
  <c r="B110" i="337"/>
  <c r="AB109" i="337"/>
  <c r="AA109" i="337"/>
  <c r="Z109" i="337"/>
  <c r="Y109" i="337"/>
  <c r="X109" i="337"/>
  <c r="W109" i="337"/>
  <c r="R109" i="337"/>
  <c r="Q109" i="337"/>
  <c r="N109" i="337"/>
  <c r="J109" i="337"/>
  <c r="I109" i="337"/>
  <c r="H109" i="337"/>
  <c r="G109" i="337"/>
  <c r="E109" i="337"/>
  <c r="D109" i="337"/>
  <c r="C109" i="337"/>
  <c r="B109" i="337"/>
  <c r="P108" i="337"/>
  <c r="P107" i="337"/>
  <c r="AB105" i="337"/>
  <c r="AA105" i="337"/>
  <c r="Z105" i="337"/>
  <c r="Y105" i="337"/>
  <c r="X105" i="337"/>
  <c r="W105" i="337"/>
  <c r="R105" i="337"/>
  <c r="Q105" i="337"/>
  <c r="N105" i="337"/>
  <c r="J105" i="337"/>
  <c r="I105" i="337"/>
  <c r="H105" i="337"/>
  <c r="G105" i="337"/>
  <c r="E105" i="337"/>
  <c r="D105" i="337"/>
  <c r="C105" i="337"/>
  <c r="B105" i="337"/>
  <c r="AB104" i="337"/>
  <c r="AA104" i="337"/>
  <c r="Z104" i="337"/>
  <c r="Y104" i="337"/>
  <c r="X104" i="337"/>
  <c r="W104" i="337"/>
  <c r="R104" i="337"/>
  <c r="Q104" i="337"/>
  <c r="N104" i="337"/>
  <c r="J104" i="337"/>
  <c r="I104" i="337"/>
  <c r="H104" i="337"/>
  <c r="G104" i="337"/>
  <c r="E104" i="337"/>
  <c r="D104" i="337"/>
  <c r="C104" i="337"/>
  <c r="B104" i="337"/>
  <c r="AB103" i="337"/>
  <c r="AA103" i="337"/>
  <c r="Z103" i="337"/>
  <c r="Y103" i="337"/>
  <c r="X103" i="337"/>
  <c r="W103" i="337"/>
  <c r="R103" i="337"/>
  <c r="Q103" i="337"/>
  <c r="N103" i="337"/>
  <c r="J103" i="337"/>
  <c r="I103" i="337"/>
  <c r="H103" i="337"/>
  <c r="G103" i="337"/>
  <c r="E103" i="337"/>
  <c r="D103" i="337"/>
  <c r="C103" i="337"/>
  <c r="B103" i="337"/>
  <c r="AB102" i="337"/>
  <c r="AA102" i="337"/>
  <c r="Z102" i="337"/>
  <c r="Y102" i="337"/>
  <c r="X102" i="337"/>
  <c r="W102" i="337"/>
  <c r="R102" i="337"/>
  <c r="Q102" i="337"/>
  <c r="N102" i="337"/>
  <c r="J102" i="337"/>
  <c r="I102" i="337"/>
  <c r="H102" i="337"/>
  <c r="G102" i="337"/>
  <c r="E102" i="337"/>
  <c r="D102" i="337"/>
  <c r="C102" i="337"/>
  <c r="B102" i="337"/>
  <c r="AB101" i="337"/>
  <c r="AA101" i="337"/>
  <c r="Z101" i="337"/>
  <c r="Y101" i="337"/>
  <c r="X101" i="337"/>
  <c r="W101" i="337"/>
  <c r="R101" i="337"/>
  <c r="Q101" i="337"/>
  <c r="J101" i="337"/>
  <c r="I101" i="337"/>
  <c r="H101" i="337"/>
  <c r="G101" i="337"/>
  <c r="E101" i="337"/>
  <c r="D101" i="337"/>
  <c r="C101" i="337"/>
  <c r="B101" i="337"/>
  <c r="AB100" i="337"/>
  <c r="AA100" i="337"/>
  <c r="Z100" i="337"/>
  <c r="Y100" i="337"/>
  <c r="X100" i="337"/>
  <c r="W100" i="337"/>
  <c r="R100" i="337"/>
  <c r="Q100" i="337"/>
  <c r="N100" i="337"/>
  <c r="J100" i="337"/>
  <c r="I100" i="337"/>
  <c r="H100" i="337"/>
  <c r="G100" i="337"/>
  <c r="E100" i="337"/>
  <c r="D100" i="337"/>
  <c r="C100" i="337"/>
  <c r="B100" i="337"/>
  <c r="AB99" i="337"/>
  <c r="AA99" i="337"/>
  <c r="Z99" i="337"/>
  <c r="Y99" i="337"/>
  <c r="X99" i="337"/>
  <c r="W99" i="337"/>
  <c r="R99" i="337"/>
  <c r="N99" i="337"/>
  <c r="J99" i="337"/>
  <c r="I99" i="337"/>
  <c r="H99" i="337"/>
  <c r="E99" i="337"/>
  <c r="C99" i="337"/>
  <c r="B99" i="337"/>
  <c r="AB98" i="337"/>
  <c r="AA98" i="337"/>
  <c r="Z98" i="337"/>
  <c r="Y98" i="337"/>
  <c r="X98" i="337"/>
  <c r="W98" i="337"/>
  <c r="R98" i="337"/>
  <c r="N98" i="337"/>
  <c r="J98" i="337"/>
  <c r="I98" i="337"/>
  <c r="H98" i="337"/>
  <c r="E98" i="337"/>
  <c r="D98" i="337"/>
  <c r="C98" i="337"/>
  <c r="B98" i="337"/>
  <c r="AB97" i="337"/>
  <c r="AA97" i="337"/>
  <c r="Z97" i="337"/>
  <c r="Y97" i="337"/>
  <c r="X97" i="337"/>
  <c r="W97" i="337"/>
  <c r="R97" i="337"/>
  <c r="Q97" i="337"/>
  <c r="N97" i="337"/>
  <c r="J97" i="337"/>
  <c r="I97" i="337"/>
  <c r="H97" i="337"/>
  <c r="G97" i="337"/>
  <c r="E97" i="337"/>
  <c r="D97" i="337"/>
  <c r="C97" i="337"/>
  <c r="B97" i="337"/>
  <c r="AB96" i="337"/>
  <c r="AA96" i="337"/>
  <c r="Z96" i="337"/>
  <c r="Y96" i="337"/>
  <c r="X96" i="337"/>
  <c r="W96" i="337"/>
  <c r="R96" i="337"/>
  <c r="Q96" i="337"/>
  <c r="N96" i="337"/>
  <c r="J96" i="337"/>
  <c r="I96" i="337"/>
  <c r="H96" i="337"/>
  <c r="G96" i="337"/>
  <c r="E96" i="337"/>
  <c r="C96" i="337"/>
  <c r="B96" i="337"/>
  <c r="AB95" i="337"/>
  <c r="Z95" i="337"/>
  <c r="Y95" i="337"/>
  <c r="X95" i="337"/>
  <c r="W95" i="337"/>
  <c r="R95" i="337"/>
  <c r="Q95" i="337"/>
  <c r="N95" i="337"/>
  <c r="J95" i="337"/>
  <c r="I95" i="337"/>
  <c r="H95" i="337"/>
  <c r="G95" i="337"/>
  <c r="E95" i="337"/>
  <c r="C95" i="337"/>
  <c r="B95" i="337"/>
  <c r="AB94" i="337"/>
  <c r="AA94" i="337"/>
  <c r="Z94" i="337"/>
  <c r="Y94" i="337"/>
  <c r="X94" i="337"/>
  <c r="W94" i="337"/>
  <c r="R94" i="337"/>
  <c r="Q94" i="337"/>
  <c r="N94" i="337"/>
  <c r="J94" i="337"/>
  <c r="I94" i="337"/>
  <c r="H94" i="337"/>
  <c r="G94" i="337"/>
  <c r="E94" i="337"/>
  <c r="D94" i="337"/>
  <c r="C94" i="337"/>
  <c r="B94" i="337"/>
  <c r="AB93" i="337"/>
  <c r="AA93" i="337"/>
  <c r="Z93" i="337"/>
  <c r="Y93" i="337"/>
  <c r="X93" i="337"/>
  <c r="W93" i="337"/>
  <c r="R93" i="337"/>
  <c r="Q93" i="337"/>
  <c r="N93" i="337"/>
  <c r="J93" i="337"/>
  <c r="I93" i="337"/>
  <c r="H93" i="337"/>
  <c r="G93" i="337"/>
  <c r="E93" i="337"/>
  <c r="D93" i="337"/>
  <c r="C93" i="337"/>
  <c r="B93" i="337"/>
  <c r="AB92" i="337"/>
  <c r="AA92" i="337"/>
  <c r="Z92" i="337"/>
  <c r="Y92" i="337"/>
  <c r="X92" i="337"/>
  <c r="W92" i="337"/>
  <c r="R92" i="337"/>
  <c r="Q92" i="337"/>
  <c r="N92" i="337"/>
  <c r="J92" i="337"/>
  <c r="I92" i="337"/>
  <c r="H92" i="337"/>
  <c r="G92" i="337"/>
  <c r="E92" i="337"/>
  <c r="D92" i="337"/>
  <c r="C92" i="337"/>
  <c r="B92" i="337"/>
  <c r="AB91" i="337"/>
  <c r="AA91" i="337"/>
  <c r="Z91" i="337"/>
  <c r="Y91" i="337"/>
  <c r="X91" i="337"/>
  <c r="W91" i="337"/>
  <c r="R91" i="337"/>
  <c r="Q91" i="337"/>
  <c r="N91" i="337"/>
  <c r="J91" i="337"/>
  <c r="I91" i="337"/>
  <c r="H91" i="337"/>
  <c r="G91" i="337"/>
  <c r="E91" i="337"/>
  <c r="D91" i="337"/>
  <c r="C91" i="337"/>
  <c r="B91" i="337"/>
  <c r="AB90" i="337"/>
  <c r="AA90" i="337"/>
  <c r="Z90" i="337"/>
  <c r="Y90" i="337"/>
  <c r="X90" i="337"/>
  <c r="W90" i="337"/>
  <c r="R90" i="337"/>
  <c r="Q90" i="337"/>
  <c r="N90" i="337"/>
  <c r="J90" i="337"/>
  <c r="I90" i="337"/>
  <c r="H90" i="337"/>
  <c r="G90" i="337"/>
  <c r="E90" i="337"/>
  <c r="D90" i="337"/>
  <c r="C90" i="337"/>
  <c r="B90" i="337"/>
  <c r="AB89" i="337"/>
  <c r="AA89" i="337"/>
  <c r="Z89" i="337"/>
  <c r="Y89" i="337"/>
  <c r="X89" i="337"/>
  <c r="W89" i="337"/>
  <c r="R89" i="337"/>
  <c r="Q89" i="337"/>
  <c r="N89" i="337"/>
  <c r="J89" i="337"/>
  <c r="I89" i="337"/>
  <c r="H89" i="337"/>
  <c r="G89" i="337"/>
  <c r="E89" i="337"/>
  <c r="D89" i="337"/>
  <c r="C89" i="337"/>
  <c r="B89" i="337"/>
  <c r="AB88" i="337"/>
  <c r="AA88" i="337"/>
  <c r="Z88" i="337"/>
  <c r="Y88" i="337"/>
  <c r="X88" i="337"/>
  <c r="W88" i="337"/>
  <c r="R88" i="337"/>
  <c r="Q88" i="337"/>
  <c r="N88" i="337"/>
  <c r="J88" i="337"/>
  <c r="I88" i="337"/>
  <c r="H88" i="337"/>
  <c r="G88" i="337"/>
  <c r="E88" i="337"/>
  <c r="D88" i="337"/>
  <c r="C88" i="337"/>
  <c r="B88" i="337"/>
  <c r="AB87" i="337"/>
  <c r="AA87" i="337"/>
  <c r="Z87" i="337"/>
  <c r="Y87" i="337"/>
  <c r="X87" i="337"/>
  <c r="W87" i="337"/>
  <c r="R87" i="337"/>
  <c r="Q87" i="337"/>
  <c r="N87" i="337"/>
  <c r="J87" i="337"/>
  <c r="I87" i="337"/>
  <c r="H87" i="337"/>
  <c r="G87" i="337"/>
  <c r="E87" i="337"/>
  <c r="D87" i="337"/>
  <c r="C87" i="337"/>
  <c r="B87" i="337"/>
  <c r="AB86" i="337"/>
  <c r="AA86" i="337"/>
  <c r="Z86" i="337"/>
  <c r="Y86" i="337"/>
  <c r="X86" i="337"/>
  <c r="W86" i="337"/>
  <c r="V86" i="337"/>
  <c r="U86" i="337"/>
  <c r="T86" i="337"/>
  <c r="S86" i="337"/>
  <c r="R86" i="337"/>
  <c r="Q86" i="337"/>
  <c r="P86" i="337"/>
  <c r="O86" i="337"/>
  <c r="N86" i="337"/>
  <c r="M86" i="337"/>
  <c r="L86" i="337"/>
  <c r="K86" i="337"/>
  <c r="J86" i="337"/>
  <c r="I86" i="337"/>
  <c r="H86" i="337"/>
  <c r="G86" i="337"/>
  <c r="F86" i="337"/>
  <c r="E86" i="337"/>
  <c r="D86" i="337"/>
  <c r="C86" i="337"/>
  <c r="B86" i="337"/>
  <c r="AB85" i="337"/>
  <c r="AA85" i="337"/>
  <c r="Z85" i="337"/>
  <c r="Y85" i="337"/>
  <c r="X85" i="337"/>
  <c r="W85" i="337"/>
  <c r="R85" i="337"/>
  <c r="Q85" i="337"/>
  <c r="N85" i="337"/>
  <c r="J85" i="337"/>
  <c r="I85" i="337"/>
  <c r="H85" i="337"/>
  <c r="G85" i="337"/>
  <c r="E85" i="337"/>
  <c r="D85" i="337"/>
  <c r="C85" i="337"/>
  <c r="B85" i="337"/>
  <c r="AB84" i="337"/>
  <c r="AA84" i="337"/>
  <c r="Z84" i="337"/>
  <c r="Y84" i="337"/>
  <c r="X84" i="337"/>
  <c r="W84" i="337"/>
  <c r="R84" i="337"/>
  <c r="N84" i="337"/>
  <c r="J84" i="337"/>
  <c r="I84" i="337"/>
  <c r="H84" i="337"/>
  <c r="E84" i="337"/>
  <c r="D84" i="337"/>
  <c r="C84" i="337"/>
  <c r="B84" i="337"/>
  <c r="AB83" i="337"/>
  <c r="AA83" i="337"/>
  <c r="Z83" i="337"/>
  <c r="Y83" i="337"/>
  <c r="X83" i="337"/>
  <c r="W83" i="337"/>
  <c r="R83" i="337"/>
  <c r="Q83" i="337"/>
  <c r="N83" i="337"/>
  <c r="J83" i="337"/>
  <c r="I83" i="337"/>
  <c r="H83" i="337"/>
  <c r="G83" i="337"/>
  <c r="E83" i="337"/>
  <c r="D83" i="337"/>
  <c r="C83" i="337"/>
  <c r="B83" i="337"/>
  <c r="AB82" i="337"/>
  <c r="AA82" i="337"/>
  <c r="Z82" i="337"/>
  <c r="Y82" i="337"/>
  <c r="X82" i="337"/>
  <c r="W82" i="337"/>
  <c r="R82" i="337"/>
  <c r="Q82" i="337"/>
  <c r="N82" i="337"/>
  <c r="J82" i="337"/>
  <c r="I82" i="337"/>
  <c r="H82" i="337"/>
  <c r="G82" i="337"/>
  <c r="E82" i="337"/>
  <c r="D82" i="337"/>
  <c r="C82" i="337"/>
  <c r="B82" i="337"/>
  <c r="AB81" i="337"/>
  <c r="AA81" i="337"/>
  <c r="Z81" i="337"/>
  <c r="Y81" i="337"/>
  <c r="X81" i="337"/>
  <c r="W81" i="337"/>
  <c r="R81" i="337"/>
  <c r="Q81" i="337"/>
  <c r="J81" i="337"/>
  <c r="I81" i="337"/>
  <c r="H81" i="337"/>
  <c r="E81" i="337"/>
  <c r="D81" i="337"/>
  <c r="C81" i="337"/>
  <c r="B81" i="337"/>
  <c r="AB80" i="337"/>
  <c r="AA80" i="337"/>
  <c r="Z80" i="337"/>
  <c r="Y80" i="337"/>
  <c r="X80" i="337"/>
  <c r="W80" i="337"/>
  <c r="R80" i="337"/>
  <c r="Q80" i="337"/>
  <c r="N80" i="337"/>
  <c r="J80" i="337"/>
  <c r="I80" i="337"/>
  <c r="H80" i="337"/>
  <c r="G80" i="337"/>
  <c r="E80" i="337"/>
  <c r="D80" i="337"/>
  <c r="C80" i="337"/>
  <c r="B80" i="337"/>
  <c r="AB79" i="337"/>
  <c r="AA79" i="337"/>
  <c r="Z79" i="337"/>
  <c r="Y79" i="337"/>
  <c r="X79" i="337"/>
  <c r="W79" i="337"/>
  <c r="R79" i="337"/>
  <c r="Q79" i="337"/>
  <c r="N79" i="337"/>
  <c r="J79" i="337"/>
  <c r="I79" i="337"/>
  <c r="H79" i="337"/>
  <c r="G79" i="337"/>
  <c r="E79" i="337"/>
  <c r="D79" i="337"/>
  <c r="C79" i="337"/>
  <c r="B79" i="337"/>
  <c r="AB78" i="337"/>
  <c r="AA78" i="337"/>
  <c r="Z78" i="337"/>
  <c r="Y78" i="337"/>
  <c r="X78" i="337"/>
  <c r="W78" i="337"/>
  <c r="R78" i="337"/>
  <c r="J78" i="337"/>
  <c r="I78" i="337"/>
  <c r="H78" i="337"/>
  <c r="G78" i="337"/>
  <c r="E78" i="337"/>
  <c r="D78" i="337"/>
  <c r="C78" i="337"/>
  <c r="B78" i="337"/>
  <c r="AB77" i="337"/>
  <c r="AA77" i="337"/>
  <c r="Z77" i="337"/>
  <c r="Y77" i="337"/>
  <c r="X77" i="337"/>
  <c r="W77" i="337"/>
  <c r="R77" i="337"/>
  <c r="Q77" i="337"/>
  <c r="N77" i="337"/>
  <c r="J77" i="337"/>
  <c r="I77" i="337"/>
  <c r="H77" i="337"/>
  <c r="G77" i="337"/>
  <c r="E77" i="337"/>
  <c r="D77" i="337"/>
  <c r="C77" i="337"/>
  <c r="B77" i="337"/>
  <c r="AB76" i="337"/>
  <c r="AA76" i="337"/>
  <c r="Z76" i="337"/>
  <c r="Y76" i="337"/>
  <c r="X76" i="337"/>
  <c r="W76" i="337"/>
  <c r="R76" i="337"/>
  <c r="Q76" i="337"/>
  <c r="N76" i="337"/>
  <c r="J76" i="337"/>
  <c r="I76" i="337"/>
  <c r="H76" i="337"/>
  <c r="G76" i="337"/>
  <c r="E76" i="337"/>
  <c r="D76" i="337"/>
  <c r="C76" i="337"/>
  <c r="B76" i="337"/>
  <c r="AB75" i="337"/>
  <c r="AA75" i="337"/>
  <c r="Z75" i="337"/>
  <c r="Y75" i="337"/>
  <c r="X75" i="337"/>
  <c r="W75" i="337"/>
  <c r="R75" i="337"/>
  <c r="N75" i="337"/>
  <c r="J75" i="337"/>
  <c r="I75" i="337"/>
  <c r="H75" i="337"/>
  <c r="G75" i="337"/>
  <c r="E75" i="337"/>
  <c r="D75" i="337"/>
  <c r="C75" i="337"/>
  <c r="B75" i="337"/>
  <c r="AB74" i="337"/>
  <c r="AA74" i="337"/>
  <c r="Z74" i="337"/>
  <c r="Y74" i="337"/>
  <c r="X74" i="337"/>
  <c r="W74" i="337"/>
  <c r="V74" i="337"/>
  <c r="U74" i="337"/>
  <c r="T74" i="337"/>
  <c r="S74" i="337"/>
  <c r="R74" i="337"/>
  <c r="Q74" i="337"/>
  <c r="P74" i="337"/>
  <c r="O74" i="337"/>
  <c r="N74" i="337"/>
  <c r="M74" i="337"/>
  <c r="L74" i="337"/>
  <c r="K74" i="337"/>
  <c r="J74" i="337"/>
  <c r="I74" i="337"/>
  <c r="H74" i="337"/>
  <c r="G74" i="337"/>
  <c r="F74" i="337"/>
  <c r="E74" i="337"/>
  <c r="D74" i="337"/>
  <c r="C74" i="337"/>
  <c r="B74" i="337"/>
  <c r="AB73" i="337"/>
  <c r="AA73" i="337"/>
  <c r="Z73" i="337"/>
  <c r="Y73" i="337"/>
  <c r="X73" i="337"/>
  <c r="W73" i="337"/>
  <c r="R73" i="337"/>
  <c r="Q73" i="337"/>
  <c r="N73" i="337"/>
  <c r="J73" i="337"/>
  <c r="I73" i="337"/>
  <c r="H73" i="337"/>
  <c r="G73" i="337"/>
  <c r="E73" i="337"/>
  <c r="D73" i="337"/>
  <c r="C73" i="337"/>
  <c r="B73" i="337"/>
  <c r="AB72" i="337"/>
  <c r="AA72" i="337"/>
  <c r="Z72" i="337"/>
  <c r="Y72" i="337"/>
  <c r="X72" i="337"/>
  <c r="W72" i="337"/>
  <c r="R72" i="337"/>
  <c r="Q72" i="337"/>
  <c r="N72" i="337"/>
  <c r="J72" i="337"/>
  <c r="I72" i="337"/>
  <c r="H72" i="337"/>
  <c r="G72" i="337"/>
  <c r="E72" i="337"/>
  <c r="C72" i="337"/>
  <c r="B72" i="337"/>
  <c r="AB71" i="337"/>
  <c r="Z71" i="337"/>
  <c r="Y71" i="337"/>
  <c r="X71" i="337"/>
  <c r="W71" i="337"/>
  <c r="R71" i="337"/>
  <c r="N71" i="337"/>
  <c r="J71" i="337"/>
  <c r="I71" i="337"/>
  <c r="H71" i="337"/>
  <c r="E71" i="337"/>
  <c r="D71" i="337"/>
  <c r="C71" i="337"/>
  <c r="B71" i="337"/>
  <c r="AB70" i="337"/>
  <c r="AA70" i="337"/>
  <c r="Z70" i="337"/>
  <c r="Y70" i="337"/>
  <c r="X70" i="337"/>
  <c r="W70" i="337"/>
  <c r="V70" i="337"/>
  <c r="U70" i="337"/>
  <c r="T70" i="337"/>
  <c r="S70" i="337"/>
  <c r="R70" i="337"/>
  <c r="Q70" i="337"/>
  <c r="P70" i="337"/>
  <c r="O70" i="337"/>
  <c r="N70" i="337"/>
  <c r="M70" i="337"/>
  <c r="L70" i="337"/>
  <c r="K70" i="337"/>
  <c r="J70" i="337"/>
  <c r="I70" i="337"/>
  <c r="H70" i="337"/>
  <c r="G70" i="337"/>
  <c r="F70" i="337"/>
  <c r="E70" i="337"/>
  <c r="D70" i="337"/>
  <c r="C70" i="337"/>
  <c r="B70" i="337"/>
  <c r="AB69" i="337"/>
  <c r="AA69" i="337"/>
  <c r="Z69" i="337"/>
  <c r="Y69" i="337"/>
  <c r="X69" i="337"/>
  <c r="W69" i="337"/>
  <c r="R69" i="337"/>
  <c r="Q69" i="337"/>
  <c r="N69" i="337"/>
  <c r="J69" i="337"/>
  <c r="I69" i="337"/>
  <c r="H69" i="337"/>
  <c r="G69" i="337"/>
  <c r="E69" i="337"/>
  <c r="D69" i="337"/>
  <c r="C69" i="337"/>
  <c r="B69" i="337"/>
  <c r="AB68" i="337"/>
  <c r="AA68" i="337"/>
  <c r="Z68" i="337"/>
  <c r="Y68" i="337"/>
  <c r="X68" i="337"/>
  <c r="W68" i="337"/>
  <c r="R68" i="337"/>
  <c r="Q68" i="337"/>
  <c r="N68" i="337"/>
  <c r="J68" i="337"/>
  <c r="I68" i="337"/>
  <c r="H68" i="337"/>
  <c r="G68" i="337"/>
  <c r="E68" i="337"/>
  <c r="D68" i="337"/>
  <c r="C68" i="337"/>
  <c r="B68" i="337"/>
  <c r="AB67" i="337"/>
  <c r="AA67" i="337"/>
  <c r="Z67" i="337"/>
  <c r="Y67" i="337"/>
  <c r="X67" i="337"/>
  <c r="W67" i="337"/>
  <c r="R67" i="337"/>
  <c r="Q67" i="337"/>
  <c r="J67" i="337"/>
  <c r="I67" i="337"/>
  <c r="H67" i="337"/>
  <c r="G67" i="337"/>
  <c r="E67" i="337"/>
  <c r="D67" i="337"/>
  <c r="C67" i="337"/>
  <c r="B67" i="337"/>
  <c r="AB66" i="337"/>
  <c r="AA66" i="337"/>
  <c r="Z66" i="337"/>
  <c r="Y66" i="337"/>
  <c r="X66" i="337"/>
  <c r="W66" i="337"/>
  <c r="R66" i="337"/>
  <c r="Q66" i="337"/>
  <c r="N66" i="337"/>
  <c r="J66" i="337"/>
  <c r="I66" i="337"/>
  <c r="H66" i="337"/>
  <c r="G66" i="337"/>
  <c r="E66" i="337"/>
  <c r="D66" i="337"/>
  <c r="C66" i="337"/>
  <c r="B66" i="337"/>
  <c r="AB65" i="337"/>
  <c r="AA65" i="337"/>
  <c r="Z65" i="337"/>
  <c r="Y65" i="337"/>
  <c r="X65" i="337"/>
  <c r="W65" i="337"/>
  <c r="R65" i="337"/>
  <c r="Q65" i="337"/>
  <c r="N65" i="337"/>
  <c r="J65" i="337"/>
  <c r="I65" i="337"/>
  <c r="H65" i="337"/>
  <c r="G65" i="337"/>
  <c r="E65" i="337"/>
  <c r="D65" i="337"/>
  <c r="C65" i="337"/>
  <c r="B65" i="337"/>
  <c r="AB64" i="337"/>
  <c r="AA64" i="337"/>
  <c r="Z64" i="337"/>
  <c r="Y64" i="337"/>
  <c r="X64" i="337"/>
  <c r="W64" i="337"/>
  <c r="R64" i="337"/>
  <c r="Q64" i="337"/>
  <c r="N64" i="337"/>
  <c r="J64" i="337"/>
  <c r="I64" i="337"/>
  <c r="H64" i="337"/>
  <c r="G64" i="337"/>
  <c r="E64" i="337"/>
  <c r="D64" i="337"/>
  <c r="C64" i="337"/>
  <c r="B64" i="337"/>
  <c r="AB63" i="337"/>
  <c r="AA63" i="337"/>
  <c r="Z63" i="337"/>
  <c r="Y63" i="337"/>
  <c r="X63" i="337"/>
  <c r="W63" i="337"/>
  <c r="R63" i="337"/>
  <c r="Q63" i="337"/>
  <c r="N63" i="337"/>
  <c r="J63" i="337"/>
  <c r="I63" i="337"/>
  <c r="H63" i="337"/>
  <c r="G63" i="337"/>
  <c r="E63" i="337"/>
  <c r="D63" i="337"/>
  <c r="C63" i="337"/>
  <c r="B63" i="337"/>
  <c r="AB62" i="337"/>
  <c r="AA62" i="337"/>
  <c r="Z62" i="337"/>
  <c r="Y62" i="337"/>
  <c r="X62" i="337"/>
  <c r="W62" i="337"/>
  <c r="R62" i="337"/>
  <c r="Q62" i="337"/>
  <c r="N62" i="337"/>
  <c r="J62" i="337"/>
  <c r="I62" i="337"/>
  <c r="H62" i="337"/>
  <c r="G62" i="337"/>
  <c r="E62" i="337"/>
  <c r="D62" i="337"/>
  <c r="C62" i="337"/>
  <c r="B62" i="337"/>
  <c r="AB61" i="337"/>
  <c r="AA61" i="337"/>
  <c r="Z61" i="337"/>
  <c r="Y61" i="337"/>
  <c r="X61" i="337"/>
  <c r="W61" i="337"/>
  <c r="R61" i="337"/>
  <c r="Q61" i="337"/>
  <c r="N61" i="337"/>
  <c r="J61" i="337"/>
  <c r="I61" i="337"/>
  <c r="H61" i="337"/>
  <c r="G61" i="337"/>
  <c r="E61" i="337"/>
  <c r="D61" i="337"/>
  <c r="C61" i="337"/>
  <c r="B61" i="337"/>
  <c r="AB60" i="337"/>
  <c r="AA60" i="337"/>
  <c r="Z60" i="337"/>
  <c r="Y60" i="337"/>
  <c r="X60" i="337"/>
  <c r="W60" i="337"/>
  <c r="R60" i="337"/>
  <c r="Q60" i="337"/>
  <c r="N60" i="337"/>
  <c r="J60" i="337"/>
  <c r="I60" i="337"/>
  <c r="H60" i="337"/>
  <c r="G60" i="337"/>
  <c r="E60" i="337"/>
  <c r="D60" i="337"/>
  <c r="C60" i="337"/>
  <c r="B60" i="337"/>
  <c r="AB59" i="337"/>
  <c r="AA59" i="337"/>
  <c r="Z59" i="337"/>
  <c r="Y59" i="337"/>
  <c r="X59" i="337"/>
  <c r="W59" i="337"/>
  <c r="R59" i="337"/>
  <c r="Q59" i="337"/>
  <c r="N59" i="337"/>
  <c r="J59" i="337"/>
  <c r="I59" i="337"/>
  <c r="H59" i="337"/>
  <c r="G59" i="337"/>
  <c r="E59" i="337"/>
  <c r="D59" i="337"/>
  <c r="C59" i="337"/>
  <c r="B59" i="337"/>
  <c r="AB58" i="337"/>
  <c r="AA58" i="337"/>
  <c r="Z58" i="337"/>
  <c r="Y58" i="337"/>
  <c r="X58" i="337"/>
  <c r="W58" i="337"/>
  <c r="R58" i="337"/>
  <c r="Q58" i="337"/>
  <c r="N58" i="337"/>
  <c r="J58" i="337"/>
  <c r="I58" i="337"/>
  <c r="H58" i="337"/>
  <c r="G58" i="337"/>
  <c r="E58" i="337"/>
  <c r="D58" i="337"/>
  <c r="C58" i="337"/>
  <c r="B58" i="337"/>
  <c r="AB57" i="337"/>
  <c r="AA57" i="337"/>
  <c r="Z57" i="337"/>
  <c r="Y57" i="337"/>
  <c r="X57" i="337"/>
  <c r="W57" i="337"/>
  <c r="R57" i="337"/>
  <c r="Q57" i="337"/>
  <c r="N57" i="337"/>
  <c r="J57" i="337"/>
  <c r="I57" i="337"/>
  <c r="H57" i="337"/>
  <c r="G57" i="337"/>
  <c r="E57" i="337"/>
  <c r="D57" i="337"/>
  <c r="C57" i="337"/>
  <c r="B57" i="337"/>
  <c r="AB56" i="337"/>
  <c r="AA56" i="337"/>
  <c r="Z56" i="337"/>
  <c r="Y56" i="337"/>
  <c r="X56" i="337"/>
  <c r="W56" i="337"/>
  <c r="R56" i="337"/>
  <c r="Q56" i="337"/>
  <c r="N56" i="337"/>
  <c r="J56" i="337"/>
  <c r="I56" i="337"/>
  <c r="H56" i="337"/>
  <c r="G56" i="337"/>
  <c r="E56" i="337"/>
  <c r="D56" i="337"/>
  <c r="C56" i="337"/>
  <c r="B56" i="337"/>
  <c r="AB55" i="337"/>
  <c r="AA55" i="337"/>
  <c r="Z55" i="337"/>
  <c r="Y55" i="337"/>
  <c r="X55" i="337"/>
  <c r="W55" i="337"/>
  <c r="R55" i="337"/>
  <c r="Q55" i="337"/>
  <c r="N55" i="337"/>
  <c r="J55" i="337"/>
  <c r="I55" i="337"/>
  <c r="H55" i="337"/>
  <c r="G55" i="337"/>
  <c r="E55" i="337"/>
  <c r="D55" i="337"/>
  <c r="C55" i="337"/>
  <c r="B55" i="337"/>
  <c r="AB54" i="337"/>
  <c r="AA54" i="337"/>
  <c r="Z54" i="337"/>
  <c r="Y54" i="337"/>
  <c r="X54" i="337"/>
  <c r="W54" i="337"/>
  <c r="R54" i="337"/>
  <c r="Q54" i="337"/>
  <c r="N54" i="337"/>
  <c r="J54" i="337"/>
  <c r="I54" i="337"/>
  <c r="H54" i="337"/>
  <c r="G54" i="337"/>
  <c r="E54" i="337"/>
  <c r="D54" i="337"/>
  <c r="C54" i="337"/>
  <c r="B54" i="337"/>
  <c r="AB53" i="337"/>
  <c r="AA53" i="337"/>
  <c r="Z53" i="337"/>
  <c r="Y53" i="337"/>
  <c r="X53" i="337"/>
  <c r="W53" i="337"/>
  <c r="R53" i="337"/>
  <c r="Q53" i="337"/>
  <c r="N53" i="337"/>
  <c r="J53" i="337"/>
  <c r="I53" i="337"/>
  <c r="H53" i="337"/>
  <c r="G53" i="337"/>
  <c r="E53" i="337"/>
  <c r="D53" i="337"/>
  <c r="C53" i="337"/>
  <c r="B53" i="337"/>
  <c r="AB52" i="337"/>
  <c r="AA52" i="337"/>
  <c r="Z52" i="337"/>
  <c r="Y52" i="337"/>
  <c r="X52" i="337"/>
  <c r="W52" i="337"/>
  <c r="R52" i="337"/>
  <c r="N52" i="337"/>
  <c r="J52" i="337"/>
  <c r="I52" i="337"/>
  <c r="H52" i="337"/>
  <c r="E52" i="337"/>
  <c r="D52" i="337"/>
  <c r="C52" i="337"/>
  <c r="B52" i="337"/>
  <c r="AB51" i="337"/>
  <c r="AA51" i="337"/>
  <c r="Z51" i="337"/>
  <c r="Y51" i="337"/>
  <c r="X51" i="337"/>
  <c r="W51" i="337"/>
  <c r="R51" i="337"/>
  <c r="N51" i="337"/>
  <c r="J51" i="337"/>
  <c r="I51" i="337"/>
  <c r="H51" i="337"/>
  <c r="E51" i="337"/>
  <c r="D51" i="337"/>
  <c r="C51" i="337"/>
  <c r="B51" i="337"/>
  <c r="AB50" i="337"/>
  <c r="Z50" i="337"/>
  <c r="Y50" i="337"/>
  <c r="X50" i="337"/>
  <c r="W50" i="337"/>
  <c r="R50" i="337"/>
  <c r="N50" i="337"/>
  <c r="J50" i="337"/>
  <c r="I50" i="337"/>
  <c r="H50" i="337"/>
  <c r="E50" i="337"/>
  <c r="D50" i="337"/>
  <c r="C50" i="337"/>
  <c r="B50" i="337"/>
  <c r="AB49" i="337"/>
  <c r="AA49" i="337"/>
  <c r="Z49" i="337"/>
  <c r="Y49" i="337"/>
  <c r="X49" i="337"/>
  <c r="W49" i="337"/>
  <c r="V49" i="337"/>
  <c r="U49" i="337"/>
  <c r="T49" i="337"/>
  <c r="S49" i="337"/>
  <c r="R49" i="337"/>
  <c r="Q49" i="337"/>
  <c r="P49" i="337"/>
  <c r="O49" i="337"/>
  <c r="N49" i="337"/>
  <c r="M49" i="337"/>
  <c r="L49" i="337"/>
  <c r="K49" i="337"/>
  <c r="J49" i="337"/>
  <c r="I49" i="337"/>
  <c r="H49" i="337"/>
  <c r="G49" i="337"/>
  <c r="F49" i="337"/>
  <c r="E49" i="337"/>
  <c r="D49" i="337"/>
  <c r="C49" i="337"/>
  <c r="B49" i="337"/>
  <c r="AB48" i="337"/>
  <c r="AA48" i="337"/>
  <c r="Z48" i="337"/>
  <c r="Y48" i="337"/>
  <c r="X48" i="337"/>
  <c r="W48" i="337"/>
  <c r="R48" i="337"/>
  <c r="Q48" i="337"/>
  <c r="N48" i="337"/>
  <c r="J48" i="337"/>
  <c r="I48" i="337"/>
  <c r="H48" i="337"/>
  <c r="G48" i="337"/>
  <c r="E48" i="337"/>
  <c r="D48" i="337"/>
  <c r="C48" i="337"/>
  <c r="B48" i="337"/>
  <c r="AB47" i="337"/>
  <c r="AA47" i="337"/>
  <c r="Z47" i="337"/>
  <c r="Y47" i="337"/>
  <c r="X47" i="337"/>
  <c r="W47" i="337"/>
  <c r="R47" i="337"/>
  <c r="Q47" i="337"/>
  <c r="N47" i="337"/>
  <c r="J47" i="337"/>
  <c r="I47" i="337"/>
  <c r="H47" i="337"/>
  <c r="G47" i="337"/>
  <c r="E47" i="337"/>
  <c r="D47" i="337"/>
  <c r="C47" i="337"/>
  <c r="B47" i="337"/>
  <c r="AB46" i="337"/>
  <c r="AA46" i="337"/>
  <c r="Z46" i="337"/>
  <c r="Y46" i="337"/>
  <c r="X46" i="337"/>
  <c r="W46" i="337"/>
  <c r="R46" i="337"/>
  <c r="Q46" i="337"/>
  <c r="N46" i="337"/>
  <c r="J46" i="337"/>
  <c r="I46" i="337"/>
  <c r="H46" i="337"/>
  <c r="G46" i="337"/>
  <c r="E46" i="337"/>
  <c r="C46" i="337"/>
  <c r="B46" i="337"/>
  <c r="AB45" i="337"/>
  <c r="AA45" i="337"/>
  <c r="Z45" i="337"/>
  <c r="Y45" i="337"/>
  <c r="X45" i="337"/>
  <c r="W45" i="337"/>
  <c r="R45" i="337"/>
  <c r="Q45" i="337"/>
  <c r="N45" i="337"/>
  <c r="J45" i="337"/>
  <c r="I45" i="337"/>
  <c r="H45" i="337"/>
  <c r="G45" i="337"/>
  <c r="E45" i="337"/>
  <c r="D45" i="337"/>
  <c r="C45" i="337"/>
  <c r="B45" i="337"/>
  <c r="AB44" i="337"/>
  <c r="Z44" i="337"/>
  <c r="Y44" i="337"/>
  <c r="X44" i="337"/>
  <c r="W44" i="337"/>
  <c r="R44" i="337"/>
  <c r="Q44" i="337"/>
  <c r="N44" i="337"/>
  <c r="J44" i="337"/>
  <c r="I44" i="337"/>
  <c r="H44" i="337"/>
  <c r="G44" i="337"/>
  <c r="E44" i="337"/>
  <c r="C44" i="337"/>
  <c r="B44" i="337"/>
  <c r="AB43" i="337"/>
  <c r="AA43" i="337"/>
  <c r="Z43" i="337"/>
  <c r="Y43" i="337"/>
  <c r="X43" i="337"/>
  <c r="W43" i="337"/>
  <c r="R43" i="337"/>
  <c r="Q43" i="337"/>
  <c r="N43" i="337"/>
  <c r="J43" i="337"/>
  <c r="I43" i="337"/>
  <c r="H43" i="337"/>
  <c r="G43" i="337"/>
  <c r="E43" i="337"/>
  <c r="D43" i="337"/>
  <c r="C43" i="337"/>
  <c r="B43" i="337"/>
  <c r="AB42" i="337"/>
  <c r="AA42" i="337"/>
  <c r="Z42" i="337"/>
  <c r="Y42" i="337"/>
  <c r="X42" i="337"/>
  <c r="W42" i="337"/>
  <c r="R42" i="337"/>
  <c r="Q42" i="337"/>
  <c r="N42" i="337"/>
  <c r="J42" i="337"/>
  <c r="I42" i="337"/>
  <c r="H42" i="337"/>
  <c r="G42" i="337"/>
  <c r="E42" i="337"/>
  <c r="D42" i="337"/>
  <c r="C42" i="337"/>
  <c r="B42" i="337"/>
  <c r="AB41" i="337"/>
  <c r="AA41" i="337"/>
  <c r="Z41" i="337"/>
  <c r="Y41" i="337"/>
  <c r="X41" i="337"/>
  <c r="W41" i="337"/>
  <c r="R41" i="337"/>
  <c r="Q41" i="337"/>
  <c r="N41" i="337"/>
  <c r="J41" i="337"/>
  <c r="I41" i="337"/>
  <c r="H41" i="337"/>
  <c r="G41" i="337"/>
  <c r="E41" i="337"/>
  <c r="D41" i="337"/>
  <c r="C41" i="337"/>
  <c r="B41" i="337"/>
  <c r="AB40" i="337"/>
  <c r="AA40" i="337"/>
  <c r="Z40" i="337"/>
  <c r="Y40" i="337"/>
  <c r="X40" i="337"/>
  <c r="W40" i="337"/>
  <c r="R40" i="337"/>
  <c r="N40" i="337"/>
  <c r="J40" i="337"/>
  <c r="I40" i="337"/>
  <c r="H40" i="337"/>
  <c r="E40" i="337"/>
  <c r="C40" i="337"/>
  <c r="B40" i="337"/>
  <c r="AB39" i="337"/>
  <c r="AA39" i="337"/>
  <c r="Z39" i="337"/>
  <c r="Y39" i="337"/>
  <c r="X39" i="337"/>
  <c r="W39" i="337"/>
  <c r="R39" i="337"/>
  <c r="N39" i="337"/>
  <c r="J39" i="337"/>
  <c r="I39" i="337"/>
  <c r="H39" i="337"/>
  <c r="E39" i="337"/>
  <c r="D39" i="337"/>
  <c r="C39" i="337"/>
  <c r="B39" i="337"/>
  <c r="AB38" i="337"/>
  <c r="AA38" i="337"/>
  <c r="Z38" i="337"/>
  <c r="Y38" i="337"/>
  <c r="X38" i="337"/>
  <c r="W38" i="337"/>
  <c r="R38" i="337"/>
  <c r="N38" i="337"/>
  <c r="J38" i="337"/>
  <c r="I38" i="337"/>
  <c r="H38" i="337"/>
  <c r="E38" i="337"/>
  <c r="D38" i="337"/>
  <c r="C38" i="337"/>
  <c r="B38" i="337"/>
  <c r="AB37" i="337"/>
  <c r="AA37" i="337"/>
  <c r="Z37" i="337"/>
  <c r="Y37" i="337"/>
  <c r="X37" i="337"/>
  <c r="W37" i="337"/>
  <c r="R37" i="337"/>
  <c r="Q37" i="337"/>
  <c r="N37" i="337"/>
  <c r="J37" i="337"/>
  <c r="I37" i="337"/>
  <c r="H37" i="337"/>
  <c r="G37" i="337"/>
  <c r="E37" i="337"/>
  <c r="D37" i="337"/>
  <c r="C37" i="337"/>
  <c r="B37" i="337"/>
  <c r="AB36" i="337"/>
  <c r="AA36" i="337"/>
  <c r="Z36" i="337"/>
  <c r="Y36" i="337"/>
  <c r="X36" i="337"/>
  <c r="W36" i="337"/>
  <c r="R36" i="337"/>
  <c r="Q36" i="337"/>
  <c r="N36" i="337"/>
  <c r="J36" i="337"/>
  <c r="I36" i="337"/>
  <c r="H36" i="337"/>
  <c r="G36" i="337"/>
  <c r="E36" i="337"/>
  <c r="D36" i="337"/>
  <c r="C36" i="337"/>
  <c r="B36" i="337"/>
  <c r="AB35" i="337"/>
  <c r="AA35" i="337"/>
  <c r="Z35" i="337"/>
  <c r="Y35" i="337"/>
  <c r="X35" i="337"/>
  <c r="W35" i="337"/>
  <c r="R35" i="337"/>
  <c r="Q35" i="337"/>
  <c r="N35" i="337"/>
  <c r="J35" i="337"/>
  <c r="I35" i="337"/>
  <c r="H35" i="337"/>
  <c r="G35" i="337"/>
  <c r="E35" i="337"/>
  <c r="C35" i="337"/>
  <c r="B35" i="337"/>
  <c r="AB34" i="337"/>
  <c r="AA34" i="337"/>
  <c r="Z34" i="337"/>
  <c r="Y34" i="337"/>
  <c r="X34" i="337"/>
  <c r="W34" i="337"/>
  <c r="R34" i="337"/>
  <c r="Q34" i="337"/>
  <c r="N34" i="337"/>
  <c r="J34" i="337"/>
  <c r="I34" i="337"/>
  <c r="H34" i="337"/>
  <c r="G34" i="337"/>
  <c r="E34" i="337"/>
  <c r="C34" i="337"/>
  <c r="B34" i="337"/>
  <c r="AB33" i="337"/>
  <c r="AA33" i="337"/>
  <c r="Z33" i="337"/>
  <c r="Y33" i="337"/>
  <c r="X33" i="337"/>
  <c r="W33" i="337"/>
  <c r="R33" i="337"/>
  <c r="Q33" i="337"/>
  <c r="N33" i="337"/>
  <c r="J33" i="337"/>
  <c r="I33" i="337"/>
  <c r="H33" i="337"/>
  <c r="G33" i="337"/>
  <c r="E33" i="337"/>
  <c r="C33" i="337"/>
  <c r="B33" i="337"/>
  <c r="AB32" i="337"/>
  <c r="Z32" i="337"/>
  <c r="Y32" i="337"/>
  <c r="X32" i="337"/>
  <c r="W32" i="337"/>
  <c r="R32" i="337"/>
  <c r="J32" i="337"/>
  <c r="I32" i="337"/>
  <c r="H32" i="337"/>
  <c r="E32" i="337"/>
  <c r="C32" i="337"/>
  <c r="B32" i="337"/>
  <c r="AB31" i="337"/>
  <c r="AA31" i="337"/>
  <c r="Z31" i="337"/>
  <c r="Y31" i="337"/>
  <c r="X31" i="337"/>
  <c r="W31" i="337"/>
  <c r="V31" i="337"/>
  <c r="U31" i="337"/>
  <c r="T31" i="337"/>
  <c r="S31" i="337"/>
  <c r="R31" i="337"/>
  <c r="Q31" i="337"/>
  <c r="P31" i="337"/>
  <c r="O31" i="337"/>
  <c r="N31" i="337"/>
  <c r="M31" i="337"/>
  <c r="L31" i="337"/>
  <c r="K31" i="337"/>
  <c r="J31" i="337"/>
  <c r="I31" i="337"/>
  <c r="H31" i="337"/>
  <c r="G31" i="337"/>
  <c r="F31" i="337"/>
  <c r="E31" i="337"/>
  <c r="D31" i="337"/>
  <c r="C31" i="337"/>
  <c r="B31" i="337"/>
  <c r="AB30" i="337"/>
  <c r="AA30" i="337"/>
  <c r="Z30" i="337"/>
  <c r="Y30" i="337"/>
  <c r="X30" i="337"/>
  <c r="W30" i="337"/>
  <c r="R30" i="337"/>
  <c r="N30" i="337"/>
  <c r="J30" i="337"/>
  <c r="I30" i="337"/>
  <c r="H30" i="337"/>
  <c r="E30" i="337"/>
  <c r="D30" i="337"/>
  <c r="C30" i="337"/>
  <c r="B30" i="337"/>
  <c r="AB29" i="337"/>
  <c r="AA29" i="337"/>
  <c r="Z29" i="337"/>
  <c r="Y29" i="337"/>
  <c r="X29" i="337"/>
  <c r="W29" i="337"/>
  <c r="R29" i="337"/>
  <c r="Q29" i="337"/>
  <c r="N29" i="337"/>
  <c r="J29" i="337"/>
  <c r="I29" i="337"/>
  <c r="H29" i="337"/>
  <c r="G29" i="337"/>
  <c r="E29" i="337"/>
  <c r="D29" i="337"/>
  <c r="C29" i="337"/>
  <c r="B29" i="337"/>
  <c r="AB28" i="337"/>
  <c r="AA28" i="337"/>
  <c r="Z28" i="337"/>
  <c r="Y28" i="337"/>
  <c r="X28" i="337"/>
  <c r="W28" i="337"/>
  <c r="R28" i="337"/>
  <c r="Q28" i="337"/>
  <c r="N28" i="337"/>
  <c r="J28" i="337"/>
  <c r="I28" i="337"/>
  <c r="H28" i="337"/>
  <c r="G28" i="337"/>
  <c r="E28" i="337"/>
  <c r="C28" i="337"/>
  <c r="B28" i="337"/>
  <c r="AB27" i="337"/>
  <c r="AA27" i="337"/>
  <c r="Z27" i="337"/>
  <c r="Y27" i="337"/>
  <c r="X27" i="337"/>
  <c r="W27" i="337"/>
  <c r="R27" i="337"/>
  <c r="Q27" i="337"/>
  <c r="N27" i="337"/>
  <c r="J27" i="337"/>
  <c r="I27" i="337"/>
  <c r="H27" i="337"/>
  <c r="G27" i="337"/>
  <c r="E27" i="337"/>
  <c r="D27" i="337"/>
  <c r="C27" i="337"/>
  <c r="B27" i="337"/>
  <c r="AB26" i="337"/>
  <c r="AA26" i="337"/>
  <c r="Z26" i="337"/>
  <c r="Y26" i="337"/>
  <c r="X26" i="337"/>
  <c r="R26" i="337"/>
  <c r="Q26" i="337"/>
  <c r="N26" i="337"/>
  <c r="J26" i="337"/>
  <c r="I26" i="337"/>
  <c r="H26" i="337"/>
  <c r="C26" i="337"/>
  <c r="B26" i="337"/>
  <c r="AB25" i="337"/>
  <c r="AA25" i="337"/>
  <c r="Z25" i="337"/>
  <c r="Y25" i="337"/>
  <c r="X25" i="337"/>
  <c r="W25" i="337"/>
  <c r="R25" i="337"/>
  <c r="Q25" i="337"/>
  <c r="N25" i="337"/>
  <c r="J25" i="337"/>
  <c r="I25" i="337"/>
  <c r="H25" i="337"/>
  <c r="G25" i="337"/>
  <c r="E25" i="337"/>
  <c r="D25" i="337"/>
  <c r="C25" i="337"/>
  <c r="B25" i="337"/>
  <c r="AB24" i="337"/>
  <c r="AA24" i="337"/>
  <c r="Z24" i="337"/>
  <c r="Y24" i="337"/>
  <c r="X24" i="337"/>
  <c r="W24" i="337"/>
  <c r="R24" i="337"/>
  <c r="Q24" i="337"/>
  <c r="N24" i="337"/>
  <c r="J24" i="337"/>
  <c r="I24" i="337"/>
  <c r="H24" i="337"/>
  <c r="G24" i="337"/>
  <c r="E24" i="337"/>
  <c r="D24" i="337"/>
  <c r="C24" i="337"/>
  <c r="B24" i="337"/>
  <c r="AB23" i="337"/>
  <c r="AA23" i="337"/>
  <c r="Z23" i="337"/>
  <c r="Y23" i="337"/>
  <c r="X23" i="337"/>
  <c r="W23" i="337"/>
  <c r="R23" i="337"/>
  <c r="Q23" i="337"/>
  <c r="N23" i="337"/>
  <c r="J23" i="337"/>
  <c r="I23" i="337"/>
  <c r="H23" i="337"/>
  <c r="C23" i="337"/>
  <c r="B23" i="337"/>
  <c r="AB22" i="337"/>
  <c r="AA22" i="337"/>
  <c r="Z22" i="337"/>
  <c r="Y22" i="337"/>
  <c r="X22" i="337"/>
  <c r="W22" i="337"/>
  <c r="R22" i="337"/>
  <c r="Q22" i="337"/>
  <c r="N22" i="337"/>
  <c r="J22" i="337"/>
  <c r="I22" i="337"/>
  <c r="H22" i="337"/>
  <c r="G22" i="337"/>
  <c r="E22" i="337"/>
  <c r="D22" i="337"/>
  <c r="C22" i="337"/>
  <c r="B22" i="337"/>
  <c r="AB21" i="337"/>
  <c r="AA21" i="337"/>
  <c r="Z21" i="337"/>
  <c r="Y21" i="337"/>
  <c r="X21" i="337"/>
  <c r="W21" i="337"/>
  <c r="R21" i="337"/>
  <c r="Q21" i="337"/>
  <c r="N21" i="337"/>
  <c r="H21" i="337"/>
  <c r="G21" i="337"/>
  <c r="E21" i="337"/>
  <c r="D21" i="337"/>
  <c r="C21" i="337"/>
  <c r="B21" i="337"/>
  <c r="AB20" i="337"/>
  <c r="AA20" i="337"/>
  <c r="Z20" i="337"/>
  <c r="Y20" i="337"/>
  <c r="X20" i="337"/>
  <c r="W20" i="337"/>
  <c r="R20" i="337"/>
  <c r="Q20" i="337"/>
  <c r="N20" i="337"/>
  <c r="J20" i="337"/>
  <c r="I20" i="337"/>
  <c r="H20" i="337"/>
  <c r="G20" i="337"/>
  <c r="E20" i="337"/>
  <c r="C20" i="337"/>
  <c r="B20" i="337"/>
  <c r="AB19" i="337"/>
  <c r="AA19" i="337"/>
  <c r="Z19" i="337"/>
  <c r="Y19" i="337"/>
  <c r="X19" i="337"/>
  <c r="W19" i="337"/>
  <c r="R19" i="337"/>
  <c r="Q19" i="337"/>
  <c r="J19" i="337"/>
  <c r="I19" i="337"/>
  <c r="H19" i="337"/>
  <c r="G19" i="337"/>
  <c r="E19" i="337"/>
  <c r="C19" i="337"/>
  <c r="B19" i="337"/>
  <c r="AB18" i="337"/>
  <c r="AA18" i="337"/>
  <c r="Z18" i="337"/>
  <c r="Y18" i="337"/>
  <c r="X18" i="337"/>
  <c r="W18" i="337"/>
  <c r="R18" i="337"/>
  <c r="Q18" i="337"/>
  <c r="N18" i="337"/>
  <c r="J18" i="337"/>
  <c r="I18" i="337"/>
  <c r="H18" i="337"/>
  <c r="G18" i="337"/>
  <c r="E18" i="337"/>
  <c r="D18" i="337"/>
  <c r="C18" i="337"/>
  <c r="B18" i="337"/>
  <c r="AB17" i="337"/>
  <c r="AA17" i="337"/>
  <c r="Z17" i="337"/>
  <c r="Y17" i="337"/>
  <c r="X17" i="337"/>
  <c r="W17" i="337"/>
  <c r="R17" i="337"/>
  <c r="Q17" i="337"/>
  <c r="J17" i="337"/>
  <c r="I17" i="337"/>
  <c r="H17" i="337"/>
  <c r="G17" i="337"/>
  <c r="E17" i="337"/>
  <c r="D17" i="337"/>
  <c r="C17" i="337"/>
  <c r="B17" i="337"/>
  <c r="AB16" i="337"/>
  <c r="AA16" i="337"/>
  <c r="Z16" i="337"/>
  <c r="Y16" i="337"/>
  <c r="X16" i="337"/>
  <c r="W16" i="337"/>
  <c r="R16" i="337"/>
  <c r="Q16" i="337"/>
  <c r="N16" i="337"/>
  <c r="J16" i="337"/>
  <c r="I16" i="337"/>
  <c r="H16" i="337"/>
  <c r="G16" i="337"/>
  <c r="E16" i="337"/>
  <c r="C16" i="337"/>
  <c r="B16" i="337"/>
  <c r="AB15" i="337"/>
  <c r="AA15" i="337"/>
  <c r="Z15" i="337"/>
  <c r="Y15" i="337"/>
  <c r="X15" i="337"/>
  <c r="W15" i="337"/>
  <c r="R15" i="337"/>
  <c r="Q15" i="337"/>
  <c r="N15" i="337"/>
  <c r="J15" i="337"/>
  <c r="I15" i="337"/>
  <c r="H15" i="337"/>
  <c r="G15" i="337"/>
  <c r="E15" i="337"/>
  <c r="D15" i="337"/>
  <c r="C15" i="337"/>
  <c r="B15" i="337"/>
  <c r="AB14" i="337"/>
  <c r="AA14" i="337"/>
  <c r="Z14" i="337"/>
  <c r="Y14" i="337"/>
  <c r="X14" i="337"/>
  <c r="W14" i="337"/>
  <c r="R14" i="337"/>
  <c r="Q14" i="337"/>
  <c r="N14" i="337"/>
  <c r="J14" i="337"/>
  <c r="I14" i="337"/>
  <c r="H14" i="337"/>
  <c r="G14" i="337"/>
  <c r="E14" i="337"/>
  <c r="D14" i="337"/>
  <c r="C14" i="337"/>
  <c r="B14" i="337"/>
  <c r="AB13" i="337"/>
  <c r="AA13" i="337"/>
  <c r="Z13" i="337"/>
  <c r="Y13" i="337"/>
  <c r="X13" i="337"/>
  <c r="W13" i="337"/>
  <c r="R13" i="337"/>
  <c r="Q13" i="337"/>
  <c r="N13" i="337"/>
  <c r="J13" i="337"/>
  <c r="I13" i="337"/>
  <c r="H13" i="337"/>
  <c r="G13" i="337"/>
  <c r="E13" i="337"/>
  <c r="D13" i="337"/>
  <c r="C13" i="337"/>
  <c r="B13" i="337"/>
  <c r="AB12" i="337"/>
  <c r="AA12" i="337"/>
  <c r="Z12" i="337"/>
  <c r="Y12" i="337"/>
  <c r="X12" i="337"/>
  <c r="W12" i="337"/>
  <c r="V12" i="337"/>
  <c r="U12" i="337"/>
  <c r="T12" i="337"/>
  <c r="S12" i="337"/>
  <c r="R12" i="337"/>
  <c r="Q12" i="337"/>
  <c r="P12" i="337"/>
  <c r="O12" i="337"/>
  <c r="N12" i="337"/>
  <c r="M12" i="337"/>
  <c r="L12" i="337"/>
  <c r="K12" i="337"/>
  <c r="J12" i="337"/>
  <c r="I12" i="337"/>
  <c r="H12" i="337"/>
  <c r="G12" i="337"/>
  <c r="F12" i="337"/>
  <c r="E12" i="337"/>
  <c r="D12" i="337"/>
  <c r="C12" i="337"/>
  <c r="B12" i="337"/>
  <c r="AB11" i="337"/>
  <c r="AA11" i="337"/>
  <c r="Z11" i="337"/>
  <c r="Y11" i="337"/>
  <c r="X11" i="337"/>
  <c r="W11" i="337"/>
  <c r="R11" i="337"/>
  <c r="N11" i="337"/>
  <c r="J11" i="337"/>
  <c r="I11" i="337"/>
  <c r="H11" i="337"/>
  <c r="G11" i="337"/>
  <c r="E11" i="337"/>
  <c r="C11" i="337"/>
  <c r="B11" i="337"/>
  <c r="AB10" i="337"/>
  <c r="AA10" i="337"/>
  <c r="Z10" i="337"/>
  <c r="Y10" i="337"/>
  <c r="X10" i="337"/>
  <c r="W10" i="337"/>
  <c r="R10" i="337"/>
  <c r="N10" i="337"/>
  <c r="J10" i="337"/>
  <c r="I10" i="337"/>
  <c r="H10" i="337"/>
  <c r="G10" i="337"/>
  <c r="E10" i="337"/>
  <c r="D10" i="337"/>
  <c r="C10" i="337"/>
  <c r="B10" i="337"/>
  <c r="AB9" i="337"/>
  <c r="AA9" i="337"/>
  <c r="Z9" i="337"/>
  <c r="Y9" i="337"/>
  <c r="X9" i="337"/>
  <c r="W9" i="337"/>
  <c r="R9" i="337"/>
  <c r="Q9" i="337"/>
  <c r="N9" i="337"/>
  <c r="J9" i="337"/>
  <c r="I9" i="337"/>
  <c r="H9" i="337"/>
  <c r="G9" i="337"/>
  <c r="E9" i="337"/>
  <c r="D9" i="337"/>
  <c r="C9" i="337"/>
  <c r="B9" i="337"/>
  <c r="AB8" i="337"/>
  <c r="AA8" i="337"/>
  <c r="Z8" i="337"/>
  <c r="Y8" i="337"/>
  <c r="X8" i="337"/>
  <c r="W8" i="337"/>
  <c r="R8" i="337"/>
  <c r="Q8" i="337"/>
  <c r="N8" i="337"/>
  <c r="J8" i="337"/>
  <c r="I8" i="337"/>
  <c r="H8" i="337"/>
  <c r="G8" i="337"/>
  <c r="E8" i="337"/>
  <c r="C8" i="337"/>
  <c r="B8" i="337"/>
  <c r="AB7" i="337"/>
  <c r="AA7" i="337"/>
  <c r="Z7" i="337"/>
  <c r="Y7" i="337"/>
  <c r="X7" i="337"/>
  <c r="W7" i="337"/>
  <c r="R7" i="337"/>
  <c r="Q7" i="337"/>
  <c r="N7" i="337"/>
  <c r="J7" i="337"/>
  <c r="I7" i="337"/>
  <c r="H7" i="337"/>
  <c r="G7" i="337"/>
  <c r="E7" i="337"/>
  <c r="C7" i="337"/>
  <c r="B7" i="337"/>
  <c r="AB6" i="337"/>
  <c r="AA6" i="337"/>
  <c r="Z6" i="337"/>
  <c r="Y6" i="337"/>
  <c r="X6" i="337"/>
  <c r="W6" i="337"/>
  <c r="R6" i="337"/>
  <c r="Q6" i="337"/>
  <c r="N6" i="337"/>
  <c r="J6" i="337"/>
  <c r="I6" i="337"/>
  <c r="H6" i="337"/>
  <c r="G6" i="337"/>
  <c r="E6" i="337"/>
  <c r="D6" i="337"/>
  <c r="C6" i="337"/>
  <c r="B6" i="337"/>
  <c r="A6" i="337"/>
  <c r="A7" i="337" s="1"/>
  <c r="A8" i="337" s="1"/>
  <c r="A9" i="337" s="1"/>
  <c r="A10" i="337" s="1"/>
  <c r="A11" i="337" s="1"/>
  <c r="A12" i="337" s="1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A45" i="337" s="1"/>
  <c r="A46" i="337" s="1"/>
  <c r="A47" i="337" s="1"/>
  <c r="A48" i="337" s="1"/>
  <c r="A49" i="337" s="1"/>
  <c r="A50" i="337" s="1"/>
  <c r="A51" i="337" s="1"/>
  <c r="A52" i="337" s="1"/>
  <c r="A53" i="337" s="1"/>
  <c r="A54" i="337" s="1"/>
  <c r="A55" i="337" s="1"/>
  <c r="A56" i="337" s="1"/>
  <c r="A57" i="337" s="1"/>
  <c r="A58" i="337" s="1"/>
  <c r="A59" i="337" s="1"/>
  <c r="A60" i="337" s="1"/>
  <c r="A61" i="337" s="1"/>
  <c r="A62" i="337" s="1"/>
  <c r="A63" i="337" s="1"/>
  <c r="A64" i="337" s="1"/>
  <c r="A65" i="337" s="1"/>
  <c r="A66" i="337" s="1"/>
  <c r="A67" i="337" s="1"/>
  <c r="A68" i="337" s="1"/>
  <c r="A69" i="337" s="1"/>
  <c r="A70" i="337" s="1"/>
  <c r="A71" i="337" s="1"/>
  <c r="A72" i="337" s="1"/>
  <c r="A73" i="337" s="1"/>
  <c r="A74" i="337" s="1"/>
  <c r="A75" i="337" s="1"/>
  <c r="A76" i="337" s="1"/>
  <c r="A77" i="337" s="1"/>
  <c r="A78" i="337" s="1"/>
  <c r="A79" i="337" s="1"/>
  <c r="A80" i="337" s="1"/>
  <c r="A81" i="337" s="1"/>
  <c r="A82" i="337" s="1"/>
  <c r="A83" i="337" s="1"/>
  <c r="A84" i="337" s="1"/>
  <c r="A85" i="337" s="1"/>
  <c r="A86" i="337" s="1"/>
  <c r="A87" i="337" s="1"/>
  <c r="A88" i="337" s="1"/>
  <c r="A89" i="337" s="1"/>
  <c r="A90" i="337" s="1"/>
  <c r="A91" i="337" s="1"/>
  <c r="A92" i="337" s="1"/>
  <c r="A93" i="337" s="1"/>
  <c r="A94" i="337" s="1"/>
  <c r="A95" i="337" s="1"/>
  <c r="A96" i="337" s="1"/>
  <c r="A97" i="337" s="1"/>
  <c r="A98" i="337" s="1"/>
  <c r="A99" i="337" s="1"/>
  <c r="A100" i="337" s="1"/>
  <c r="A101" i="337" s="1"/>
  <c r="A102" i="337" s="1"/>
  <c r="A103" i="337" s="1"/>
  <c r="A104" i="337" s="1"/>
  <c r="A105" i="337" s="1"/>
  <c r="A109" i="337" s="1"/>
  <c r="A110" i="337" s="1"/>
  <c r="A111" i="337" s="1"/>
  <c r="A112" i="337" s="1"/>
  <c r="A113" i="337" s="1"/>
  <c r="A114" i="337" s="1"/>
  <c r="A115" i="337" s="1"/>
  <c r="A116" i="337" s="1"/>
  <c r="A117" i="337" s="1"/>
  <c r="A118" i="337" s="1"/>
  <c r="A119" i="337" s="1"/>
  <c r="A120" i="337" s="1"/>
  <c r="A121" i="337" s="1"/>
  <c r="A122" i="337" s="1"/>
  <c r="A123" i="337" s="1"/>
  <c r="AB5" i="337"/>
  <c r="AA5" i="337"/>
  <c r="Z5" i="337"/>
  <c r="Y5" i="337"/>
  <c r="X5" i="337"/>
  <c r="W5" i="337"/>
  <c r="R5" i="337"/>
  <c r="Q5" i="337"/>
  <c r="N5" i="337"/>
  <c r="J5" i="337"/>
  <c r="I5" i="337"/>
  <c r="H5" i="337"/>
  <c r="G5" i="337"/>
  <c r="E5" i="337"/>
  <c r="D5" i="337"/>
  <c r="C5" i="337"/>
  <c r="B5" i="337"/>
  <c r="AB132" i="313"/>
  <c r="Z132" i="313"/>
  <c r="Y132" i="313"/>
  <c r="X132" i="313"/>
  <c r="W132" i="313"/>
  <c r="R132" i="313"/>
  <c r="Q132" i="313"/>
  <c r="N132" i="313"/>
  <c r="J132" i="313"/>
  <c r="I132" i="313"/>
  <c r="H132" i="313"/>
  <c r="E132" i="313"/>
  <c r="D132" i="313"/>
  <c r="AA131" i="313"/>
  <c r="S131" i="313"/>
  <c r="K131" i="313"/>
  <c r="F131" i="313"/>
  <c r="S130" i="313"/>
  <c r="K130" i="313"/>
  <c r="L130" i="313" s="1"/>
  <c r="F130" i="313"/>
  <c r="S129" i="313"/>
  <c r="K129" i="313"/>
  <c r="F129" i="313"/>
  <c r="S128" i="313"/>
  <c r="K128" i="313"/>
  <c r="L128" i="313" s="1"/>
  <c r="S127" i="313"/>
  <c r="K127" i="313"/>
  <c r="L127" i="313" s="1"/>
  <c r="F127" i="313"/>
  <c r="S126" i="313"/>
  <c r="K126" i="313"/>
  <c r="L126" i="313" s="1"/>
  <c r="G126" i="313"/>
  <c r="G132" i="313" s="1"/>
  <c r="F126" i="313"/>
  <c r="S125" i="313"/>
  <c r="K125" i="313"/>
  <c r="L125" i="313" s="1"/>
  <c r="F125" i="313"/>
  <c r="S124" i="313"/>
  <c r="K124" i="313"/>
  <c r="L124" i="313" s="1"/>
  <c r="F124" i="313"/>
  <c r="S123" i="313"/>
  <c r="K123" i="313"/>
  <c r="F123" i="313"/>
  <c r="S122" i="313"/>
  <c r="K122" i="313"/>
  <c r="L122" i="313" s="1"/>
  <c r="F122" i="313"/>
  <c r="S121" i="313"/>
  <c r="K121" i="313"/>
  <c r="F121" i="313"/>
  <c r="S120" i="313"/>
  <c r="K120" i="313"/>
  <c r="L120" i="313" s="1"/>
  <c r="F120" i="313"/>
  <c r="P119" i="313"/>
  <c r="P118" i="313"/>
  <c r="AB117" i="313"/>
  <c r="S110" i="313"/>
  <c r="K110" i="313"/>
  <c r="L110" i="313" s="1"/>
  <c r="F110" i="313"/>
  <c r="S109" i="313"/>
  <c r="K109" i="313"/>
  <c r="L109" i="313" s="1"/>
  <c r="F109" i="313"/>
  <c r="S108" i="313"/>
  <c r="K108" i="313"/>
  <c r="L108" i="313" s="1"/>
  <c r="P108" i="313" s="1"/>
  <c r="F108" i="313"/>
  <c r="S107" i="313"/>
  <c r="K107" i="313"/>
  <c r="L107" i="313" s="1"/>
  <c r="F107" i="313"/>
  <c r="S106" i="313"/>
  <c r="K106" i="313"/>
  <c r="L106" i="313" s="1"/>
  <c r="P106" i="313" s="1"/>
  <c r="F106" i="313"/>
  <c r="S105" i="313"/>
  <c r="K105" i="313"/>
  <c r="L105" i="313" s="1"/>
  <c r="P105" i="313" s="1"/>
  <c r="F105" i="313"/>
  <c r="S104" i="313"/>
  <c r="K104" i="313"/>
  <c r="L104" i="313" s="1"/>
  <c r="F104" i="313"/>
  <c r="R103" i="313"/>
  <c r="R117" i="313" s="1"/>
  <c r="K103" i="313"/>
  <c r="L103" i="313" s="1"/>
  <c r="G103" i="313"/>
  <c r="S102" i="313"/>
  <c r="K102" i="313"/>
  <c r="L102" i="313" s="1"/>
  <c r="P102" i="313" s="1"/>
  <c r="F102" i="313"/>
  <c r="S101" i="313"/>
  <c r="K101" i="313"/>
  <c r="L101" i="313" s="1"/>
  <c r="F101" i="313"/>
  <c r="S100" i="313"/>
  <c r="S103" i="337" s="1"/>
  <c r="K100" i="313"/>
  <c r="F100" i="313"/>
  <c r="F103" i="337" s="1"/>
  <c r="S99" i="313"/>
  <c r="K99" i="313"/>
  <c r="L99" i="313" s="1"/>
  <c r="F99" i="313"/>
  <c r="S98" i="313"/>
  <c r="K98" i="313"/>
  <c r="L98" i="313" s="1"/>
  <c r="P98" i="313" s="1"/>
  <c r="F98" i="313"/>
  <c r="S97" i="313"/>
  <c r="K97" i="313"/>
  <c r="F97" i="313"/>
  <c r="Q96" i="313"/>
  <c r="S96" i="313" s="1"/>
  <c r="K96" i="313"/>
  <c r="G96" i="313"/>
  <c r="D96" i="313"/>
  <c r="F96" i="313" s="1"/>
  <c r="Q95" i="313"/>
  <c r="S95" i="313" s="1"/>
  <c r="K95" i="313"/>
  <c r="G95" i="313"/>
  <c r="F95" i="313"/>
  <c r="S94" i="313"/>
  <c r="K94" i="313"/>
  <c r="F94" i="313"/>
  <c r="S93" i="313"/>
  <c r="K93" i="313"/>
  <c r="L93" i="313" s="1"/>
  <c r="F93" i="313"/>
  <c r="S92" i="313"/>
  <c r="K92" i="313"/>
  <c r="D92" i="313"/>
  <c r="S91" i="313"/>
  <c r="K91" i="313"/>
  <c r="F91" i="313"/>
  <c r="S90" i="313"/>
  <c r="K90" i="313"/>
  <c r="L90" i="313" s="1"/>
  <c r="G90" i="313"/>
  <c r="F90" i="313"/>
  <c r="S89" i="313"/>
  <c r="K89" i="313"/>
  <c r="L89" i="313" s="1"/>
  <c r="F89" i="313"/>
  <c r="S88" i="313"/>
  <c r="K88" i="313"/>
  <c r="F88" i="313"/>
  <c r="S87" i="313"/>
  <c r="K87" i="313"/>
  <c r="L87" i="313" s="1"/>
  <c r="F87" i="313"/>
  <c r="S86" i="313"/>
  <c r="K86" i="313"/>
  <c r="F86" i="313"/>
  <c r="S85" i="313"/>
  <c r="K85" i="313"/>
  <c r="L85" i="313" s="1"/>
  <c r="F85" i="313"/>
  <c r="S84" i="313"/>
  <c r="K84" i="313"/>
  <c r="L84" i="313" s="1"/>
  <c r="P84" i="313" s="1"/>
  <c r="F84" i="313"/>
  <c r="S83" i="313"/>
  <c r="K83" i="313"/>
  <c r="L83" i="313" s="1"/>
  <c r="F83" i="313"/>
  <c r="S82" i="313"/>
  <c r="K82" i="313"/>
  <c r="L82" i="313" s="1"/>
  <c r="P82" i="313" s="1"/>
  <c r="F82" i="313"/>
  <c r="Q81" i="313"/>
  <c r="S81" i="313" s="1"/>
  <c r="K81" i="313"/>
  <c r="G81" i="313"/>
  <c r="F81" i="313"/>
  <c r="S80" i="313"/>
  <c r="K80" i="313"/>
  <c r="L80" i="313" s="1"/>
  <c r="F80" i="313"/>
  <c r="S79" i="313"/>
  <c r="K79" i="313"/>
  <c r="L79" i="313" s="1"/>
  <c r="P79" i="313" s="1"/>
  <c r="F79" i="313"/>
  <c r="S78" i="313"/>
  <c r="K78" i="313"/>
  <c r="G78" i="313"/>
  <c r="F78" i="313"/>
  <c r="S77" i="313"/>
  <c r="K77" i="313"/>
  <c r="L77" i="313" s="1"/>
  <c r="P77" i="313" s="1"/>
  <c r="F77" i="313"/>
  <c r="S76" i="313"/>
  <c r="K76" i="313"/>
  <c r="F76" i="313"/>
  <c r="Q75" i="313"/>
  <c r="S75" i="313" s="1"/>
  <c r="K75" i="313"/>
  <c r="L75" i="313" s="1"/>
  <c r="P75" i="313" s="1"/>
  <c r="F75" i="313"/>
  <c r="S74" i="313"/>
  <c r="K74" i="313"/>
  <c r="L74" i="313" s="1"/>
  <c r="F74" i="313"/>
  <c r="S73" i="313"/>
  <c r="K73" i="313"/>
  <c r="F73" i="313"/>
  <c r="S72" i="313"/>
  <c r="K72" i="313"/>
  <c r="L72" i="313" s="1"/>
  <c r="F72" i="313"/>
  <c r="Q71" i="313"/>
  <c r="K71" i="313"/>
  <c r="L71" i="313" s="1"/>
  <c r="F71" i="313"/>
  <c r="S70" i="313"/>
  <c r="K70" i="313"/>
  <c r="F70" i="313"/>
  <c r="S69" i="313"/>
  <c r="K69" i="313"/>
  <c r="L69" i="313" s="1"/>
  <c r="D69" i="313"/>
  <c r="F69" i="313" s="1"/>
  <c r="Q68" i="313"/>
  <c r="S68" i="313" s="1"/>
  <c r="K68" i="313"/>
  <c r="L68" i="313" s="1"/>
  <c r="G68" i="313"/>
  <c r="F68" i="313"/>
  <c r="S67" i="313"/>
  <c r="S69" i="337" s="1"/>
  <c r="K67" i="313"/>
  <c r="K69" i="337" s="1"/>
  <c r="F67" i="313"/>
  <c r="F69" i="337" s="1"/>
  <c r="S66" i="313"/>
  <c r="K66" i="313"/>
  <c r="F66" i="313"/>
  <c r="S65" i="313"/>
  <c r="K65" i="313"/>
  <c r="L65" i="313" s="1"/>
  <c r="F65" i="313"/>
  <c r="S64" i="313"/>
  <c r="K64" i="313"/>
  <c r="L64" i="313" s="1"/>
  <c r="P64" i="313" s="1"/>
  <c r="F64" i="313"/>
  <c r="S63" i="313"/>
  <c r="K63" i="313"/>
  <c r="F63" i="313"/>
  <c r="S62" i="313"/>
  <c r="K62" i="313"/>
  <c r="L62" i="313" s="1"/>
  <c r="F62" i="313"/>
  <c r="S61" i="313"/>
  <c r="K61" i="313"/>
  <c r="F61" i="313"/>
  <c r="S60" i="313"/>
  <c r="K60" i="313"/>
  <c r="L60" i="313" s="1"/>
  <c r="F60" i="313"/>
  <c r="S59" i="313"/>
  <c r="K59" i="313"/>
  <c r="F59" i="313"/>
  <c r="S58" i="313"/>
  <c r="K58" i="313"/>
  <c r="L58" i="313" s="1"/>
  <c r="F58" i="313"/>
  <c r="S57" i="313"/>
  <c r="K57" i="313"/>
  <c r="L57" i="313" s="1"/>
  <c r="P57" i="313" s="1"/>
  <c r="F57" i="313"/>
  <c r="S56" i="313"/>
  <c r="K56" i="313"/>
  <c r="L56" i="313" s="1"/>
  <c r="P56" i="313" s="1"/>
  <c r="F56" i="313"/>
  <c r="S55" i="313"/>
  <c r="K55" i="313"/>
  <c r="F55" i="313"/>
  <c r="S54" i="313"/>
  <c r="K54" i="313"/>
  <c r="L54" i="313" s="1"/>
  <c r="F54" i="313"/>
  <c r="S53" i="313"/>
  <c r="K53" i="313"/>
  <c r="F53" i="313"/>
  <c r="S52" i="313"/>
  <c r="K52" i="313"/>
  <c r="F52" i="313"/>
  <c r="S51" i="313"/>
  <c r="K51" i="313"/>
  <c r="F51" i="313"/>
  <c r="Q50" i="313"/>
  <c r="S50" i="313" s="1"/>
  <c r="K50" i="313"/>
  <c r="G50" i="313"/>
  <c r="F50" i="313"/>
  <c r="Q49" i="313"/>
  <c r="K49" i="313"/>
  <c r="L49" i="313" s="1"/>
  <c r="G49" i="313"/>
  <c r="F49" i="313"/>
  <c r="AA48" i="313"/>
  <c r="Q48" i="313"/>
  <c r="K48" i="313"/>
  <c r="L48" i="313" s="1"/>
  <c r="G48" i="313"/>
  <c r="F48" i="313"/>
  <c r="S47" i="313"/>
  <c r="K47" i="313"/>
  <c r="L47" i="313" s="1"/>
  <c r="F47" i="313"/>
  <c r="S46" i="313"/>
  <c r="K46" i="313"/>
  <c r="L46" i="313" s="1"/>
  <c r="P46" i="313" s="1"/>
  <c r="F46" i="313"/>
  <c r="S45" i="313"/>
  <c r="K45" i="313"/>
  <c r="L45" i="313" s="1"/>
  <c r="P45" i="313" s="1"/>
  <c r="F45" i="313"/>
  <c r="S44" i="313"/>
  <c r="K44" i="313"/>
  <c r="L44" i="313" s="1"/>
  <c r="F44" i="313"/>
  <c r="AA43" i="313"/>
  <c r="S43" i="313"/>
  <c r="K43" i="313"/>
  <c r="L43" i="313" s="1"/>
  <c r="P43" i="313" s="1"/>
  <c r="D43" i="313"/>
  <c r="F43" i="313" s="1"/>
  <c r="S42" i="313"/>
  <c r="K42" i="313"/>
  <c r="F42" i="313"/>
  <c r="S41" i="313"/>
  <c r="K41" i="313"/>
  <c r="F41" i="313"/>
  <c r="S40" i="313"/>
  <c r="K40" i="313"/>
  <c r="L40" i="313" s="1"/>
  <c r="F40" i="313"/>
  <c r="Q39" i="313"/>
  <c r="K39" i="313"/>
  <c r="L39" i="313" s="1"/>
  <c r="G39" i="313"/>
  <c r="D39" i="313"/>
  <c r="Q38" i="313"/>
  <c r="K38" i="313"/>
  <c r="G38" i="313"/>
  <c r="F38" i="313"/>
  <c r="Q37" i="313"/>
  <c r="K37" i="313"/>
  <c r="G37" i="313"/>
  <c r="F37" i="313"/>
  <c r="S36" i="313"/>
  <c r="K36" i="313"/>
  <c r="L36" i="313" s="1"/>
  <c r="P36" i="313" s="1"/>
  <c r="F36" i="313"/>
  <c r="S35" i="313"/>
  <c r="K35" i="313"/>
  <c r="L35" i="313" s="1"/>
  <c r="P35" i="313" s="1"/>
  <c r="F35" i="313"/>
  <c r="S34" i="313"/>
  <c r="K34" i="313"/>
  <c r="F34" i="313"/>
  <c r="S33" i="313"/>
  <c r="K33" i="313"/>
  <c r="S32" i="313"/>
  <c r="K32" i="313"/>
  <c r="F32" i="313"/>
  <c r="AA31" i="313"/>
  <c r="D5" i="44" s="1"/>
  <c r="Q31" i="313"/>
  <c r="S31" i="313" s="1"/>
  <c r="K31" i="313"/>
  <c r="L31" i="313" s="1"/>
  <c r="G31" i="313"/>
  <c r="F31" i="313"/>
  <c r="Q30" i="313"/>
  <c r="K30" i="313"/>
  <c r="L30" i="313" s="1"/>
  <c r="G30" i="313"/>
  <c r="F30" i="313"/>
  <c r="S29" i="313"/>
  <c r="S103" i="336" s="1"/>
  <c r="K29" i="313"/>
  <c r="L29" i="313" s="1"/>
  <c r="F29" i="313"/>
  <c r="F29" i="337" s="1"/>
  <c r="S28" i="313"/>
  <c r="K28" i="313"/>
  <c r="D28" i="313"/>
  <c r="S27" i="313"/>
  <c r="K27" i="313"/>
  <c r="F27" i="313"/>
  <c r="S26" i="313"/>
  <c r="K26" i="313"/>
  <c r="L26" i="313" s="1"/>
  <c r="G26" i="313"/>
  <c r="E26" i="313"/>
  <c r="S25" i="313"/>
  <c r="K25" i="313"/>
  <c r="F25" i="313"/>
  <c r="S24" i="313"/>
  <c r="K24" i="313"/>
  <c r="F24" i="313"/>
  <c r="S23" i="313"/>
  <c r="K23" i="313"/>
  <c r="L23" i="313" s="1"/>
  <c r="G23" i="313"/>
  <c r="E23" i="313"/>
  <c r="D23" i="313"/>
  <c r="D52" i="336" s="1"/>
  <c r="S22" i="313"/>
  <c r="K22" i="313"/>
  <c r="L22" i="313" s="1"/>
  <c r="F22" i="313"/>
  <c r="S21" i="313"/>
  <c r="J117" i="313"/>
  <c r="I21" i="313"/>
  <c r="I117" i="313" s="1"/>
  <c r="F21" i="313"/>
  <c r="F5" i="336" s="1"/>
  <c r="S20" i="313"/>
  <c r="K20" i="313"/>
  <c r="L20" i="313" s="1"/>
  <c r="D20" i="313"/>
  <c r="F20" i="313" s="1"/>
  <c r="S19" i="313"/>
  <c r="K19" i="313"/>
  <c r="L19" i="313" s="1"/>
  <c r="D19" i="313"/>
  <c r="S18" i="313"/>
  <c r="K18" i="313"/>
  <c r="L18" i="313" s="1"/>
  <c r="F18" i="313"/>
  <c r="S16" i="313"/>
  <c r="K16" i="313"/>
  <c r="L16" i="313" s="1"/>
  <c r="F16" i="313"/>
  <c r="S15" i="313"/>
  <c r="K15" i="313"/>
  <c r="D15" i="313"/>
  <c r="F15" i="313" s="1"/>
  <c r="S14" i="313"/>
  <c r="K14" i="313"/>
  <c r="F14" i="313"/>
  <c r="S13" i="313"/>
  <c r="K13" i="313"/>
  <c r="L13" i="313" s="1"/>
  <c r="F13" i="313"/>
  <c r="S12" i="313"/>
  <c r="K12" i="313"/>
  <c r="L12" i="313" s="1"/>
  <c r="P12" i="313" s="1"/>
  <c r="F12" i="313"/>
  <c r="Q11" i="313"/>
  <c r="Q16" i="336" s="1"/>
  <c r="K11" i="313"/>
  <c r="D11" i="313"/>
  <c r="Q10" i="313"/>
  <c r="K10" i="313"/>
  <c r="L10" i="313" s="1"/>
  <c r="F10" i="313"/>
  <c r="S9" i="313"/>
  <c r="K9" i="313"/>
  <c r="L9" i="313" s="1"/>
  <c r="F9" i="313"/>
  <c r="S8" i="313"/>
  <c r="S13" i="336" s="1"/>
  <c r="K8" i="313"/>
  <c r="K13" i="336" s="1"/>
  <c r="D8" i="313"/>
  <c r="S7" i="313"/>
  <c r="K7" i="313"/>
  <c r="D7" i="313"/>
  <c r="S6" i="313"/>
  <c r="S12" i="336" s="1"/>
  <c r="K6" i="313"/>
  <c r="K12" i="336" s="1"/>
  <c r="F6" i="313"/>
  <c r="A6" i="313"/>
  <c r="S5" i="313"/>
  <c r="K5" i="313"/>
  <c r="F5" i="313"/>
  <c r="E14" i="68"/>
  <c r="S64" i="350"/>
  <c r="K64" i="350"/>
  <c r="L64" i="350" s="1"/>
  <c r="F64" i="350"/>
  <c r="S63" i="350"/>
  <c r="K63" i="350"/>
  <c r="L63" i="350" s="1"/>
  <c r="P63" i="350" s="1"/>
  <c r="D63" i="350"/>
  <c r="F63" i="350" s="1"/>
  <c r="S62" i="350"/>
  <c r="K62" i="350"/>
  <c r="L62" i="350" s="1"/>
  <c r="P62" i="350" s="1"/>
  <c r="D62" i="350"/>
  <c r="S61" i="350"/>
  <c r="K61" i="350"/>
  <c r="D61" i="350"/>
  <c r="F61" i="350" s="1"/>
  <c r="S60" i="350"/>
  <c r="K60" i="350"/>
  <c r="L60" i="350" s="1"/>
  <c r="P60" i="350" s="1"/>
  <c r="F60" i="350"/>
  <c r="S59" i="350"/>
  <c r="K59" i="350"/>
  <c r="L59" i="350" s="1"/>
  <c r="P59" i="350" s="1"/>
  <c r="D59" i="350"/>
  <c r="F59" i="350" s="1"/>
  <c r="S58" i="350"/>
  <c r="K58" i="350"/>
  <c r="L58" i="350" s="1"/>
  <c r="P58" i="350" s="1"/>
  <c r="F58" i="350"/>
  <c r="S57" i="350"/>
  <c r="K57" i="350"/>
  <c r="L57" i="350" s="1"/>
  <c r="P57" i="350" s="1"/>
  <c r="F57" i="350"/>
  <c r="S56" i="350"/>
  <c r="K56" i="350"/>
  <c r="L56" i="350" s="1"/>
  <c r="P56" i="350" s="1"/>
  <c r="F56" i="350"/>
  <c r="S55" i="350"/>
  <c r="K55" i="350"/>
  <c r="L55" i="350" s="1"/>
  <c r="P55" i="350" s="1"/>
  <c r="F55" i="350"/>
  <c r="S54" i="350"/>
  <c r="N54" i="350"/>
  <c r="N65" i="350" s="1"/>
  <c r="K54" i="350"/>
  <c r="L54" i="350" s="1"/>
  <c r="P54" i="350" s="1"/>
  <c r="F54" i="350"/>
  <c r="S53" i="350"/>
  <c r="K53" i="350"/>
  <c r="L53" i="350" s="1"/>
  <c r="P53" i="350" s="1"/>
  <c r="F53" i="350"/>
  <c r="S52" i="350"/>
  <c r="K52" i="350"/>
  <c r="L52" i="350" s="1"/>
  <c r="P52" i="350" s="1"/>
  <c r="F52" i="350"/>
  <c r="S51" i="350"/>
  <c r="K51" i="350"/>
  <c r="L51" i="350" s="1"/>
  <c r="P51" i="350" s="1"/>
  <c r="F51" i="350"/>
  <c r="S50" i="350"/>
  <c r="K50" i="350"/>
  <c r="L50" i="350" s="1"/>
  <c r="F50" i="350"/>
  <c r="S49" i="350"/>
  <c r="K49" i="350"/>
  <c r="L49" i="350" s="1"/>
  <c r="G49" i="350"/>
  <c r="G65" i="350" s="1"/>
  <c r="F49" i="350"/>
  <c r="S48" i="350"/>
  <c r="K48" i="350"/>
  <c r="L48" i="350" s="1"/>
  <c r="P48" i="350" s="1"/>
  <c r="F48" i="350"/>
  <c r="S47" i="350"/>
  <c r="K47" i="350"/>
  <c r="L47" i="350" s="1"/>
  <c r="P47" i="350" s="1"/>
  <c r="F47" i="350"/>
  <c r="S46" i="350"/>
  <c r="K46" i="350"/>
  <c r="L46" i="350" s="1"/>
  <c r="P46" i="350" s="1"/>
  <c r="F46" i="350"/>
  <c r="S45" i="350"/>
  <c r="K45" i="350"/>
  <c r="L45" i="350" s="1"/>
  <c r="F45" i="350"/>
  <c r="S44" i="350"/>
  <c r="K44" i="350"/>
  <c r="L44" i="350" s="1"/>
  <c r="F44" i="350"/>
  <c r="S43" i="350"/>
  <c r="K43" i="350"/>
  <c r="L43" i="350" s="1"/>
  <c r="F43" i="350"/>
  <c r="S42" i="350"/>
  <c r="K42" i="350"/>
  <c r="L42" i="350" s="1"/>
  <c r="P42" i="350" s="1"/>
  <c r="D42" i="350"/>
  <c r="F42" i="350" s="1"/>
  <c r="S41" i="350"/>
  <c r="K41" i="350"/>
  <c r="L41" i="350" s="1"/>
  <c r="P41" i="350" s="1"/>
  <c r="F41" i="350"/>
  <c r="S40" i="350"/>
  <c r="K40" i="350"/>
  <c r="L40" i="350" s="1"/>
  <c r="P40" i="350" s="1"/>
  <c r="F40" i="350"/>
  <c r="S39" i="350"/>
  <c r="K39" i="350"/>
  <c r="L39" i="350" s="1"/>
  <c r="F39" i="350"/>
  <c r="S38" i="350"/>
  <c r="K38" i="350"/>
  <c r="L38" i="350" s="1"/>
  <c r="P38" i="350" s="1"/>
  <c r="F38" i="350"/>
  <c r="S37" i="350"/>
  <c r="K37" i="350"/>
  <c r="L37" i="350" s="1"/>
  <c r="F37" i="350"/>
  <c r="S36" i="350"/>
  <c r="K36" i="350"/>
  <c r="L36" i="350" s="1"/>
  <c r="P36" i="350" s="1"/>
  <c r="F36" i="350"/>
  <c r="S35" i="350"/>
  <c r="K35" i="350"/>
  <c r="L35" i="350" s="1"/>
  <c r="P35" i="350" s="1"/>
  <c r="F35" i="350"/>
  <c r="S34" i="350"/>
  <c r="K34" i="350"/>
  <c r="L34" i="350" s="1"/>
  <c r="F34" i="350"/>
  <c r="S33" i="350"/>
  <c r="K33" i="350"/>
  <c r="L33" i="350" s="1"/>
  <c r="P33" i="350" s="1"/>
  <c r="F33" i="350"/>
  <c r="S32" i="350"/>
  <c r="K32" i="350"/>
  <c r="L32" i="350" s="1"/>
  <c r="P32" i="350" s="1"/>
  <c r="F32" i="350"/>
  <c r="S31" i="350"/>
  <c r="K31" i="350"/>
  <c r="L31" i="350" s="1"/>
  <c r="P31" i="350" s="1"/>
  <c r="F31" i="350"/>
  <c r="S30" i="350"/>
  <c r="K30" i="350"/>
  <c r="L30" i="350" s="1"/>
  <c r="P30" i="350" s="1"/>
  <c r="F30" i="350"/>
  <c r="S29" i="350"/>
  <c r="K29" i="350"/>
  <c r="F29" i="350"/>
  <c r="S28" i="350"/>
  <c r="K28" i="350"/>
  <c r="L28" i="350" s="1"/>
  <c r="F28" i="350"/>
  <c r="S27" i="350"/>
  <c r="K27" i="350"/>
  <c r="L27" i="350" s="1"/>
  <c r="P27" i="350" s="1"/>
  <c r="F27" i="350"/>
  <c r="S26" i="350"/>
  <c r="K26" i="350"/>
  <c r="L26" i="350" s="1"/>
  <c r="F26" i="350"/>
  <c r="S25" i="350"/>
  <c r="K25" i="350"/>
  <c r="L25" i="350" s="1"/>
  <c r="P25" i="350" s="1"/>
  <c r="F25" i="350"/>
  <c r="S24" i="350"/>
  <c r="K24" i="350"/>
  <c r="L24" i="350" s="1"/>
  <c r="P24" i="350" s="1"/>
  <c r="F24" i="350"/>
  <c r="S23" i="350"/>
  <c r="K23" i="350"/>
  <c r="L23" i="350" s="1"/>
  <c r="F23" i="350"/>
  <c r="S22" i="350"/>
  <c r="K22" i="350"/>
  <c r="L22" i="350" s="1"/>
  <c r="P22" i="350" s="1"/>
  <c r="F22" i="350"/>
  <c r="S21" i="350"/>
  <c r="K21" i="350"/>
  <c r="L21" i="350" s="1"/>
  <c r="F21" i="350"/>
  <c r="S20" i="350"/>
  <c r="K20" i="350"/>
  <c r="L20" i="350" s="1"/>
  <c r="F20" i="350"/>
  <c r="S19" i="350"/>
  <c r="K19" i="350"/>
  <c r="L19" i="350" s="1"/>
  <c r="P19" i="350" s="1"/>
  <c r="F19" i="350"/>
  <c r="S18" i="350"/>
  <c r="K18" i="350"/>
  <c r="L18" i="350" s="1"/>
  <c r="F18" i="350"/>
  <c r="S16" i="350"/>
  <c r="K16" i="350"/>
  <c r="L16" i="350" s="1"/>
  <c r="P16" i="350" s="1"/>
  <c r="F16" i="350"/>
  <c r="S15" i="350"/>
  <c r="K15" i="350"/>
  <c r="L15" i="350" s="1"/>
  <c r="P15" i="350" s="1"/>
  <c r="D15" i="350"/>
  <c r="F15" i="350" s="1"/>
  <c r="S14" i="350"/>
  <c r="K14" i="350"/>
  <c r="L14" i="350" s="1"/>
  <c r="P14" i="350" s="1"/>
  <c r="F14" i="350"/>
  <c r="S13" i="350"/>
  <c r="K13" i="350"/>
  <c r="L13" i="350" s="1"/>
  <c r="P13" i="350" s="1"/>
  <c r="M13" i="350" s="1"/>
  <c r="D13" i="350"/>
  <c r="S12" i="350"/>
  <c r="K12" i="350"/>
  <c r="L12" i="350" s="1"/>
  <c r="F12" i="350"/>
  <c r="S11" i="350"/>
  <c r="K11" i="350"/>
  <c r="L11" i="350" s="1"/>
  <c r="F11" i="350"/>
  <c r="S10" i="350"/>
  <c r="K10" i="350"/>
  <c r="L10" i="350" s="1"/>
  <c r="P10" i="350" s="1"/>
  <c r="F10" i="350"/>
  <c r="S9" i="350"/>
  <c r="K9" i="350"/>
  <c r="L9" i="350" s="1"/>
  <c r="F9" i="350"/>
  <c r="S8" i="350"/>
  <c r="K8" i="350"/>
  <c r="L8" i="350" s="1"/>
  <c r="F8" i="350"/>
  <c r="S7" i="350"/>
  <c r="J7" i="350"/>
  <c r="J65" i="350" s="1"/>
  <c r="F7" i="350"/>
  <c r="S6" i="350"/>
  <c r="K6" i="350"/>
  <c r="L6" i="350" s="1"/>
  <c r="F6" i="350"/>
  <c r="A6" i="350"/>
  <c r="S5" i="350"/>
  <c r="K5" i="350"/>
  <c r="F5" i="350"/>
  <c r="J14" i="44"/>
  <c r="I14" i="44"/>
  <c r="K13" i="44"/>
  <c r="K14" i="44" s="1"/>
  <c r="C13" i="44"/>
  <c r="O12" i="44"/>
  <c r="O11" i="44"/>
  <c r="B10" i="44"/>
  <c r="O10" i="44" s="1"/>
  <c r="O9" i="44"/>
  <c r="O8" i="44"/>
  <c r="L7" i="44"/>
  <c r="O7" i="44" s="1"/>
  <c r="G14" i="44"/>
  <c r="F6" i="44"/>
  <c r="F14" i="44" s="1"/>
  <c r="E6" i="44"/>
  <c r="H14" i="44"/>
  <c r="F10" i="43" s="1"/>
  <c r="M4" i="44"/>
  <c r="M14" i="44" s="1"/>
  <c r="F5" i="43" s="1"/>
  <c r="C4" i="44"/>
  <c r="X24" i="97"/>
  <c r="W24" i="97"/>
  <c r="V24" i="97"/>
  <c r="Y20" i="97"/>
  <c r="X20" i="97"/>
  <c r="W20" i="97"/>
  <c r="V20" i="97"/>
  <c r="U20" i="97"/>
  <c r="T20" i="97"/>
  <c r="S20" i="97"/>
  <c r="R20" i="97"/>
  <c r="Q20" i="97"/>
  <c r="P20" i="97"/>
  <c r="O20" i="97"/>
  <c r="N20" i="97"/>
  <c r="M20" i="97"/>
  <c r="L20" i="97"/>
  <c r="K20" i="97"/>
  <c r="J20" i="97"/>
  <c r="I20" i="97"/>
  <c r="H20" i="97"/>
  <c r="G20" i="97"/>
  <c r="F20" i="97"/>
  <c r="E20" i="97"/>
  <c r="D20" i="97"/>
  <c r="C20" i="97"/>
  <c r="B20" i="97"/>
  <c r="E14" i="61"/>
  <c r="X24" i="12"/>
  <c r="W24" i="12"/>
  <c r="V24" i="12"/>
  <c r="W12" i="12"/>
  <c r="V12" i="12"/>
  <c r="T12" i="12"/>
  <c r="O12" i="12"/>
  <c r="H12" i="12"/>
  <c r="G12" i="12"/>
  <c r="C12" i="12"/>
  <c r="X11" i="12"/>
  <c r="W11" i="12"/>
  <c r="V11" i="12"/>
  <c r="G12" i="43"/>
  <c r="G21" i="38"/>
  <c r="F21" i="38"/>
  <c r="H20" i="38"/>
  <c r="H19" i="38"/>
  <c r="E19" i="38"/>
  <c r="H18" i="38"/>
  <c r="H17" i="38"/>
  <c r="G16" i="38"/>
  <c r="F16" i="38"/>
  <c r="C16" i="38"/>
  <c r="C20" i="38" s="1"/>
  <c r="H15" i="38"/>
  <c r="E15" i="38"/>
  <c r="H14" i="38"/>
  <c r="E14" i="38"/>
  <c r="H13" i="38"/>
  <c r="E13" i="38"/>
  <c r="H12" i="38"/>
  <c r="H11" i="38"/>
  <c r="E11" i="38"/>
  <c r="H10" i="38"/>
  <c r="E10" i="38"/>
  <c r="H9" i="38"/>
  <c r="E9" i="38"/>
  <c r="G14" i="100"/>
  <c r="G18" i="42"/>
  <c r="F22" i="61"/>
  <c r="E19" i="61"/>
  <c r="E16" i="61"/>
  <c r="E13" i="61"/>
  <c r="I22" i="40"/>
  <c r="H22" i="40"/>
  <c r="G22" i="40"/>
  <c r="F22" i="40"/>
  <c r="E22" i="40"/>
  <c r="D22" i="40"/>
  <c r="J22" i="40" s="1"/>
  <c r="D15" i="40"/>
  <c r="S65" i="350" l="1"/>
  <c r="G123" i="340"/>
  <c r="K123" i="340"/>
  <c r="O123" i="340"/>
  <c r="S123" i="340"/>
  <c r="W123" i="340"/>
  <c r="AA123" i="340"/>
  <c r="N23" i="341"/>
  <c r="M15" i="341"/>
  <c r="O15" i="341" s="1"/>
  <c r="M16" i="341"/>
  <c r="O16" i="341" s="1"/>
  <c r="M17" i="341"/>
  <c r="T17" i="341" s="1"/>
  <c r="U17" i="341" s="1"/>
  <c r="W17" i="341" s="1"/>
  <c r="P22" i="341"/>
  <c r="M6" i="343"/>
  <c r="T6" i="343" s="1"/>
  <c r="U6" i="343" s="1"/>
  <c r="V6" i="343" s="1"/>
  <c r="E21" i="347"/>
  <c r="I21" i="347"/>
  <c r="M21" i="347"/>
  <c r="Q21" i="347"/>
  <c r="U21" i="347"/>
  <c r="Y21" i="347"/>
  <c r="P11" i="345"/>
  <c r="M12" i="345"/>
  <c r="T12" i="345" s="1"/>
  <c r="U12" i="345" s="1"/>
  <c r="V12" i="345" s="1"/>
  <c r="E20" i="346"/>
  <c r="I20" i="346"/>
  <c r="M20" i="346"/>
  <c r="Q20" i="346"/>
  <c r="U20" i="346"/>
  <c r="Y20" i="346"/>
  <c r="P20" i="346"/>
  <c r="L36" i="346"/>
  <c r="L5" i="350"/>
  <c r="D123" i="340"/>
  <c r="H123" i="340"/>
  <c r="L124" i="340" s="1"/>
  <c r="L123" i="340"/>
  <c r="P123" i="340"/>
  <c r="T123" i="340"/>
  <c r="X123" i="340"/>
  <c r="M14" i="341"/>
  <c r="O14" i="341" s="1"/>
  <c r="P20" i="341"/>
  <c r="F21" i="347"/>
  <c r="J21" i="347"/>
  <c r="N21" i="347"/>
  <c r="R21" i="347"/>
  <c r="V21" i="347"/>
  <c r="Z21" i="347"/>
  <c r="P10" i="345"/>
  <c r="P15" i="345"/>
  <c r="T16" i="345"/>
  <c r="U16" i="345" s="1"/>
  <c r="V16" i="345" s="1"/>
  <c r="M16" i="345"/>
  <c r="D20" i="346"/>
  <c r="T20" i="346"/>
  <c r="E36" i="346"/>
  <c r="E38" i="346" s="1"/>
  <c r="I36" i="346"/>
  <c r="I38" i="346" s="1"/>
  <c r="M36" i="346"/>
  <c r="M38" i="346" s="1"/>
  <c r="Q36" i="346"/>
  <c r="Q38" i="346" s="1"/>
  <c r="U36" i="346"/>
  <c r="U38" i="346" s="1"/>
  <c r="Y36" i="346"/>
  <c r="Y38" i="346" s="1"/>
  <c r="P36" i="346"/>
  <c r="P38" i="346" s="1"/>
  <c r="E30" i="349"/>
  <c r="I30" i="349"/>
  <c r="M30" i="349"/>
  <c r="Q30" i="349"/>
  <c r="U30" i="349"/>
  <c r="Y30" i="349"/>
  <c r="M46" i="350"/>
  <c r="E123" i="340"/>
  <c r="I123" i="340"/>
  <c r="M123" i="340"/>
  <c r="Q123" i="340"/>
  <c r="U123" i="340"/>
  <c r="Y123" i="340"/>
  <c r="M6" i="341"/>
  <c r="O6" i="341" s="1"/>
  <c r="M7" i="341"/>
  <c r="O7" i="341" s="1"/>
  <c r="M8" i="341"/>
  <c r="O8" i="341" s="1"/>
  <c r="M9" i="341"/>
  <c r="O9" i="341" s="1"/>
  <c r="M11" i="341"/>
  <c r="O11" i="341" s="1"/>
  <c r="M12" i="341"/>
  <c r="O12" i="341" s="1"/>
  <c r="M13" i="341"/>
  <c r="O13" i="341" s="1"/>
  <c r="O17" i="341"/>
  <c r="P19" i="341"/>
  <c r="F17" i="342"/>
  <c r="J17" i="342"/>
  <c r="N17" i="342"/>
  <c r="R17" i="342"/>
  <c r="V17" i="342"/>
  <c r="G21" i="347"/>
  <c r="K21" i="347"/>
  <c r="O21" i="347"/>
  <c r="S21" i="347"/>
  <c r="W21" i="347"/>
  <c r="AA21" i="347"/>
  <c r="P9" i="345"/>
  <c r="P14" i="345"/>
  <c r="L18" i="345"/>
  <c r="P18" i="345" s="1"/>
  <c r="G20" i="346"/>
  <c r="K20" i="346"/>
  <c r="L21" i="346" s="1"/>
  <c r="O20" i="346"/>
  <c r="S20" i="346"/>
  <c r="W20" i="346"/>
  <c r="AA20" i="346"/>
  <c r="H20" i="346"/>
  <c r="X20" i="346"/>
  <c r="F36" i="346"/>
  <c r="F38" i="346" s="1"/>
  <c r="J36" i="346"/>
  <c r="J38" i="346" s="1"/>
  <c r="N36" i="346"/>
  <c r="N38" i="346" s="1"/>
  <c r="R36" i="346"/>
  <c r="R38" i="346" s="1"/>
  <c r="V36" i="346"/>
  <c r="V38" i="346" s="1"/>
  <c r="Z36" i="346"/>
  <c r="Z38" i="346" s="1"/>
  <c r="D36" i="346"/>
  <c r="D38" i="346" s="1"/>
  <c r="T36" i="346"/>
  <c r="T38" i="346" s="1"/>
  <c r="F123" i="340"/>
  <c r="J123" i="340"/>
  <c r="N123" i="340"/>
  <c r="R123" i="340"/>
  <c r="V123" i="340"/>
  <c r="Z123" i="340"/>
  <c r="P23" i="341"/>
  <c r="M5" i="341"/>
  <c r="M18" i="341"/>
  <c r="O18" i="341" s="1"/>
  <c r="G17" i="342"/>
  <c r="K17" i="342"/>
  <c r="L18" i="342" s="1"/>
  <c r="O17" i="342"/>
  <c r="S17" i="342"/>
  <c r="W17" i="342"/>
  <c r="D21" i="347"/>
  <c r="H21" i="347"/>
  <c r="L22" i="347" s="1"/>
  <c r="L21" i="347"/>
  <c r="P21" i="347"/>
  <c r="T21" i="347"/>
  <c r="X21" i="347"/>
  <c r="M6" i="345"/>
  <c r="O6" i="345" s="1"/>
  <c r="P7" i="345"/>
  <c r="M8" i="345"/>
  <c r="T8" i="345" s="1"/>
  <c r="U8" i="345" s="1"/>
  <c r="V8" i="345" s="1"/>
  <c r="P13" i="345"/>
  <c r="L20" i="346"/>
  <c r="G36" i="346"/>
  <c r="G38" i="346" s="1"/>
  <c r="P39" i="346" s="1"/>
  <c r="T39" i="346" s="1"/>
  <c r="K36" i="346"/>
  <c r="K38" i="346" s="1"/>
  <c r="O36" i="346"/>
  <c r="O38" i="346" s="1"/>
  <c r="S36" i="346"/>
  <c r="S38" i="346" s="1"/>
  <c r="W36" i="346"/>
  <c r="W38" i="346" s="1"/>
  <c r="AA36" i="346"/>
  <c r="AA38" i="346" s="1"/>
  <c r="H36" i="346"/>
  <c r="H38" i="346" s="1"/>
  <c r="L39" i="346" s="1"/>
  <c r="X36" i="346"/>
  <c r="X38" i="346" s="1"/>
  <c r="G30" i="349"/>
  <c r="K30" i="349"/>
  <c r="O30" i="349"/>
  <c r="S30" i="349"/>
  <c r="W30" i="349"/>
  <c r="AA30" i="349"/>
  <c r="A30" i="349"/>
  <c r="P21" i="341"/>
  <c r="D23" i="341"/>
  <c r="L23" i="341"/>
  <c r="P24" i="341" s="1"/>
  <c r="L5" i="343"/>
  <c r="S74" i="371"/>
  <c r="Q7" i="370" s="1"/>
  <c r="T14" i="371"/>
  <c r="U14" i="371" s="1"/>
  <c r="M14" i="371"/>
  <c r="P18" i="371"/>
  <c r="P20" i="371"/>
  <c r="P21" i="371"/>
  <c r="T24" i="371"/>
  <c r="M24" i="371"/>
  <c r="M32" i="371"/>
  <c r="T32" i="371" s="1"/>
  <c r="U32" i="371" s="1"/>
  <c r="M40" i="371"/>
  <c r="T40" i="371" s="1"/>
  <c r="U40" i="371" s="1"/>
  <c r="T49" i="371"/>
  <c r="U49" i="371" s="1"/>
  <c r="M49" i="371"/>
  <c r="P51" i="371"/>
  <c r="P52" i="371"/>
  <c r="O66" i="371"/>
  <c r="P8" i="372"/>
  <c r="P11" i="372"/>
  <c r="P12" i="372"/>
  <c r="P15" i="372"/>
  <c r="M18" i="372"/>
  <c r="T18" i="372" s="1"/>
  <c r="U18" i="372" s="1"/>
  <c r="P24" i="372"/>
  <c r="P26" i="372"/>
  <c r="P29" i="372"/>
  <c r="T34" i="372"/>
  <c r="M34" i="372"/>
  <c r="P36" i="372"/>
  <c r="P40" i="372"/>
  <c r="M41" i="372"/>
  <c r="T41" i="372" s="1"/>
  <c r="S10" i="341"/>
  <c r="S23" i="341" s="1"/>
  <c r="Z12" i="12"/>
  <c r="F7" i="381"/>
  <c r="A130" i="354"/>
  <c r="A133" i="354" s="1"/>
  <c r="R9" i="44"/>
  <c r="O8" i="345"/>
  <c r="O12" i="345"/>
  <c r="O16" i="345"/>
  <c r="T12" i="371"/>
  <c r="U12" i="371" s="1"/>
  <c r="M12" i="371"/>
  <c r="T17" i="371"/>
  <c r="M17" i="371"/>
  <c r="P23" i="371"/>
  <c r="U24" i="371"/>
  <c r="T27" i="371"/>
  <c r="M27" i="371"/>
  <c r="O27" i="371" s="1"/>
  <c r="P29" i="371"/>
  <c r="P31" i="371"/>
  <c r="P33" i="371"/>
  <c r="P35" i="371"/>
  <c r="P39" i="371"/>
  <c r="P48" i="371"/>
  <c r="P50" i="371"/>
  <c r="T60" i="371"/>
  <c r="U60" i="371" s="1"/>
  <c r="M60" i="371"/>
  <c r="T61" i="371"/>
  <c r="U61" i="371" s="1"/>
  <c r="M61" i="371"/>
  <c r="O62" i="371"/>
  <c r="O63" i="371"/>
  <c r="P64" i="371"/>
  <c r="AO65" i="371"/>
  <c r="V65" i="371"/>
  <c r="P7" i="372"/>
  <c r="T17" i="372"/>
  <c r="M17" i="372"/>
  <c r="P19" i="372"/>
  <c r="P22" i="372"/>
  <c r="M27" i="372"/>
  <c r="T27" i="372" s="1"/>
  <c r="U27" i="372" s="1"/>
  <c r="M28" i="372"/>
  <c r="T28" i="372" s="1"/>
  <c r="U28" i="372" s="1"/>
  <c r="O34" i="372"/>
  <c r="U34" i="372"/>
  <c r="P39" i="372"/>
  <c r="L5" i="345"/>
  <c r="F30" i="349"/>
  <c r="J30" i="349"/>
  <c r="N30" i="349"/>
  <c r="R30" i="349"/>
  <c r="V30" i="349"/>
  <c r="Z30" i="349"/>
  <c r="AO16" i="370"/>
  <c r="F23" i="40" s="1"/>
  <c r="AW16" i="370"/>
  <c r="P6" i="371"/>
  <c r="L74" i="371"/>
  <c r="J7" i="370" s="1"/>
  <c r="T7" i="371"/>
  <c r="U7" i="371" s="1"/>
  <c r="M7" i="371"/>
  <c r="O7" i="371" s="1"/>
  <c r="O14" i="371"/>
  <c r="P15" i="371"/>
  <c r="P19" i="371"/>
  <c r="P22" i="371"/>
  <c r="U27" i="371"/>
  <c r="O32" i="371"/>
  <c r="P37" i="371"/>
  <c r="P38" i="371"/>
  <c r="P45" i="371"/>
  <c r="O49" i="371"/>
  <c r="T57" i="371"/>
  <c r="U57" i="371" s="1"/>
  <c r="M57" i="371"/>
  <c r="T59" i="371"/>
  <c r="M59" i="371"/>
  <c r="O59" i="371" s="1"/>
  <c r="AO62" i="371"/>
  <c r="V62" i="371"/>
  <c r="P10" i="372"/>
  <c r="U17" i="372"/>
  <c r="P21" i="372"/>
  <c r="P25" i="372"/>
  <c r="T31" i="372"/>
  <c r="M31" i="372"/>
  <c r="M33" i="372"/>
  <c r="T33" i="372" s="1"/>
  <c r="U33" i="372" s="1"/>
  <c r="T37" i="372"/>
  <c r="U37" i="372" s="1"/>
  <c r="M37" i="372"/>
  <c r="O37" i="372" s="1"/>
  <c r="V46" i="372"/>
  <c r="AO46" i="372"/>
  <c r="O6" i="343"/>
  <c r="S19" i="356"/>
  <c r="T10" i="371"/>
  <c r="U10" i="371" s="1"/>
  <c r="M10" i="371"/>
  <c r="M13" i="371"/>
  <c r="T13" i="371" s="1"/>
  <c r="O17" i="371"/>
  <c r="P26" i="371"/>
  <c r="P28" i="371"/>
  <c r="M30" i="371"/>
  <c r="O30" i="371" s="1"/>
  <c r="P34" i="371"/>
  <c r="P36" i="371"/>
  <c r="O40" i="371"/>
  <c r="P42" i="371"/>
  <c r="T43" i="371"/>
  <c r="U43" i="371" s="1"/>
  <c r="M43" i="371"/>
  <c r="T44" i="371"/>
  <c r="U44" i="371" s="1"/>
  <c r="M44" i="371"/>
  <c r="P46" i="371"/>
  <c r="P47" i="371"/>
  <c r="P58" i="371"/>
  <c r="U59" i="371"/>
  <c r="M73" i="371"/>
  <c r="T73" i="371" s="1"/>
  <c r="U73" i="371" s="1"/>
  <c r="P9" i="372"/>
  <c r="P13" i="372"/>
  <c r="M14" i="372"/>
  <c r="T14" i="372" s="1"/>
  <c r="U14" i="372" s="1"/>
  <c r="M16" i="372"/>
  <c r="O16" i="372" s="1"/>
  <c r="O17" i="372"/>
  <c r="P20" i="372"/>
  <c r="M30" i="372"/>
  <c r="T30" i="372" s="1"/>
  <c r="U30" i="372" s="1"/>
  <c r="O31" i="372"/>
  <c r="U31" i="372"/>
  <c r="M35" i="372"/>
  <c r="T35" i="372" s="1"/>
  <c r="U35" i="372" s="1"/>
  <c r="M42" i="372"/>
  <c r="T42" i="372" s="1"/>
  <c r="U42" i="372" s="1"/>
  <c r="P8" i="371"/>
  <c r="P9" i="371"/>
  <c r="O10" i="371"/>
  <c r="P11" i="371"/>
  <c r="P16" i="371"/>
  <c r="O24" i="371"/>
  <c r="P25" i="371"/>
  <c r="P41" i="371"/>
  <c r="O43" i="371"/>
  <c r="O44" i="371"/>
  <c r="P53" i="371"/>
  <c r="P54" i="371"/>
  <c r="P55" i="371"/>
  <c r="P56" i="371"/>
  <c r="O60" i="371"/>
  <c r="O61" i="371"/>
  <c r="P68" i="371"/>
  <c r="P70" i="371"/>
  <c r="P71" i="371"/>
  <c r="P72" i="371"/>
  <c r="K74" i="371"/>
  <c r="I7" i="370" s="1"/>
  <c r="AN76" i="371"/>
  <c r="AN78" i="371" s="1"/>
  <c r="S107" i="372"/>
  <c r="P38" i="372"/>
  <c r="U41" i="372"/>
  <c r="T43" i="372"/>
  <c r="U43" i="372" s="1"/>
  <c r="T47" i="372"/>
  <c r="U47" i="372" s="1"/>
  <c r="P49" i="372"/>
  <c r="T52" i="372"/>
  <c r="U52" i="372" s="1"/>
  <c r="M52" i="372"/>
  <c r="P59" i="372"/>
  <c r="M61" i="372"/>
  <c r="T61" i="372" s="1"/>
  <c r="U61" i="372" s="1"/>
  <c r="P66" i="372"/>
  <c r="T70" i="372"/>
  <c r="U70" i="372" s="1"/>
  <c r="M70" i="372"/>
  <c r="P72" i="372"/>
  <c r="T73" i="372"/>
  <c r="U73" i="372" s="1"/>
  <c r="M73" i="372"/>
  <c r="M79" i="372"/>
  <c r="T79" i="372" s="1"/>
  <c r="U79" i="372" s="1"/>
  <c r="P81" i="372"/>
  <c r="M83" i="372"/>
  <c r="T83" i="372"/>
  <c r="P92" i="372"/>
  <c r="P96" i="372"/>
  <c r="M97" i="372"/>
  <c r="T97" i="372" s="1"/>
  <c r="U97" i="372" s="1"/>
  <c r="P102" i="372"/>
  <c r="P103" i="372"/>
  <c r="AH124" i="372"/>
  <c r="AE8" i="370" s="1"/>
  <c r="P118" i="372"/>
  <c r="T120" i="372"/>
  <c r="U120" i="372" s="1"/>
  <c r="M120" i="372"/>
  <c r="J124" i="372"/>
  <c r="H8" i="370" s="1"/>
  <c r="BA124" i="372"/>
  <c r="AX8" i="370" s="1"/>
  <c r="AX16" i="370" s="1"/>
  <c r="AX36" i="370" s="1"/>
  <c r="P42" i="373"/>
  <c r="M42" i="373" s="1"/>
  <c r="T42" i="373" s="1"/>
  <c r="U42" i="373" s="1"/>
  <c r="O42" i="373"/>
  <c r="M7" i="374"/>
  <c r="O7" i="374" s="1"/>
  <c r="T9" i="374"/>
  <c r="M9" i="374"/>
  <c r="O9" i="374" s="1"/>
  <c r="M13" i="374"/>
  <c r="O13" i="374" s="1"/>
  <c r="P23" i="374"/>
  <c r="P10" i="375"/>
  <c r="M13" i="375"/>
  <c r="T13" i="375" s="1"/>
  <c r="U13" i="375" s="1"/>
  <c r="F27" i="371"/>
  <c r="F30" i="371"/>
  <c r="F40" i="371"/>
  <c r="AO48" i="371"/>
  <c r="D74" i="371"/>
  <c r="B7" i="370" s="1"/>
  <c r="AN74" i="371"/>
  <c r="AK7" i="370" s="1"/>
  <c r="F23" i="372"/>
  <c r="O27" i="372"/>
  <c r="O28" i="372"/>
  <c r="O33" i="372"/>
  <c r="F37" i="372"/>
  <c r="O41" i="372"/>
  <c r="M44" i="372"/>
  <c r="T44" i="372" s="1"/>
  <c r="U44" i="372" s="1"/>
  <c r="P45" i="372"/>
  <c r="O46" i="372"/>
  <c r="F46" i="372"/>
  <c r="M48" i="372"/>
  <c r="O48" i="372" s="1"/>
  <c r="M51" i="372"/>
  <c r="T51" i="372" s="1"/>
  <c r="U51" i="372" s="1"/>
  <c r="P53" i="372"/>
  <c r="P55" i="372"/>
  <c r="M58" i="372"/>
  <c r="T58" i="372" s="1"/>
  <c r="U58" i="372" s="1"/>
  <c r="P62" i="372"/>
  <c r="P64" i="372"/>
  <c r="T69" i="372"/>
  <c r="M69" i="372"/>
  <c r="M75" i="372"/>
  <c r="T75" i="372" s="1"/>
  <c r="U75" i="372" s="1"/>
  <c r="M78" i="372"/>
  <c r="T78" i="372" s="1"/>
  <c r="U78" i="372" s="1"/>
  <c r="P80" i="372"/>
  <c r="U83" i="372"/>
  <c r="T86" i="372"/>
  <c r="U86" i="372" s="1"/>
  <c r="M86" i="372"/>
  <c r="P87" i="372"/>
  <c r="P91" i="372"/>
  <c r="P99" i="372"/>
  <c r="T101" i="372"/>
  <c r="U101" i="372" s="1"/>
  <c r="M101" i="372"/>
  <c r="T104" i="372"/>
  <c r="U104" i="372" s="1"/>
  <c r="M104" i="372"/>
  <c r="P111" i="372"/>
  <c r="M113" i="372"/>
  <c r="O113" i="372" s="1"/>
  <c r="P122" i="372"/>
  <c r="E124" i="372"/>
  <c r="C8" i="370" s="1"/>
  <c r="AK124" i="372"/>
  <c r="AH8" i="370" s="1"/>
  <c r="AH16" i="370" s="1"/>
  <c r="AH36" i="370" s="1"/>
  <c r="P36" i="373"/>
  <c r="M36" i="373" s="1"/>
  <c r="T36" i="373" s="1"/>
  <c r="U36" i="373" s="1"/>
  <c r="O36" i="373"/>
  <c r="M15" i="374"/>
  <c r="O15" i="374" s="1"/>
  <c r="T18" i="374"/>
  <c r="U18" i="374" s="1"/>
  <c r="M18" i="374"/>
  <c r="O18" i="374" s="1"/>
  <c r="P20" i="374"/>
  <c r="O13" i="375"/>
  <c r="F7" i="371"/>
  <c r="F74" i="371" s="1"/>
  <c r="D7" i="370" s="1"/>
  <c r="O12" i="371"/>
  <c r="F13" i="371"/>
  <c r="F32" i="371"/>
  <c r="F49" i="371"/>
  <c r="O57" i="371"/>
  <c r="F59" i="371"/>
  <c r="AP66" i="371"/>
  <c r="AP74" i="371" s="1"/>
  <c r="AM7" i="370" s="1"/>
  <c r="F67" i="371"/>
  <c r="O73" i="371"/>
  <c r="Q74" i="371"/>
  <c r="O7" i="370" s="1"/>
  <c r="K107" i="372"/>
  <c r="AP6" i="372"/>
  <c r="F14" i="372"/>
  <c r="F107" i="372" s="1"/>
  <c r="F16" i="372"/>
  <c r="F17" i="372"/>
  <c r="O18" i="372"/>
  <c r="O30" i="372"/>
  <c r="P32" i="372"/>
  <c r="O35" i="372"/>
  <c r="O42" i="372"/>
  <c r="F42" i="372"/>
  <c r="O43" i="372"/>
  <c r="O47" i="372"/>
  <c r="P54" i="372"/>
  <c r="M57" i="372"/>
  <c r="T57" i="372" s="1"/>
  <c r="U57" i="372" s="1"/>
  <c r="M60" i="372"/>
  <c r="T60" i="372" s="1"/>
  <c r="U60" i="372" s="1"/>
  <c r="O61" i="372"/>
  <c r="T68" i="372"/>
  <c r="M68" i="372"/>
  <c r="U69" i="372"/>
  <c r="M71" i="372"/>
  <c r="O71" i="372" s="1"/>
  <c r="M74" i="372"/>
  <c r="O74" i="372" s="1"/>
  <c r="P76" i="372"/>
  <c r="M77" i="372"/>
  <c r="T77" i="372" s="1"/>
  <c r="U77" i="372" s="1"/>
  <c r="M85" i="372"/>
  <c r="O85" i="372" s="1"/>
  <c r="T85" i="372"/>
  <c r="P90" i="372"/>
  <c r="T95" i="372"/>
  <c r="U95" i="372" s="1"/>
  <c r="M95" i="372"/>
  <c r="O95" i="372" s="1"/>
  <c r="O97" i="372"/>
  <c r="M98" i="372"/>
  <c r="O98" i="372" s="1"/>
  <c r="N124" i="372"/>
  <c r="L8" i="370" s="1"/>
  <c r="D124" i="372"/>
  <c r="B8" i="370" s="1"/>
  <c r="M116" i="372"/>
  <c r="T116" i="372" s="1"/>
  <c r="U116" i="372" s="1"/>
  <c r="AU124" i="372"/>
  <c r="AR8" i="370" s="1"/>
  <c r="T117" i="372"/>
  <c r="U117" i="372" s="1"/>
  <c r="M117" i="372"/>
  <c r="O117" i="372" s="1"/>
  <c r="P119" i="372"/>
  <c r="T121" i="372"/>
  <c r="U121" i="372" s="1"/>
  <c r="M121" i="372"/>
  <c r="O121" i="372" s="1"/>
  <c r="T7" i="373"/>
  <c r="U7" i="373" s="1"/>
  <c r="M7" i="373"/>
  <c r="O29" i="373"/>
  <c r="P29" i="373"/>
  <c r="M29" i="373" s="1"/>
  <c r="T29" i="373" s="1"/>
  <c r="U29" i="373" s="1"/>
  <c r="AO107" i="373"/>
  <c r="W107" i="373"/>
  <c r="T8" i="374"/>
  <c r="U8" i="374" s="1"/>
  <c r="M8" i="374"/>
  <c r="O8" i="374" s="1"/>
  <c r="U9" i="374"/>
  <c r="M10" i="374"/>
  <c r="O10" i="374" s="1"/>
  <c r="M12" i="374"/>
  <c r="O12" i="374" s="1"/>
  <c r="M17" i="374"/>
  <c r="O17" i="374" s="1"/>
  <c r="M22" i="374"/>
  <c r="T22" i="374" s="1"/>
  <c r="U22" i="374" s="1"/>
  <c r="P7" i="375"/>
  <c r="M8" i="375"/>
  <c r="T8" i="375" s="1"/>
  <c r="U8" i="375" s="1"/>
  <c r="AK34" i="370"/>
  <c r="F17" i="371"/>
  <c r="L6" i="372"/>
  <c r="Q107" i="372"/>
  <c r="Q124" i="372" s="1"/>
  <c r="O8" i="370" s="1"/>
  <c r="O16" i="370" s="1"/>
  <c r="K23" i="372"/>
  <c r="L23" i="372" s="1"/>
  <c r="P23" i="372" s="1"/>
  <c r="O44" i="372"/>
  <c r="P50" i="372"/>
  <c r="P56" i="372"/>
  <c r="P63" i="372"/>
  <c r="M65" i="372"/>
  <c r="T65" i="372" s="1"/>
  <c r="U65" i="372" s="1"/>
  <c r="M67" i="372"/>
  <c r="T67" i="372" s="1"/>
  <c r="U67" i="372" s="1"/>
  <c r="U68" i="372"/>
  <c r="P82" i="372"/>
  <c r="M84" i="372"/>
  <c r="O84" i="372" s="1"/>
  <c r="U85" i="372"/>
  <c r="O86" i="372"/>
  <c r="P88" i="372"/>
  <c r="P89" i="372"/>
  <c r="P93" i="372"/>
  <c r="P100" i="372"/>
  <c r="P106" i="372"/>
  <c r="L123" i="372"/>
  <c r="P110" i="372"/>
  <c r="T112" i="372"/>
  <c r="U112" i="372" s="1"/>
  <c r="M112" i="372"/>
  <c r="M114" i="372"/>
  <c r="T114" i="372" s="1"/>
  <c r="U114" i="372" s="1"/>
  <c r="O116" i="372"/>
  <c r="M14" i="374"/>
  <c r="O14" i="374" s="1"/>
  <c r="M16" i="374"/>
  <c r="O16" i="374" s="1"/>
  <c r="M19" i="374"/>
  <c r="O19" i="374" s="1"/>
  <c r="P21" i="374"/>
  <c r="M9" i="375"/>
  <c r="T9" i="375" s="1"/>
  <c r="U9" i="375" s="1"/>
  <c r="M11" i="375"/>
  <c r="O11" i="375" s="1"/>
  <c r="AN72" i="372"/>
  <c r="AP72" i="372" s="1"/>
  <c r="AV79" i="372"/>
  <c r="AV107" i="372" s="1"/>
  <c r="AV124" i="372" s="1"/>
  <c r="AS8" i="370" s="1"/>
  <c r="AS16" i="370" s="1"/>
  <c r="AS36" i="370" s="1"/>
  <c r="F85" i="372"/>
  <c r="AO94" i="372"/>
  <c r="S115" i="372"/>
  <c r="M115" i="372" s="1"/>
  <c r="G123" i="372"/>
  <c r="G124" i="372" s="1"/>
  <c r="E8" i="370" s="1"/>
  <c r="K123" i="372"/>
  <c r="K124" i="372" s="1"/>
  <c r="I8" i="370" s="1"/>
  <c r="M6" i="373"/>
  <c r="P6" i="374"/>
  <c r="F6" i="375"/>
  <c r="N16" i="375"/>
  <c r="L11" i="370" s="1"/>
  <c r="AN18" i="375"/>
  <c r="BB7" i="375"/>
  <c r="F9" i="375"/>
  <c r="AQ9" i="375"/>
  <c r="AQ10" i="375"/>
  <c r="BB12" i="375"/>
  <c r="M16" i="377"/>
  <c r="T16" i="377" s="1"/>
  <c r="U16" i="377" s="1"/>
  <c r="M7" i="378"/>
  <c r="T7" i="378" s="1"/>
  <c r="U7" i="378" s="1"/>
  <c r="P9" i="378"/>
  <c r="M6" i="379"/>
  <c r="M9" i="379"/>
  <c r="T9" i="379" s="1"/>
  <c r="U9" i="379" s="1"/>
  <c r="P15" i="379"/>
  <c r="M20" i="379"/>
  <c r="P25" i="379"/>
  <c r="J31" i="379"/>
  <c r="H15" i="370" s="1"/>
  <c r="O52" i="372"/>
  <c r="O60" i="372"/>
  <c r="F61" i="372"/>
  <c r="O65" i="372"/>
  <c r="O70" i="372"/>
  <c r="O73" i="372"/>
  <c r="F74" i="372"/>
  <c r="O75" i="372"/>
  <c r="AP75" i="372"/>
  <c r="O83" i="372"/>
  <c r="F86" i="372"/>
  <c r="F97" i="372"/>
  <c r="F98" i="372"/>
  <c r="O104" i="372"/>
  <c r="O112" i="372"/>
  <c r="F115" i="372"/>
  <c r="F123" i="372" s="1"/>
  <c r="F124" i="372" s="1"/>
  <c r="D8" i="370" s="1"/>
  <c r="O120" i="372"/>
  <c r="F121" i="372"/>
  <c r="AO24" i="373"/>
  <c r="P67" i="373"/>
  <c r="M67" i="373" s="1"/>
  <c r="O67" i="373" s="1"/>
  <c r="AO91" i="373"/>
  <c r="V92" i="373"/>
  <c r="AO100" i="373"/>
  <c r="F103" i="373"/>
  <c r="AO109" i="373"/>
  <c r="AN24" i="374"/>
  <c r="AK10" i="370" s="1"/>
  <c r="AQ16" i="375"/>
  <c r="AN11" i="370" s="1"/>
  <c r="BB8" i="375"/>
  <c r="BB13" i="375"/>
  <c r="O15" i="375"/>
  <c r="P7" i="376"/>
  <c r="O8" i="377"/>
  <c r="P8" i="377"/>
  <c r="T8" i="377" s="1"/>
  <c r="U8" i="377" s="1"/>
  <c r="M12" i="377"/>
  <c r="T12" i="377" s="1"/>
  <c r="U12" i="377" s="1"/>
  <c r="P13" i="377"/>
  <c r="M11" i="378"/>
  <c r="T11" i="378" s="1"/>
  <c r="U11" i="378" s="1"/>
  <c r="P13" i="378"/>
  <c r="P15" i="378"/>
  <c r="P17" i="378"/>
  <c r="M8" i="379"/>
  <c r="T8" i="379" s="1"/>
  <c r="U8" i="379" s="1"/>
  <c r="M21" i="379"/>
  <c r="O21" i="379" s="1"/>
  <c r="P24" i="379"/>
  <c r="P27" i="379"/>
  <c r="G31" i="379"/>
  <c r="E15" i="370" s="1"/>
  <c r="O51" i="372"/>
  <c r="O57" i="372"/>
  <c r="O58" i="372"/>
  <c r="O67" i="372"/>
  <c r="O68" i="372"/>
  <c r="O69" i="372"/>
  <c r="O77" i="372"/>
  <c r="O78" i="372"/>
  <c r="O79" i="372"/>
  <c r="O101" i="372"/>
  <c r="AN116" i="372"/>
  <c r="AP116" i="372" s="1"/>
  <c r="AP123" i="372" s="1"/>
  <c r="N111" i="373"/>
  <c r="L9" i="370" s="1"/>
  <c r="O52" i="373"/>
  <c r="S87" i="373"/>
  <c r="AO93" i="373"/>
  <c r="W109" i="373"/>
  <c r="S11" i="374"/>
  <c r="S24" i="374" s="1"/>
  <c r="Q10" i="370" s="1"/>
  <c r="L6" i="375"/>
  <c r="AW16" i="375"/>
  <c r="AT11" i="370" s="1"/>
  <c r="AQ7" i="375"/>
  <c r="F12" i="375"/>
  <c r="M14" i="375"/>
  <c r="O14" i="375" s="1"/>
  <c r="F18" i="377"/>
  <c r="D13" i="370" s="1"/>
  <c r="P7" i="377"/>
  <c r="P11" i="377"/>
  <c r="O12" i="377"/>
  <c r="P15" i="377"/>
  <c r="M8" i="378"/>
  <c r="O8" i="378" s="1"/>
  <c r="P18" i="379"/>
  <c r="T10" i="379"/>
  <c r="U10" i="379" s="1"/>
  <c r="M10" i="379"/>
  <c r="O10" i="379" s="1"/>
  <c r="T12" i="379"/>
  <c r="U12" i="379" s="1"/>
  <c r="M12" i="379"/>
  <c r="O12" i="379" s="1"/>
  <c r="T13" i="379"/>
  <c r="U13" i="379" s="1"/>
  <c r="M13" i="379"/>
  <c r="O13" i="379" s="1"/>
  <c r="T14" i="379"/>
  <c r="U14" i="379" s="1"/>
  <c r="M14" i="379"/>
  <c r="O14" i="379" s="1"/>
  <c r="S31" i="379"/>
  <c r="Q15" i="370" s="1"/>
  <c r="A31" i="379"/>
  <c r="Z15" i="370" s="1"/>
  <c r="M22" i="379"/>
  <c r="T22" i="379" s="1"/>
  <c r="U22" i="379" s="1"/>
  <c r="O45" i="373"/>
  <c r="O91" i="373"/>
  <c r="AO97" i="373"/>
  <c r="S16" i="375"/>
  <c r="Q11" i="370" s="1"/>
  <c r="AN16" i="375"/>
  <c r="AK11" i="370" s="1"/>
  <c r="BC6" i="375"/>
  <c r="BC16" i="375" s="1"/>
  <c r="F8" i="375"/>
  <c r="L18" i="377"/>
  <c r="J13" i="370" s="1"/>
  <c r="P6" i="377"/>
  <c r="P9" i="377"/>
  <c r="P10" i="377"/>
  <c r="P14" i="377"/>
  <c r="T12" i="378"/>
  <c r="U12" i="378" s="1"/>
  <c r="M12" i="378"/>
  <c r="O12" i="378" s="1"/>
  <c r="T16" i="378"/>
  <c r="U16" i="378" s="1"/>
  <c r="M16" i="378"/>
  <c r="O16" i="378" s="1"/>
  <c r="AQ16" i="379"/>
  <c r="P7" i="379"/>
  <c r="P16" i="379" s="1"/>
  <c r="P11" i="379"/>
  <c r="K31" i="379"/>
  <c r="I15" i="370" s="1"/>
  <c r="AN29" i="379"/>
  <c r="AN31" i="379" s="1"/>
  <c r="AK15" i="370" s="1"/>
  <c r="T23" i="379"/>
  <c r="U23" i="379" s="1"/>
  <c r="M23" i="379"/>
  <c r="O23" i="379" s="1"/>
  <c r="T26" i="379"/>
  <c r="U26" i="379" s="1"/>
  <c r="M26" i="379"/>
  <c r="AO15" i="375"/>
  <c r="AN19" i="375"/>
  <c r="G18" i="377"/>
  <c r="E13" i="370" s="1"/>
  <c r="K18" i="377"/>
  <c r="I13" i="370" s="1"/>
  <c r="AE18" i="377"/>
  <c r="AB13" i="370" s="1"/>
  <c r="P6" i="378"/>
  <c r="P10" i="378"/>
  <c r="P14" i="378"/>
  <c r="O8" i="379"/>
  <c r="F9" i="379"/>
  <c r="F16" i="379" s="1"/>
  <c r="F31" i="379" s="1"/>
  <c r="D15" i="370" s="1"/>
  <c r="O9" i="379"/>
  <c r="F10" i="379"/>
  <c r="AM16" i="379"/>
  <c r="AW16" i="379" s="1"/>
  <c r="O20" i="379"/>
  <c r="AN22" i="379"/>
  <c r="AW22" i="379"/>
  <c r="AW29" i="379" s="1"/>
  <c r="AW31" i="379" s="1"/>
  <c r="AT15" i="370" s="1"/>
  <c r="AT16" i="370" s="1"/>
  <c r="AT36" i="370" s="1"/>
  <c r="AO28" i="379"/>
  <c r="L29" i="379"/>
  <c r="R19" i="380"/>
  <c r="T19" i="380" s="1"/>
  <c r="H39" i="380"/>
  <c r="R42" i="380"/>
  <c r="T42" i="380" s="1"/>
  <c r="R45" i="380"/>
  <c r="T45" i="380" s="1"/>
  <c r="R48" i="380"/>
  <c r="T48" i="380" s="1"/>
  <c r="R51" i="380"/>
  <c r="T51" i="380" s="1"/>
  <c r="AK92" i="380"/>
  <c r="L6" i="376"/>
  <c r="D18" i="377"/>
  <c r="B13" i="370" s="1"/>
  <c r="H18" i="377"/>
  <c r="F13" i="370" s="1"/>
  <c r="L16" i="379"/>
  <c r="O26" i="379"/>
  <c r="P36" i="380"/>
  <c r="H65" i="380"/>
  <c r="R69" i="380"/>
  <c r="T69" i="380" s="1"/>
  <c r="R95" i="380"/>
  <c r="T95" i="380" s="1"/>
  <c r="Q106" i="380"/>
  <c r="R106" i="380" s="1"/>
  <c r="T106" i="380" s="1"/>
  <c r="AK106" i="380" s="1"/>
  <c r="H107" i="380"/>
  <c r="F116" i="380"/>
  <c r="Q121" i="380"/>
  <c r="R121" i="380" s="1"/>
  <c r="W15" i="375"/>
  <c r="O16" i="377"/>
  <c r="O7" i="378"/>
  <c r="O11" i="378"/>
  <c r="AQ22" i="379"/>
  <c r="AQ29" i="379" s="1"/>
  <c r="AQ31" i="379" s="1"/>
  <c r="AN15" i="370" s="1"/>
  <c r="AJ12" i="380"/>
  <c r="AP12" i="380" s="1"/>
  <c r="R40" i="380"/>
  <c r="T40" i="380" s="1"/>
  <c r="R46" i="380"/>
  <c r="T46" i="380" s="1"/>
  <c r="P48" i="380"/>
  <c r="P65" i="380"/>
  <c r="AP6" i="378"/>
  <c r="AP18" i="378" s="1"/>
  <c r="AM14" i="370" s="1"/>
  <c r="P68" i="380"/>
  <c r="P76" i="380"/>
  <c r="R80" i="380"/>
  <c r="T80" i="380" s="1"/>
  <c r="P88" i="380"/>
  <c r="M18" i="373"/>
  <c r="T18" i="373" s="1"/>
  <c r="U18" i="373" s="1"/>
  <c r="P19" i="373"/>
  <c r="P26" i="373"/>
  <c r="W29" i="373"/>
  <c r="AO29" i="373"/>
  <c r="P30" i="373"/>
  <c r="P38" i="373"/>
  <c r="P47" i="373"/>
  <c r="M51" i="373"/>
  <c r="T51" i="373" s="1"/>
  <c r="U51" i="373" s="1"/>
  <c r="M17" i="373"/>
  <c r="T17" i="373" s="1"/>
  <c r="U17" i="373" s="1"/>
  <c r="M28" i="373"/>
  <c r="T28" i="373" s="1"/>
  <c r="U28" i="373" s="1"/>
  <c r="W36" i="373"/>
  <c r="AO36" i="373"/>
  <c r="P37" i="373"/>
  <c r="P46" i="373"/>
  <c r="P50" i="373"/>
  <c r="O12" i="373"/>
  <c r="M16" i="373"/>
  <c r="T16" i="373" s="1"/>
  <c r="U16" i="373" s="1"/>
  <c r="P25" i="373"/>
  <c r="P34" i="373"/>
  <c r="M15" i="373"/>
  <c r="T15" i="373" s="1"/>
  <c r="U15" i="373" s="1"/>
  <c r="M24" i="373"/>
  <c r="T24" i="373" s="1"/>
  <c r="P33" i="373"/>
  <c r="P44" i="373"/>
  <c r="M9" i="373"/>
  <c r="T9" i="373" s="1"/>
  <c r="U9" i="373" s="1"/>
  <c r="M10" i="373"/>
  <c r="T10" i="373" s="1"/>
  <c r="U10" i="373" s="1"/>
  <c r="P11" i="373"/>
  <c r="P23" i="373"/>
  <c r="M49" i="373"/>
  <c r="T49" i="373" s="1"/>
  <c r="U49" i="373" s="1"/>
  <c r="P14" i="373"/>
  <c r="P22" i="373"/>
  <c r="P32" i="373"/>
  <c r="W42" i="373"/>
  <c r="AO42" i="373"/>
  <c r="P43" i="373"/>
  <c r="T6" i="373"/>
  <c r="M8" i="373"/>
  <c r="T8" i="373" s="1"/>
  <c r="U8" i="373" s="1"/>
  <c r="P13" i="373"/>
  <c r="P21" i="373"/>
  <c r="P39" i="373"/>
  <c r="T41" i="373"/>
  <c r="U41" i="373" s="1"/>
  <c r="M41" i="373"/>
  <c r="M48" i="373"/>
  <c r="T48" i="373" s="1"/>
  <c r="U48" i="373" s="1"/>
  <c r="AO7" i="373"/>
  <c r="W7" i="373"/>
  <c r="P20" i="373"/>
  <c r="P27" i="373"/>
  <c r="P31" i="373"/>
  <c r="L35" i="373"/>
  <c r="W52" i="373"/>
  <c r="AO52" i="373"/>
  <c r="T53" i="373"/>
  <c r="U53" i="373" s="1"/>
  <c r="M53" i="373"/>
  <c r="P68" i="373"/>
  <c r="T69" i="373"/>
  <c r="U69" i="373" s="1"/>
  <c r="O69" i="373"/>
  <c r="M73" i="373"/>
  <c r="T73" i="373"/>
  <c r="U73" i="373" s="1"/>
  <c r="P79" i="373"/>
  <c r="P84" i="373"/>
  <c r="P63" i="373"/>
  <c r="M87" i="373"/>
  <c r="T87" i="373" s="1"/>
  <c r="U87" i="373" s="1"/>
  <c r="P90" i="373"/>
  <c r="M90" i="373" s="1"/>
  <c r="O90" i="373" s="1"/>
  <c r="P98" i="373"/>
  <c r="M98" i="373" s="1"/>
  <c r="O98" i="373" s="1"/>
  <c r="O6" i="373"/>
  <c r="AQ6" i="373"/>
  <c r="T12" i="373"/>
  <c r="U12" i="373" s="1"/>
  <c r="O28" i="373"/>
  <c r="O41" i="373"/>
  <c r="T45" i="373"/>
  <c r="U45" i="373" s="1"/>
  <c r="O54" i="373"/>
  <c r="F55" i="373"/>
  <c r="M65" i="373"/>
  <c r="O65" i="373" s="1"/>
  <c r="T65" i="373"/>
  <c r="U65" i="373" s="1"/>
  <c r="P72" i="373"/>
  <c r="P78" i="373"/>
  <c r="M88" i="373"/>
  <c r="T88" i="373" s="1"/>
  <c r="U88" i="373" s="1"/>
  <c r="P89" i="373"/>
  <c r="M89" i="373" s="1"/>
  <c r="O89" i="373" s="1"/>
  <c r="AO90" i="373"/>
  <c r="V90" i="373"/>
  <c r="P105" i="373"/>
  <c r="O7" i="373"/>
  <c r="O8" i="373"/>
  <c r="O16" i="373"/>
  <c r="O17" i="373"/>
  <c r="O51" i="373"/>
  <c r="T56" i="373"/>
  <c r="U56" i="373" s="1"/>
  <c r="P57" i="373"/>
  <c r="P58" i="373"/>
  <c r="P60" i="373"/>
  <c r="P75" i="373"/>
  <c r="M83" i="373"/>
  <c r="T83" i="373" s="1"/>
  <c r="U83" i="373" s="1"/>
  <c r="M86" i="373"/>
  <c r="T86" i="373" s="1"/>
  <c r="U86" i="373" s="1"/>
  <c r="AO89" i="373"/>
  <c r="W89" i="373"/>
  <c r="P94" i="373"/>
  <c r="M94" i="373" s="1"/>
  <c r="O94" i="373" s="1"/>
  <c r="P97" i="373"/>
  <c r="M97" i="373" s="1"/>
  <c r="O97" i="373" s="1"/>
  <c r="Z16" i="370"/>
  <c r="O9" i="373"/>
  <c r="O10" i="373"/>
  <c r="O18" i="373"/>
  <c r="T54" i="373"/>
  <c r="U54" i="373" s="1"/>
  <c r="P59" i="373"/>
  <c r="M61" i="373"/>
  <c r="O61" i="373" s="1"/>
  <c r="P62" i="373"/>
  <c r="P71" i="373"/>
  <c r="P82" i="373"/>
  <c r="F6" i="373"/>
  <c r="O49" i="373"/>
  <c r="O53" i="373"/>
  <c r="P77" i="373"/>
  <c r="P85" i="373"/>
  <c r="AO95" i="373"/>
  <c r="V95" i="373"/>
  <c r="AO96" i="373"/>
  <c r="V96" i="373"/>
  <c r="AO103" i="373"/>
  <c r="W103" i="373"/>
  <c r="U6" i="373"/>
  <c r="I111" i="373"/>
  <c r="G9" i="370" s="1"/>
  <c r="K40" i="373"/>
  <c r="L40" i="373" s="1"/>
  <c r="P40" i="373" s="1"/>
  <c r="O48" i="373"/>
  <c r="P70" i="373"/>
  <c r="M81" i="373"/>
  <c r="O81" i="373" s="1"/>
  <c r="P101" i="373"/>
  <c r="L111" i="373"/>
  <c r="J9" i="370" s="1"/>
  <c r="AN14" i="373"/>
  <c r="AQ14" i="373" s="1"/>
  <c r="Q111" i="373"/>
  <c r="O9" i="370" s="1"/>
  <c r="S55" i="373"/>
  <c r="S111" i="373" s="1"/>
  <c r="Q9" i="370" s="1"/>
  <c r="P76" i="373"/>
  <c r="M80" i="373"/>
  <c r="T80" i="373" s="1"/>
  <c r="U80" i="373" s="1"/>
  <c r="P99" i="373"/>
  <c r="M99" i="373" s="1"/>
  <c r="O99" i="373"/>
  <c r="T67" i="373"/>
  <c r="U67" i="373" s="1"/>
  <c r="O73" i="373"/>
  <c r="T74" i="373"/>
  <c r="U74" i="373" s="1"/>
  <c r="F81" i="373"/>
  <c r="O86" i="373"/>
  <c r="V98" i="373"/>
  <c r="W102" i="373"/>
  <c r="W108" i="373"/>
  <c r="T64" i="373"/>
  <c r="U64" i="373" s="1"/>
  <c r="T66" i="373"/>
  <c r="U66" i="373" s="1"/>
  <c r="O93" i="373"/>
  <c r="O100" i="373"/>
  <c r="T104" i="373"/>
  <c r="U104" i="373" s="1"/>
  <c r="V97" i="373"/>
  <c r="F107" i="373"/>
  <c r="O83" i="373"/>
  <c r="O87" i="373"/>
  <c r="O92" i="373"/>
  <c r="W106" i="373"/>
  <c r="W110" i="373"/>
  <c r="O88" i="373"/>
  <c r="F16" i="370"/>
  <c r="V16" i="370"/>
  <c r="AD16" i="370"/>
  <c r="C16" i="370"/>
  <c r="AA16" i="370"/>
  <c r="AI16" i="370"/>
  <c r="AQ16" i="370"/>
  <c r="H23" i="40" s="1"/>
  <c r="Q67" i="380"/>
  <c r="R67" i="380" s="1"/>
  <c r="T67" i="380" s="1"/>
  <c r="AK67" i="380" s="1"/>
  <c r="P67" i="380"/>
  <c r="P20" i="380"/>
  <c r="Q20" i="380"/>
  <c r="R20" i="380" s="1"/>
  <c r="T20" i="380" s="1"/>
  <c r="Q71" i="380"/>
  <c r="R71" i="380" s="1"/>
  <c r="T71" i="380" s="1"/>
  <c r="AK71" i="380" s="1"/>
  <c r="P71" i="380"/>
  <c r="AK99" i="380"/>
  <c r="AJ10" i="380"/>
  <c r="AP10" i="380" s="1"/>
  <c r="AI58" i="380"/>
  <c r="M58" i="380"/>
  <c r="AL43" i="380"/>
  <c r="P53" i="380"/>
  <c r="P57" i="380"/>
  <c r="AJ81" i="380"/>
  <c r="AP81" i="380" s="1"/>
  <c r="AJ84" i="380"/>
  <c r="AP84" i="380" s="1"/>
  <c r="M128" i="380"/>
  <c r="N135" i="380"/>
  <c r="P135" i="380" s="1"/>
  <c r="P136" i="380" s="1"/>
  <c r="M109" i="380"/>
  <c r="P52" i="380"/>
  <c r="AC102" i="380"/>
  <c r="AJ79" i="380"/>
  <c r="AP79" i="380" s="1"/>
  <c r="Q122" i="380"/>
  <c r="P56" i="380"/>
  <c r="AJ83" i="380"/>
  <c r="AP83" i="380" s="1"/>
  <c r="AF58" i="380"/>
  <c r="P40" i="380"/>
  <c r="P45" i="380"/>
  <c r="AJ82" i="380"/>
  <c r="AP82" i="380" s="1"/>
  <c r="Q12" i="380"/>
  <c r="R12" i="380" s="1"/>
  <c r="T12" i="380" s="1"/>
  <c r="AK12" i="380" s="1"/>
  <c r="P12" i="380"/>
  <c r="Q11" i="380"/>
  <c r="R11" i="380" s="1"/>
  <c r="T11" i="380" s="1"/>
  <c r="AK11" i="380" s="1"/>
  <c r="P11" i="380"/>
  <c r="Q44" i="380"/>
  <c r="R44" i="380" s="1"/>
  <c r="T44" i="380" s="1"/>
  <c r="P44" i="380"/>
  <c r="Q10" i="380"/>
  <c r="R10" i="380" s="1"/>
  <c r="T10" i="380" s="1"/>
  <c r="P10" i="380"/>
  <c r="Q64" i="380"/>
  <c r="R64" i="380" s="1"/>
  <c r="T64" i="380" s="1"/>
  <c r="AK64" i="380" s="1"/>
  <c r="P64" i="380"/>
  <c r="Q74" i="380"/>
  <c r="R74" i="380" s="1"/>
  <c r="T74" i="380" s="1"/>
  <c r="AK74" i="380" s="1"/>
  <c r="P74" i="380"/>
  <c r="Q82" i="380"/>
  <c r="R82" i="380" s="1"/>
  <c r="T82" i="380" s="1"/>
  <c r="U82" i="380" s="1"/>
  <c r="P82" i="380"/>
  <c r="P85" i="380"/>
  <c r="Q85" i="380"/>
  <c r="R85" i="380" s="1"/>
  <c r="T85" i="380" s="1"/>
  <c r="AC22" i="380"/>
  <c r="AJ43" i="380"/>
  <c r="AP43" i="380" s="1"/>
  <c r="Z138" i="380"/>
  <c r="Q66" i="380"/>
  <c r="R66" i="380" s="1"/>
  <c r="T66" i="380" s="1"/>
  <c r="U66" i="380" s="1"/>
  <c r="U67" i="380"/>
  <c r="Q68" i="380"/>
  <c r="R68" i="380" s="1"/>
  <c r="T68" i="380" s="1"/>
  <c r="AL102" i="380"/>
  <c r="P101" i="380"/>
  <c r="J138" i="380"/>
  <c r="AL22" i="380"/>
  <c r="H22" i="380"/>
  <c r="P43" i="380"/>
  <c r="AJ44" i="380"/>
  <c r="AP44" i="380" s="1"/>
  <c r="AP128" i="380"/>
  <c r="Q135" i="380"/>
  <c r="Q136" i="380" s="1"/>
  <c r="C22" i="380"/>
  <c r="P39" i="380"/>
  <c r="P95" i="380"/>
  <c r="AJ101" i="380"/>
  <c r="AP101" i="380" s="1"/>
  <c r="AJ109" i="380"/>
  <c r="AC116" i="380"/>
  <c r="H116" i="380"/>
  <c r="AL128" i="380"/>
  <c r="AT138" i="380"/>
  <c r="H25" i="40" s="1"/>
  <c r="AK81" i="380"/>
  <c r="AL109" i="380"/>
  <c r="AJ116" i="380"/>
  <c r="AJ118" i="380" s="1"/>
  <c r="K138" i="380"/>
  <c r="AP131" i="380"/>
  <c r="AP132" i="380" s="1"/>
  <c r="P37" i="380"/>
  <c r="Q55" i="380"/>
  <c r="R55" i="380" s="1"/>
  <c r="T55" i="380" s="1"/>
  <c r="Q62" i="380"/>
  <c r="R62" i="380" s="1"/>
  <c r="T62" i="380" s="1"/>
  <c r="AK62" i="380" s="1"/>
  <c r="Q83" i="380"/>
  <c r="R83" i="380" s="1"/>
  <c r="T83" i="380" s="1"/>
  <c r="AK83" i="380" s="1"/>
  <c r="C109" i="380"/>
  <c r="AL116" i="380"/>
  <c r="AB138" i="380"/>
  <c r="AJ128" i="380"/>
  <c r="AJ14" i="380"/>
  <c r="AP14" i="380" s="1"/>
  <c r="Q47" i="380"/>
  <c r="R47" i="380" s="1"/>
  <c r="T47" i="380" s="1"/>
  <c r="AJ76" i="380"/>
  <c r="AP76" i="380" s="1"/>
  <c r="AJ77" i="380"/>
  <c r="AP77" i="380" s="1"/>
  <c r="Q79" i="380"/>
  <c r="R79" i="380" s="1"/>
  <c r="T79" i="380" s="1"/>
  <c r="AJ80" i="380"/>
  <c r="AP80" i="380" s="1"/>
  <c r="P81" i="380"/>
  <c r="P92" i="380"/>
  <c r="P108" i="380"/>
  <c r="M116" i="380"/>
  <c r="C116" i="380"/>
  <c r="H128" i="380"/>
  <c r="M22" i="380"/>
  <c r="AS138" i="380"/>
  <c r="G25" i="40" s="1"/>
  <c r="N112" i="380"/>
  <c r="S138" i="380"/>
  <c r="U10" i="380"/>
  <c r="AK30" i="380"/>
  <c r="U30" i="380"/>
  <c r="U39" i="380"/>
  <c r="AK39" i="380"/>
  <c r="AK49" i="380"/>
  <c r="U49" i="380"/>
  <c r="U68" i="380"/>
  <c r="AK68" i="380"/>
  <c r="Q18" i="380"/>
  <c r="R18" i="380" s="1"/>
  <c r="T18" i="380" s="1"/>
  <c r="P18" i="380"/>
  <c r="Q16" i="380"/>
  <c r="R16" i="380" s="1"/>
  <c r="T16" i="380" s="1"/>
  <c r="P16" i="380"/>
  <c r="AK17" i="380"/>
  <c r="U17" i="380"/>
  <c r="R27" i="380"/>
  <c r="AK32" i="380"/>
  <c r="U32" i="380"/>
  <c r="AK40" i="380"/>
  <c r="U40" i="380"/>
  <c r="U48" i="380"/>
  <c r="AK48" i="380"/>
  <c r="AK52" i="380"/>
  <c r="U52" i="380"/>
  <c r="U57" i="380"/>
  <c r="AK57" i="380"/>
  <c r="AK75" i="380"/>
  <c r="U75" i="380"/>
  <c r="U101" i="380"/>
  <c r="AK101" i="380"/>
  <c r="Q15" i="380"/>
  <c r="R15" i="380" s="1"/>
  <c r="T15" i="380" s="1"/>
  <c r="P15" i="380"/>
  <c r="C31" i="380"/>
  <c r="C32" i="380" s="1"/>
  <c r="C33" i="380" s="1"/>
  <c r="C34" i="380" s="1"/>
  <c r="C35" i="380" s="1"/>
  <c r="C36" i="380" s="1"/>
  <c r="C37" i="380" s="1"/>
  <c r="C38" i="380" s="1"/>
  <c r="C39" i="380" s="1"/>
  <c r="C40" i="380" s="1"/>
  <c r="C41" i="380" s="1"/>
  <c r="C42" i="380" s="1"/>
  <c r="C43" i="380" s="1"/>
  <c r="C44" i="380" s="1"/>
  <c r="C45" i="380" s="1"/>
  <c r="C46" i="380" s="1"/>
  <c r="C47" i="380" s="1"/>
  <c r="C48" i="380" s="1"/>
  <c r="C49" i="380" s="1"/>
  <c r="C50" i="380" s="1"/>
  <c r="C51" i="380" s="1"/>
  <c r="C52" i="380" s="1"/>
  <c r="C53" i="380" s="1"/>
  <c r="C54" i="380" s="1"/>
  <c r="C55" i="380" s="1"/>
  <c r="C56" i="380" s="1"/>
  <c r="C57" i="380" s="1"/>
  <c r="U34" i="380"/>
  <c r="AK34" i="380"/>
  <c r="AK38" i="380"/>
  <c r="U38" i="380"/>
  <c r="U43" i="380"/>
  <c r="AK43" i="380"/>
  <c r="U51" i="380"/>
  <c r="AK51" i="380"/>
  <c r="U56" i="380"/>
  <c r="AK56" i="380"/>
  <c r="Q14" i="380"/>
  <c r="R14" i="380" s="1"/>
  <c r="T14" i="380" s="1"/>
  <c r="P14" i="380"/>
  <c r="U42" i="380"/>
  <c r="AK42" i="380"/>
  <c r="Q70" i="380"/>
  <c r="R70" i="380" s="1"/>
  <c r="T70" i="380" s="1"/>
  <c r="P70" i="380"/>
  <c r="U80" i="380"/>
  <c r="AK80" i="380"/>
  <c r="U12" i="380"/>
  <c r="U19" i="380"/>
  <c r="AK19" i="380"/>
  <c r="AD21" i="380"/>
  <c r="AD22" i="380" s="1"/>
  <c r="U21" i="380"/>
  <c r="AK29" i="380"/>
  <c r="U29" i="380"/>
  <c r="U36" i="380"/>
  <c r="AK36" i="380"/>
  <c r="U54" i="380"/>
  <c r="AK54" i="380"/>
  <c r="AK55" i="380"/>
  <c r="U55" i="380"/>
  <c r="AK9" i="380"/>
  <c r="U9" i="380"/>
  <c r="Q13" i="380"/>
  <c r="R13" i="380" s="1"/>
  <c r="T13" i="380" s="1"/>
  <c r="P13" i="380"/>
  <c r="AK31" i="380"/>
  <c r="U31" i="380"/>
  <c r="AK37" i="380"/>
  <c r="U37" i="380"/>
  <c r="AK44" i="380"/>
  <c r="U44" i="380"/>
  <c r="AK46" i="380"/>
  <c r="U46" i="380"/>
  <c r="AK47" i="380"/>
  <c r="U47" i="380"/>
  <c r="U53" i="380"/>
  <c r="AK53" i="380"/>
  <c r="AK69" i="380"/>
  <c r="U69" i="380"/>
  <c r="U79" i="380"/>
  <c r="AK20" i="380"/>
  <c r="U20" i="380"/>
  <c r="AK33" i="380"/>
  <c r="U33" i="380"/>
  <c r="AK41" i="380"/>
  <c r="U41" i="380"/>
  <c r="U45" i="380"/>
  <c r="AK45" i="380"/>
  <c r="AK50" i="380"/>
  <c r="U50" i="380"/>
  <c r="C127" i="380"/>
  <c r="C128" i="380" s="1"/>
  <c r="P9" i="380"/>
  <c r="P28" i="380"/>
  <c r="P30" i="380"/>
  <c r="P32" i="380"/>
  <c r="P73" i="380"/>
  <c r="Q73" i="380"/>
  <c r="R73" i="380" s="1"/>
  <c r="T73" i="380" s="1"/>
  <c r="P75" i="380"/>
  <c r="Q87" i="380"/>
  <c r="R87" i="380" s="1"/>
  <c r="T87" i="380" s="1"/>
  <c r="P87" i="380"/>
  <c r="Q91" i="380"/>
  <c r="R91" i="380" s="1"/>
  <c r="T91" i="380" s="1"/>
  <c r="P91" i="380"/>
  <c r="C102" i="380"/>
  <c r="H109" i="380"/>
  <c r="T121" i="380"/>
  <c r="R122" i="380"/>
  <c r="Q127" i="380"/>
  <c r="R127" i="380" s="1"/>
  <c r="T127" i="380" s="1"/>
  <c r="P127" i="380"/>
  <c r="AA138" i="380"/>
  <c r="AI138" i="380"/>
  <c r="N8" i="380"/>
  <c r="AJ13" i="380"/>
  <c r="P19" i="380"/>
  <c r="Q28" i="380"/>
  <c r="R28" i="380" s="1"/>
  <c r="T28" i="380" s="1"/>
  <c r="P34" i="380"/>
  <c r="P46" i="380"/>
  <c r="P49" i="380"/>
  <c r="P54" i="380"/>
  <c r="P69" i="380"/>
  <c r="Q88" i="380"/>
  <c r="R88" i="380" s="1"/>
  <c r="T88" i="380" s="1"/>
  <c r="Q89" i="380"/>
  <c r="R89" i="380" s="1"/>
  <c r="T89" i="380" s="1"/>
  <c r="P89" i="380"/>
  <c r="P96" i="380"/>
  <c r="Q96" i="380"/>
  <c r="R96" i="380" s="1"/>
  <c r="T96" i="380" s="1"/>
  <c r="Q98" i="380"/>
  <c r="R98" i="380" s="1"/>
  <c r="T98" i="380" s="1"/>
  <c r="P99" i="380"/>
  <c r="Q100" i="380"/>
  <c r="R100" i="380" s="1"/>
  <c r="T100" i="380" s="1"/>
  <c r="P107" i="380"/>
  <c r="Q107" i="380"/>
  <c r="R107" i="380" s="1"/>
  <c r="T107" i="380" s="1"/>
  <c r="AP121" i="380"/>
  <c r="AP122" i="380" s="1"/>
  <c r="AJ122" i="380"/>
  <c r="Q126" i="380"/>
  <c r="R126" i="380" s="1"/>
  <c r="T126" i="380" s="1"/>
  <c r="P126" i="380"/>
  <c r="L138" i="380"/>
  <c r="U61" i="380"/>
  <c r="M102" i="380"/>
  <c r="H58" i="380"/>
  <c r="P42" i="380"/>
  <c r="P51" i="380"/>
  <c r="Q72" i="380"/>
  <c r="R72" i="380" s="1"/>
  <c r="T72" i="380" s="1"/>
  <c r="P72" i="380"/>
  <c r="Q76" i="380"/>
  <c r="R76" i="380" s="1"/>
  <c r="T76" i="380" s="1"/>
  <c r="Q77" i="380"/>
  <c r="R77" i="380" s="1"/>
  <c r="T77" i="380" s="1"/>
  <c r="Q78" i="380"/>
  <c r="R78" i="380" s="1"/>
  <c r="T78" i="380" s="1"/>
  <c r="P78" i="380"/>
  <c r="P80" i="380"/>
  <c r="AK82" i="380"/>
  <c r="P86" i="380"/>
  <c r="P90" i="380"/>
  <c r="Q94" i="380"/>
  <c r="R94" i="380" s="1"/>
  <c r="T94" i="380" s="1"/>
  <c r="P94" i="380"/>
  <c r="AD102" i="380"/>
  <c r="AK108" i="380"/>
  <c r="U108" i="380"/>
  <c r="AN138" i="380"/>
  <c r="O138" i="380"/>
  <c r="AM138" i="380"/>
  <c r="AL58" i="380"/>
  <c r="AK86" i="380"/>
  <c r="U86" i="380"/>
  <c r="AK90" i="380"/>
  <c r="U90" i="380"/>
  <c r="AK93" i="380"/>
  <c r="U93" i="380"/>
  <c r="U99" i="380"/>
  <c r="U106" i="380"/>
  <c r="Q115" i="380"/>
  <c r="R115" i="380" s="1"/>
  <c r="T115" i="380" s="1"/>
  <c r="P115" i="380"/>
  <c r="N128" i="380"/>
  <c r="F138" i="380"/>
  <c r="AO138" i="380"/>
  <c r="P21" i="380"/>
  <c r="P27" i="380"/>
  <c r="AP27" i="380"/>
  <c r="AP58" i="380" s="1"/>
  <c r="P29" i="380"/>
  <c r="P31" i="380"/>
  <c r="P33" i="380"/>
  <c r="AG58" i="380"/>
  <c r="AG138" i="380" s="1"/>
  <c r="H102" i="380"/>
  <c r="Q65" i="380"/>
  <c r="R65" i="380" s="1"/>
  <c r="T65" i="380" s="1"/>
  <c r="Q84" i="380"/>
  <c r="R84" i="380" s="1"/>
  <c r="T84" i="380" s="1"/>
  <c r="P84" i="380"/>
  <c r="AK95" i="380"/>
  <c r="U95" i="380"/>
  <c r="Q114" i="380"/>
  <c r="R114" i="380" s="1"/>
  <c r="T114" i="380" s="1"/>
  <c r="P114" i="380"/>
  <c r="R125" i="380"/>
  <c r="G138" i="380"/>
  <c r="AE138" i="380"/>
  <c r="AQ138" i="380"/>
  <c r="E25" i="40" s="1"/>
  <c r="Q63" i="380"/>
  <c r="R63" i="380" s="1"/>
  <c r="T63" i="380" s="1"/>
  <c r="P63" i="380"/>
  <c r="Q97" i="380"/>
  <c r="R97" i="380" s="1"/>
  <c r="T97" i="380" s="1"/>
  <c r="P97" i="380"/>
  <c r="P17" i="380"/>
  <c r="N35" i="380"/>
  <c r="P38" i="380"/>
  <c r="P41" i="380"/>
  <c r="AH58" i="380"/>
  <c r="AH138" i="380" s="1"/>
  <c r="P50" i="380"/>
  <c r="N102" i="380"/>
  <c r="P61" i="380"/>
  <c r="U92" i="380"/>
  <c r="P93" i="380"/>
  <c r="P113" i="380"/>
  <c r="Q113" i="380"/>
  <c r="R113" i="380" s="1"/>
  <c r="T113" i="380" s="1"/>
  <c r="W138" i="380"/>
  <c r="W154" i="380" s="1"/>
  <c r="W163" i="380" s="1"/>
  <c r="AR138" i="380"/>
  <c r="F25" i="40" s="1"/>
  <c r="F26" i="40" s="1"/>
  <c r="F27" i="40" s="1"/>
  <c r="AF138" i="380"/>
  <c r="AU138" i="380"/>
  <c r="I25" i="40" s="1"/>
  <c r="U81" i="380"/>
  <c r="U83" i="380"/>
  <c r="I138" i="380"/>
  <c r="X138" i="380"/>
  <c r="X154" i="380" s="1"/>
  <c r="X157" i="380" s="1"/>
  <c r="N105" i="380"/>
  <c r="P125" i="380"/>
  <c r="AP129" i="380"/>
  <c r="R135" i="380"/>
  <c r="N136" i="380"/>
  <c r="AK137" i="380"/>
  <c r="AP105" i="380"/>
  <c r="AP109" i="380" s="1"/>
  <c r="AP112" i="380"/>
  <c r="N131" i="380"/>
  <c r="P121" i="380"/>
  <c r="P122" i="380" s="1"/>
  <c r="AJ136" i="380"/>
  <c r="AP114" i="380"/>
  <c r="H16" i="38"/>
  <c r="G16" i="370"/>
  <c r="W16" i="370"/>
  <c r="W22" i="370" s="1"/>
  <c r="AE16" i="370"/>
  <c r="AU16" i="370"/>
  <c r="AU36" i="370" s="1"/>
  <c r="H16" i="370"/>
  <c r="P16" i="370"/>
  <c r="X16" i="370"/>
  <c r="X22" i="370" s="1"/>
  <c r="AF16" i="370"/>
  <c r="AF36" i="370" s="1"/>
  <c r="AV16" i="370"/>
  <c r="AV36" i="370" s="1"/>
  <c r="E16" i="370"/>
  <c r="AC16" i="370"/>
  <c r="AC36" i="370" s="1"/>
  <c r="L16" i="370"/>
  <c r="AB16" i="370"/>
  <c r="AB36" i="370" s="1"/>
  <c r="AR16" i="370"/>
  <c r="I23" i="40" s="1"/>
  <c r="I24" i="40" s="1"/>
  <c r="G24" i="40"/>
  <c r="G26" i="40"/>
  <c r="G27" i="40" s="1"/>
  <c r="H24" i="40"/>
  <c r="H26" i="40"/>
  <c r="H27" i="40" s="1"/>
  <c r="AD36" i="370"/>
  <c r="AE36" i="370"/>
  <c r="AO36" i="370"/>
  <c r="AW36" i="370"/>
  <c r="AG36" i="370"/>
  <c r="AP36" i="370"/>
  <c r="AQ36" i="370"/>
  <c r="AI36" i="370"/>
  <c r="V22" i="370"/>
  <c r="F5" i="353"/>
  <c r="D16" i="353"/>
  <c r="S16" i="353"/>
  <c r="F12" i="358"/>
  <c r="F16" i="358" s="1"/>
  <c r="M8" i="358"/>
  <c r="M12" i="357"/>
  <c r="A10" i="355"/>
  <c r="A11" i="355" s="1"/>
  <c r="A12" i="355" s="1"/>
  <c r="A13" i="355" s="1"/>
  <c r="A14" i="355" s="1"/>
  <c r="F15" i="355"/>
  <c r="L5" i="355"/>
  <c r="K15" i="355"/>
  <c r="S15" i="355"/>
  <c r="M7" i="352"/>
  <c r="M11" i="352"/>
  <c r="M54" i="351"/>
  <c r="M80" i="351"/>
  <c r="M108" i="313"/>
  <c r="M75" i="313"/>
  <c r="M36" i="313"/>
  <c r="M43" i="313"/>
  <c r="M98" i="313"/>
  <c r="M64" i="313"/>
  <c r="M12" i="313"/>
  <c r="M17" i="336" s="1"/>
  <c r="M35" i="313"/>
  <c r="M105" i="313"/>
  <c r="M55" i="350"/>
  <c r="O55" i="350" s="1"/>
  <c r="M16" i="350"/>
  <c r="M14" i="350"/>
  <c r="M33" i="350"/>
  <c r="M40" i="350"/>
  <c r="O40" i="350" s="1"/>
  <c r="M15" i="350"/>
  <c r="T15" i="350" s="1"/>
  <c r="U15" i="350" s="1"/>
  <c r="V15" i="350" s="1"/>
  <c r="M19" i="350"/>
  <c r="M35" i="350"/>
  <c r="O35" i="350" s="1"/>
  <c r="M36" i="350"/>
  <c r="T36" i="350" s="1"/>
  <c r="U36" i="350" s="1"/>
  <c r="V36" i="350" s="1"/>
  <c r="S20" i="357"/>
  <c r="A8" i="357"/>
  <c r="A9" i="357" s="1"/>
  <c r="A10" i="357" s="1"/>
  <c r="A11" i="357" s="1"/>
  <c r="A12" i="357" s="1"/>
  <c r="A13" i="357" s="1"/>
  <c r="A14" i="357" s="1"/>
  <c r="A15" i="357" s="1"/>
  <c r="A16" i="357" s="1"/>
  <c r="A17" i="357" s="1"/>
  <c r="A18" i="357" s="1"/>
  <c r="A19" i="357" s="1"/>
  <c r="F20" i="357"/>
  <c r="H21" i="38"/>
  <c r="M11" i="351"/>
  <c r="M24" i="351"/>
  <c r="M49" i="351"/>
  <c r="M19" i="351"/>
  <c r="M27" i="351"/>
  <c r="M44" i="351"/>
  <c r="M61" i="351"/>
  <c r="M18" i="351"/>
  <c r="T18" i="351" s="1"/>
  <c r="U18" i="351" s="1"/>
  <c r="W18" i="351" s="1"/>
  <c r="M68" i="351"/>
  <c r="M73" i="351"/>
  <c r="M12" i="351"/>
  <c r="M22" i="351"/>
  <c r="M47" i="351"/>
  <c r="M64" i="351"/>
  <c r="O64" i="351" s="1"/>
  <c r="L6" i="358"/>
  <c r="L16" i="358" s="1"/>
  <c r="K16" i="358"/>
  <c r="L10" i="357"/>
  <c r="P10" i="357" s="1"/>
  <c r="M10" i="357" s="1"/>
  <c r="K20" i="357"/>
  <c r="L5" i="353"/>
  <c r="P5" i="353" s="1"/>
  <c r="M5" i="353" s="1"/>
  <c r="K16" i="353"/>
  <c r="M77" i="313"/>
  <c r="M102" i="313"/>
  <c r="M45" i="313"/>
  <c r="T45" i="313" s="1"/>
  <c r="M46" i="313"/>
  <c r="M84" i="313"/>
  <c r="L12" i="353"/>
  <c r="P12" i="353" s="1"/>
  <c r="M12" i="353" s="1"/>
  <c r="X25" i="97"/>
  <c r="E18" i="38"/>
  <c r="D16" i="38"/>
  <c r="D21" i="38" s="1"/>
  <c r="F8" i="100"/>
  <c r="T24" i="12"/>
  <c r="T24" i="97"/>
  <c r="T25" i="97" s="1"/>
  <c r="C21" i="38"/>
  <c r="L7" i="12"/>
  <c r="E117" i="313"/>
  <c r="E115" i="351"/>
  <c r="C9" i="12" s="1"/>
  <c r="N115" i="351"/>
  <c r="K17" i="352"/>
  <c r="I10" i="12" s="1"/>
  <c r="S17" i="352"/>
  <c r="A7" i="352"/>
  <c r="A8" i="352" s="1"/>
  <c r="S115" i="351"/>
  <c r="F5" i="351"/>
  <c r="D115" i="351"/>
  <c r="L5" i="351"/>
  <c r="A42" i="351"/>
  <c r="A43" i="351" s="1"/>
  <c r="A44" i="351" s="1"/>
  <c r="A45" i="351" s="1"/>
  <c r="A46" i="351" s="1"/>
  <c r="A47" i="351" s="1"/>
  <c r="A48" i="351" s="1"/>
  <c r="A49" i="351" s="1"/>
  <c r="A50" i="351" s="1"/>
  <c r="A7" i="350"/>
  <c r="A8" i="350" s="1"/>
  <c r="A9" i="350" s="1"/>
  <c r="E7" i="12"/>
  <c r="K7" i="350"/>
  <c r="L7" i="350" s="1"/>
  <c r="H7" i="12"/>
  <c r="D65" i="350"/>
  <c r="L29" i="350"/>
  <c r="M41" i="350"/>
  <c r="T41" i="350" s="1"/>
  <c r="U41" i="350" s="1"/>
  <c r="V41" i="350" s="1"/>
  <c r="O4" i="44"/>
  <c r="O14" i="350"/>
  <c r="Q117" i="313"/>
  <c r="G117" i="313"/>
  <c r="G133" i="313" s="1"/>
  <c r="E8" i="12" s="1"/>
  <c r="N117" i="313"/>
  <c r="N133" i="313" s="1"/>
  <c r="L8" i="12" s="1"/>
  <c r="D117" i="313"/>
  <c r="L5" i="313"/>
  <c r="P5" i="313" s="1"/>
  <c r="M5" i="313" s="1"/>
  <c r="AA117" i="313"/>
  <c r="X133" i="313"/>
  <c r="V8" i="12" s="1"/>
  <c r="H133" i="313"/>
  <c r="F8" i="12" s="1"/>
  <c r="Y133" i="313"/>
  <c r="Z133" i="313"/>
  <c r="K21" i="313"/>
  <c r="L21" i="313" s="1"/>
  <c r="AB133" i="313"/>
  <c r="M57" i="313"/>
  <c r="T57" i="313" s="1"/>
  <c r="M12" i="352"/>
  <c r="O12" i="352" s="1"/>
  <c r="L5" i="356"/>
  <c r="P5" i="356" s="1"/>
  <c r="K19" i="356"/>
  <c r="A7" i="356"/>
  <c r="A8" i="356" s="1"/>
  <c r="A9" i="356" s="1"/>
  <c r="A10" i="356" s="1"/>
  <c r="A11" i="356" s="1"/>
  <c r="A12" i="356" s="1"/>
  <c r="A13" i="356" s="1"/>
  <c r="J19" i="356"/>
  <c r="H14" i="12" s="1"/>
  <c r="O8" i="356"/>
  <c r="M10" i="356"/>
  <c r="W14" i="12"/>
  <c r="F8" i="356"/>
  <c r="L14" i="12"/>
  <c r="H15" i="12"/>
  <c r="Y15" i="12"/>
  <c r="Q12" i="44" s="1"/>
  <c r="R12" i="44" s="1"/>
  <c r="L15" i="12"/>
  <c r="O15" i="12"/>
  <c r="P15" i="12"/>
  <c r="D15" i="12"/>
  <c r="C15" i="12"/>
  <c r="U15" i="12"/>
  <c r="E15" i="12"/>
  <c r="L5" i="357"/>
  <c r="L20" i="357" s="1"/>
  <c r="W15" i="12"/>
  <c r="G15" i="12"/>
  <c r="X15" i="12"/>
  <c r="M14" i="357"/>
  <c r="T14" i="357" s="1"/>
  <c r="U14" i="357" s="1"/>
  <c r="V14" i="357" s="1"/>
  <c r="O7" i="357"/>
  <c r="O12" i="357"/>
  <c r="M19" i="357"/>
  <c r="T19" i="357" s="1"/>
  <c r="U19" i="357" s="1"/>
  <c r="V19" i="357" s="1"/>
  <c r="Q15" i="12"/>
  <c r="B15" i="12"/>
  <c r="M6" i="357"/>
  <c r="T6" i="357" s="1"/>
  <c r="U6" i="357" s="1"/>
  <c r="V6" i="357" s="1"/>
  <c r="P8" i="357"/>
  <c r="M8" i="357" s="1"/>
  <c r="P13" i="357"/>
  <c r="M15" i="357"/>
  <c r="O15" i="357" s="1"/>
  <c r="P11" i="357"/>
  <c r="P18" i="357"/>
  <c r="F15" i="12"/>
  <c r="P9" i="357"/>
  <c r="M9" i="357" s="1"/>
  <c r="P16" i="357"/>
  <c r="O6" i="357"/>
  <c r="I15" i="12"/>
  <c r="O19" i="357"/>
  <c r="M5" i="358"/>
  <c r="O5" i="358" s="1"/>
  <c r="T5" i="358"/>
  <c r="U5" i="358" s="1"/>
  <c r="V5" i="358" s="1"/>
  <c r="M11" i="358"/>
  <c r="O11" i="358" s="1"/>
  <c r="A16" i="358"/>
  <c r="A129" i="358" s="1"/>
  <c r="A132" i="358" s="1"/>
  <c r="M15" i="358"/>
  <c r="O15" i="358" s="1"/>
  <c r="T10" i="358"/>
  <c r="U10" i="358" s="1"/>
  <c r="V10" i="358" s="1"/>
  <c r="P12" i="358"/>
  <c r="M12" i="358" s="1"/>
  <c r="P14" i="358"/>
  <c r="S9" i="358"/>
  <c r="S16" i="358" s="1"/>
  <c r="O10" i="358"/>
  <c r="L5" i="359"/>
  <c r="P5" i="359" s="1"/>
  <c r="K13" i="359"/>
  <c r="S13" i="359"/>
  <c r="A7" i="359"/>
  <c r="A8" i="359" s="1"/>
  <c r="A9" i="359" s="1"/>
  <c r="A10" i="359" s="1"/>
  <c r="A11" i="359" s="1"/>
  <c r="A12" i="359" s="1"/>
  <c r="L8" i="355"/>
  <c r="P8" i="355" s="1"/>
  <c r="Q13" i="12"/>
  <c r="U16" i="12"/>
  <c r="L16" i="12"/>
  <c r="B16" i="12"/>
  <c r="O16" i="12"/>
  <c r="C16" i="12"/>
  <c r="E16" i="12"/>
  <c r="W16" i="12"/>
  <c r="X16" i="12"/>
  <c r="E13" i="81"/>
  <c r="E14" i="44"/>
  <c r="M12" i="359"/>
  <c r="T12" i="359" s="1"/>
  <c r="U12" i="359" s="1"/>
  <c r="V12" i="359" s="1"/>
  <c r="F5" i="359"/>
  <c r="F13" i="359" s="1"/>
  <c r="D13" i="12"/>
  <c r="R8" i="44"/>
  <c r="M7" i="354"/>
  <c r="F13" i="353"/>
  <c r="F5" i="352"/>
  <c r="H10" i="12"/>
  <c r="M32" i="350"/>
  <c r="T32" i="350" s="1"/>
  <c r="U32" i="350" s="1"/>
  <c r="V32" i="350" s="1"/>
  <c r="F37" i="351"/>
  <c r="F74" i="351"/>
  <c r="F11" i="351"/>
  <c r="W9" i="12"/>
  <c r="M60" i="351"/>
  <c r="T60" i="351" s="1"/>
  <c r="U60" i="351" s="1"/>
  <c r="W60" i="351" s="1"/>
  <c r="T105" i="351"/>
  <c r="U105" i="351" s="1"/>
  <c r="W105" i="351" s="1"/>
  <c r="M41" i="351"/>
  <c r="T41" i="351" s="1"/>
  <c r="U41" i="351" s="1"/>
  <c r="W41" i="351" s="1"/>
  <c r="M50" i="351"/>
  <c r="T50" i="351" s="1"/>
  <c r="U50" i="351" s="1"/>
  <c r="W50" i="351" s="1"/>
  <c r="M77" i="351"/>
  <c r="T77" i="351" s="1"/>
  <c r="U77" i="351" s="1"/>
  <c r="W77" i="351" s="1"/>
  <c r="M39" i="351"/>
  <c r="T39" i="351" s="1"/>
  <c r="U39" i="351" s="1"/>
  <c r="W39" i="351" s="1"/>
  <c r="M98" i="351"/>
  <c r="O98" i="351" s="1"/>
  <c r="M104" i="351"/>
  <c r="T104" i="351" s="1"/>
  <c r="U104" i="351" s="1"/>
  <c r="W104" i="351" s="1"/>
  <c r="T80" i="351"/>
  <c r="U80" i="351" s="1"/>
  <c r="W80" i="351" s="1"/>
  <c r="F112" i="351"/>
  <c r="X9" i="12"/>
  <c r="M58" i="351"/>
  <c r="T58" i="351" s="1"/>
  <c r="U58" i="351" s="1"/>
  <c r="W58" i="351" s="1"/>
  <c r="K69" i="351"/>
  <c r="L69" i="351" s="1"/>
  <c r="P69" i="351" s="1"/>
  <c r="M69" i="351" s="1"/>
  <c r="T69" i="351" s="1"/>
  <c r="U69" i="351" s="1"/>
  <c r="W69" i="351" s="1"/>
  <c r="P9" i="12"/>
  <c r="O11" i="351"/>
  <c r="M31" i="351"/>
  <c r="O31" i="351" s="1"/>
  <c r="M62" i="351"/>
  <c r="O62" i="351" s="1"/>
  <c r="M87" i="351"/>
  <c r="E9" i="12"/>
  <c r="V9" i="12"/>
  <c r="T27" i="351"/>
  <c r="U27" i="351" s="1"/>
  <c r="W27" i="351" s="1"/>
  <c r="M36" i="351"/>
  <c r="T36" i="351" s="1"/>
  <c r="U36" i="351" s="1"/>
  <c r="W36" i="351" s="1"/>
  <c r="M97" i="351"/>
  <c r="T97" i="351" s="1"/>
  <c r="U97" i="351" s="1"/>
  <c r="W97" i="351" s="1"/>
  <c r="M53" i="351"/>
  <c r="O53" i="351" s="1"/>
  <c r="O12" i="351"/>
  <c r="M81" i="351"/>
  <c r="O81" i="351" s="1"/>
  <c r="M91" i="351"/>
  <c r="T91" i="351" s="1"/>
  <c r="U91" i="351" s="1"/>
  <c r="W91" i="351" s="1"/>
  <c r="M93" i="351"/>
  <c r="T93" i="351" s="1"/>
  <c r="U93" i="351" s="1"/>
  <c r="W93" i="351" s="1"/>
  <c r="M21" i="351"/>
  <c r="O21" i="351" s="1"/>
  <c r="M59" i="351"/>
  <c r="O59" i="351" s="1"/>
  <c r="O13" i="358"/>
  <c r="T8" i="358"/>
  <c r="U8" i="358" s="1"/>
  <c r="V8" i="358" s="1"/>
  <c r="O7" i="358"/>
  <c r="T7" i="358"/>
  <c r="U7" i="358" s="1"/>
  <c r="V7" i="358" s="1"/>
  <c r="L17" i="358"/>
  <c r="P17" i="358" s="1"/>
  <c r="P7" i="359"/>
  <c r="M7" i="359" s="1"/>
  <c r="M9" i="359"/>
  <c r="O9" i="359" s="1"/>
  <c r="M11" i="359"/>
  <c r="O11" i="359" s="1"/>
  <c r="P8" i="359"/>
  <c r="P10" i="359"/>
  <c r="O13" i="44"/>
  <c r="M6" i="359"/>
  <c r="O6" i="359" s="1"/>
  <c r="E12" i="81"/>
  <c r="H16" i="12"/>
  <c r="F16" i="12"/>
  <c r="O9" i="12"/>
  <c r="P6" i="355"/>
  <c r="M6" i="355" s="1"/>
  <c r="O6" i="355" s="1"/>
  <c r="P13" i="12"/>
  <c r="G13" i="12"/>
  <c r="P5" i="355"/>
  <c r="P9" i="355"/>
  <c r="M10" i="355"/>
  <c r="T10" i="355" s="1"/>
  <c r="U10" i="355" s="1"/>
  <c r="M11" i="355"/>
  <c r="O11" i="355" s="1"/>
  <c r="H13" i="12"/>
  <c r="U13" i="12"/>
  <c r="B13" i="12"/>
  <c r="V13" i="12"/>
  <c r="C13" i="12"/>
  <c r="W13" i="12"/>
  <c r="E13" i="12"/>
  <c r="X13" i="12"/>
  <c r="O13" i="12"/>
  <c r="Y13" i="12"/>
  <c r="Q10" i="44" s="1"/>
  <c r="R10" i="44" s="1"/>
  <c r="L13" i="12"/>
  <c r="W152" i="380"/>
  <c r="F23" i="313"/>
  <c r="F23" i="337" s="1"/>
  <c r="O5" i="44"/>
  <c r="M25" i="350"/>
  <c r="T25" i="350" s="1"/>
  <c r="U25" i="350" s="1"/>
  <c r="V25" i="350" s="1"/>
  <c r="M48" i="350"/>
  <c r="O48" i="350" s="1"/>
  <c r="G9" i="12"/>
  <c r="H9" i="12"/>
  <c r="F9" i="12"/>
  <c r="M92" i="351"/>
  <c r="T92" i="351" s="1"/>
  <c r="U92" i="351" s="1"/>
  <c r="W92" i="351" s="1"/>
  <c r="O49" i="351"/>
  <c r="M100" i="351"/>
  <c r="T100" i="351" s="1"/>
  <c r="U100" i="351" s="1"/>
  <c r="W100" i="351" s="1"/>
  <c r="T73" i="351"/>
  <c r="U73" i="351" s="1"/>
  <c r="W73" i="351" s="1"/>
  <c r="P70" i="351"/>
  <c r="P7" i="351"/>
  <c r="M7" i="351" s="1"/>
  <c r="P9" i="351"/>
  <c r="P26" i="351"/>
  <c r="M26" i="351" s="1"/>
  <c r="P30" i="351"/>
  <c r="M30" i="351" s="1"/>
  <c r="P20" i="351"/>
  <c r="M20" i="351" s="1"/>
  <c r="P28" i="351"/>
  <c r="M28" i="351" s="1"/>
  <c r="P32" i="351"/>
  <c r="M32" i="351" s="1"/>
  <c r="P34" i="351"/>
  <c r="P13" i="351"/>
  <c r="M13" i="351" s="1"/>
  <c r="P15" i="351"/>
  <c r="M15" i="351" s="1"/>
  <c r="O24" i="351"/>
  <c r="T22" i="351"/>
  <c r="U22" i="351" s="1"/>
  <c r="W22" i="351" s="1"/>
  <c r="P6" i="351"/>
  <c r="M6" i="351" s="1"/>
  <c r="P8" i="351"/>
  <c r="M8" i="351" s="1"/>
  <c r="P10" i="351"/>
  <c r="M10" i="351" s="1"/>
  <c r="P29" i="351"/>
  <c r="P25" i="351"/>
  <c r="M25" i="351" s="1"/>
  <c r="P33" i="351"/>
  <c r="M33" i="351" s="1"/>
  <c r="M35" i="351"/>
  <c r="O35" i="351" s="1"/>
  <c r="P14" i="351"/>
  <c r="M14" i="351" s="1"/>
  <c r="P16" i="351"/>
  <c r="M16" i="351" s="1"/>
  <c r="O19" i="351"/>
  <c r="P23" i="351"/>
  <c r="M23" i="351" s="1"/>
  <c r="P48" i="351"/>
  <c r="M48" i="351" s="1"/>
  <c r="P46" i="351"/>
  <c r="P71" i="351"/>
  <c r="M71" i="351" s="1"/>
  <c r="O80" i="351"/>
  <c r="P83" i="351"/>
  <c r="M83" i="351" s="1"/>
  <c r="P99" i="351"/>
  <c r="M95" i="351"/>
  <c r="T95" i="351" s="1"/>
  <c r="U95" i="351" s="1"/>
  <c r="W95" i="351" s="1"/>
  <c r="P43" i="351"/>
  <c r="M43" i="351" s="1"/>
  <c r="P55" i="351"/>
  <c r="M55" i="351" s="1"/>
  <c r="M65" i="351"/>
  <c r="O65" i="351" s="1"/>
  <c r="P67" i="351"/>
  <c r="M67" i="351" s="1"/>
  <c r="P74" i="351"/>
  <c r="M74" i="351" s="1"/>
  <c r="P79" i="351"/>
  <c r="M79" i="351" s="1"/>
  <c r="P85" i="351"/>
  <c r="M85" i="351" s="1"/>
  <c r="P89" i="351"/>
  <c r="M89" i="351" s="1"/>
  <c r="P94" i="351"/>
  <c r="M94" i="351" s="1"/>
  <c r="M101" i="351"/>
  <c r="T101" i="351" s="1"/>
  <c r="U101" i="351" s="1"/>
  <c r="W101" i="351" s="1"/>
  <c r="P103" i="351"/>
  <c r="M103" i="351" s="1"/>
  <c r="P109" i="351"/>
  <c r="M111" i="351"/>
  <c r="T111" i="351" s="1"/>
  <c r="U111" i="351" s="1"/>
  <c r="O47" i="351"/>
  <c r="M57" i="351"/>
  <c r="T57" i="351" s="1"/>
  <c r="U57" i="351" s="1"/>
  <c r="W57" i="351" s="1"/>
  <c r="P45" i="351"/>
  <c r="M45" i="351" s="1"/>
  <c r="P52" i="351"/>
  <c r="P76" i="351"/>
  <c r="P96" i="351"/>
  <c r="M96" i="351" s="1"/>
  <c r="P38" i="351"/>
  <c r="M38" i="351" s="1"/>
  <c r="M78" i="351"/>
  <c r="O78" i="351" s="1"/>
  <c r="P82" i="351"/>
  <c r="M82" i="351" s="1"/>
  <c r="P110" i="351"/>
  <c r="O44" i="351"/>
  <c r="O54" i="351"/>
  <c r="P56" i="351"/>
  <c r="M56" i="351" s="1"/>
  <c r="P66" i="351"/>
  <c r="M66" i="351" s="1"/>
  <c r="P72" i="351"/>
  <c r="M72" i="351" s="1"/>
  <c r="M84" i="351"/>
  <c r="O84" i="351" s="1"/>
  <c r="P86" i="351"/>
  <c r="P88" i="351"/>
  <c r="M88" i="351" s="1"/>
  <c r="P90" i="351"/>
  <c r="P102" i="351"/>
  <c r="M102" i="351" s="1"/>
  <c r="L112" i="351"/>
  <c r="M108" i="351"/>
  <c r="O108" i="351" s="1"/>
  <c r="P63" i="351"/>
  <c r="P37" i="351"/>
  <c r="M37" i="351" s="1"/>
  <c r="P40" i="351"/>
  <c r="M40" i="351" s="1"/>
  <c r="T61" i="351"/>
  <c r="U61" i="351" s="1"/>
  <c r="W61" i="351" s="1"/>
  <c r="O68" i="351"/>
  <c r="P75" i="351"/>
  <c r="M75" i="351" s="1"/>
  <c r="O97" i="351"/>
  <c r="V25" i="97"/>
  <c r="W25" i="97"/>
  <c r="M118" i="336"/>
  <c r="M123" i="336" s="1"/>
  <c r="T16" i="350"/>
  <c r="U16" i="350" s="1"/>
  <c r="V16" i="350" s="1"/>
  <c r="M60" i="350"/>
  <c r="O60" i="350" s="1"/>
  <c r="M47" i="350"/>
  <c r="T47" i="350" s="1"/>
  <c r="U47" i="350" s="1"/>
  <c r="V47" i="350" s="1"/>
  <c r="M52" i="350"/>
  <c r="T52" i="350" s="1"/>
  <c r="U52" i="350" s="1"/>
  <c r="V52" i="350" s="1"/>
  <c r="M57" i="350"/>
  <c r="T57" i="350" s="1"/>
  <c r="U57" i="350" s="1"/>
  <c r="V57" i="350" s="1"/>
  <c r="P7" i="12"/>
  <c r="M53" i="350"/>
  <c r="O53" i="350" s="1"/>
  <c r="T13" i="350"/>
  <c r="U13" i="350" s="1"/>
  <c r="V13" i="350" s="1"/>
  <c r="E14" i="67"/>
  <c r="P34" i="350"/>
  <c r="M34" i="350" s="1"/>
  <c r="C7" i="12"/>
  <c r="U7" i="12"/>
  <c r="T40" i="350"/>
  <c r="U40" i="350" s="1"/>
  <c r="V40" i="350" s="1"/>
  <c r="M56" i="350"/>
  <c r="T56" i="350" s="1"/>
  <c r="U56" i="350" s="1"/>
  <c r="V56" i="350" s="1"/>
  <c r="L61" i="350"/>
  <c r="P61" i="350" s="1"/>
  <c r="M61" i="350" s="1"/>
  <c r="V7" i="12"/>
  <c r="W7" i="12"/>
  <c r="M51" i="350"/>
  <c r="T51" i="350" s="1"/>
  <c r="U51" i="350" s="1"/>
  <c r="V51" i="350" s="1"/>
  <c r="G7" i="12"/>
  <c r="X7" i="12"/>
  <c r="M10" i="350"/>
  <c r="O10" i="350" s="1"/>
  <c r="O7" i="12"/>
  <c r="P11" i="350"/>
  <c r="P18" i="350"/>
  <c r="T33" i="350"/>
  <c r="U33" i="350" s="1"/>
  <c r="V33" i="350" s="1"/>
  <c r="P44" i="350"/>
  <c r="M44" i="350" s="1"/>
  <c r="M59" i="350"/>
  <c r="O59" i="350" s="1"/>
  <c r="P64" i="350"/>
  <c r="P6" i="350"/>
  <c r="M6" i="350" s="1"/>
  <c r="P23" i="350"/>
  <c r="P39" i="350"/>
  <c r="M39" i="350" s="1"/>
  <c r="M62" i="350"/>
  <c r="O62" i="350" s="1"/>
  <c r="P12" i="350"/>
  <c r="P20" i="350"/>
  <c r="P45" i="350"/>
  <c r="M45" i="350" s="1"/>
  <c r="P37" i="350"/>
  <c r="M37" i="350" s="1"/>
  <c r="P8" i="350"/>
  <c r="M8" i="350" s="1"/>
  <c r="P26" i="350"/>
  <c r="M26" i="350" s="1"/>
  <c r="P28" i="350"/>
  <c r="M28" i="350" s="1"/>
  <c r="M30" i="350"/>
  <c r="T30" i="350" s="1"/>
  <c r="U30" i="350" s="1"/>
  <c r="V30" i="350" s="1"/>
  <c r="P50" i="350"/>
  <c r="M50" i="350" s="1"/>
  <c r="T50" i="350" s="1"/>
  <c r="U50" i="350" s="1"/>
  <c r="V50" i="350" s="1"/>
  <c r="M58" i="350"/>
  <c r="O58" i="350" s="1"/>
  <c r="P9" i="350"/>
  <c r="M9" i="350" s="1"/>
  <c r="P21" i="350"/>
  <c r="M21" i="350" s="1"/>
  <c r="P7" i="350"/>
  <c r="F13" i="350"/>
  <c r="M24" i="350"/>
  <c r="T24" i="350" s="1"/>
  <c r="U24" i="350" s="1"/>
  <c r="V24" i="350" s="1"/>
  <c r="P43" i="350"/>
  <c r="M54" i="350"/>
  <c r="T54" i="350" s="1"/>
  <c r="U54" i="350" s="1"/>
  <c r="V54" i="350" s="1"/>
  <c r="O19" i="350"/>
  <c r="M22" i="350"/>
  <c r="O22" i="350" s="1"/>
  <c r="M27" i="350"/>
  <c r="O27" i="350" s="1"/>
  <c r="M31" i="350"/>
  <c r="O31" i="350" s="1"/>
  <c r="M38" i="350"/>
  <c r="O38" i="350" s="1"/>
  <c r="M42" i="350"/>
  <c r="O42" i="350" s="1"/>
  <c r="O46" i="350"/>
  <c r="M63" i="350"/>
  <c r="O63" i="350" s="1"/>
  <c r="F62" i="350"/>
  <c r="P49" i="350"/>
  <c r="M49" i="350" s="1"/>
  <c r="F7" i="12"/>
  <c r="T10" i="356"/>
  <c r="U10" i="356" s="1"/>
  <c r="W10" i="356" s="1"/>
  <c r="M7" i="356"/>
  <c r="T7" i="356" s="1"/>
  <c r="U7" i="356" s="1"/>
  <c r="W7" i="356" s="1"/>
  <c r="Q14" i="12"/>
  <c r="P9" i="356"/>
  <c r="M9" i="356" s="1"/>
  <c r="O11" i="356"/>
  <c r="M14" i="356"/>
  <c r="T14" i="356" s="1"/>
  <c r="U14" i="356" s="1"/>
  <c r="W14" i="356" s="1"/>
  <c r="P16" i="356"/>
  <c r="P6" i="356"/>
  <c r="M6" i="356" s="1"/>
  <c r="O7" i="356"/>
  <c r="T8" i="356"/>
  <c r="U8" i="356" s="1"/>
  <c r="W8" i="356" s="1"/>
  <c r="L18" i="356"/>
  <c r="E17" i="78"/>
  <c r="O14" i="12"/>
  <c r="O10" i="356"/>
  <c r="B14" i="12"/>
  <c r="P14" i="12"/>
  <c r="C14" i="12"/>
  <c r="E14" i="12"/>
  <c r="V14" i="12"/>
  <c r="G14" i="12"/>
  <c r="X14" i="12"/>
  <c r="F14" i="12"/>
  <c r="P15" i="356"/>
  <c r="E10" i="12"/>
  <c r="W10" i="12"/>
  <c r="X10" i="12"/>
  <c r="G10" i="12"/>
  <c r="O10" i="12"/>
  <c r="P10" i="12"/>
  <c r="T10" i="12"/>
  <c r="C10" i="12"/>
  <c r="V10" i="12"/>
  <c r="M6" i="352"/>
  <c r="O6" i="352" s="1"/>
  <c r="O9" i="352"/>
  <c r="M10" i="352"/>
  <c r="T10" i="352" s="1"/>
  <c r="U10" i="352" s="1"/>
  <c r="W10" i="352" s="1"/>
  <c r="O15" i="352"/>
  <c r="A9" i="352"/>
  <c r="M13" i="352"/>
  <c r="O13" i="352" s="1"/>
  <c r="Q10" i="12"/>
  <c r="O11" i="352"/>
  <c r="L10" i="12"/>
  <c r="O7" i="352"/>
  <c r="M8" i="352"/>
  <c r="O8" i="352" s="1"/>
  <c r="M16" i="352"/>
  <c r="T16" i="352" s="1"/>
  <c r="U16" i="352" s="1"/>
  <c r="W16" i="352" s="1"/>
  <c r="L5" i="352"/>
  <c r="P5" i="352" s="1"/>
  <c r="M5" i="352" s="1"/>
  <c r="F10" i="352"/>
  <c r="F16" i="352"/>
  <c r="L14" i="44"/>
  <c r="T159" i="380"/>
  <c r="E13" i="72"/>
  <c r="Y10" i="12"/>
  <c r="Q7" i="44" s="1"/>
  <c r="R7" i="44" s="1"/>
  <c r="O14" i="352"/>
  <c r="F10" i="12"/>
  <c r="C152" i="380"/>
  <c r="M152" i="380"/>
  <c r="U152" i="380"/>
  <c r="G152" i="380"/>
  <c r="G153" i="380" s="1"/>
  <c r="O152" i="380"/>
  <c r="O153" i="380" s="1"/>
  <c r="X152" i="380"/>
  <c r="X153" i="380" s="1"/>
  <c r="H152" i="380"/>
  <c r="P152" i="380"/>
  <c r="I152" i="380"/>
  <c r="I153" i="380" s="1"/>
  <c r="Q152" i="380"/>
  <c r="S21" i="370"/>
  <c r="J152" i="380"/>
  <c r="J153" i="380" s="1"/>
  <c r="R152" i="380"/>
  <c r="K152" i="380"/>
  <c r="S152" i="380"/>
  <c r="S153" i="380" s="1"/>
  <c r="F152" i="380"/>
  <c r="F153" i="380" s="1"/>
  <c r="N152" i="380"/>
  <c r="V152" i="380"/>
  <c r="L152" i="380"/>
  <c r="T152" i="380"/>
  <c r="Z123" i="336"/>
  <c r="S8" i="354"/>
  <c r="Q12" i="12" s="1"/>
  <c r="F9" i="354"/>
  <c r="B12" i="12"/>
  <c r="P6" i="354"/>
  <c r="M6" i="354" s="1"/>
  <c r="F5" i="354"/>
  <c r="F8" i="354" s="1"/>
  <c r="D12" i="12" s="1"/>
  <c r="K8" i="354"/>
  <c r="I12" i="12" s="1"/>
  <c r="T7" i="354"/>
  <c r="U7" i="354" s="1"/>
  <c r="W7" i="354" s="1"/>
  <c r="L5" i="354"/>
  <c r="P5" i="354" s="1"/>
  <c r="M5" i="354" s="1"/>
  <c r="J22" i="97"/>
  <c r="C14" i="44"/>
  <c r="D23" i="337"/>
  <c r="R123" i="336"/>
  <c r="P90" i="313"/>
  <c r="L8" i="313"/>
  <c r="P8" i="313" s="1"/>
  <c r="J123" i="336"/>
  <c r="F21" i="337"/>
  <c r="Y10" i="336"/>
  <c r="S132" i="313"/>
  <c r="H106" i="337"/>
  <c r="Y106" i="337"/>
  <c r="Q123" i="336"/>
  <c r="P48" i="313"/>
  <c r="N122" i="337"/>
  <c r="E123" i="336"/>
  <c r="I106" i="337"/>
  <c r="Z106" i="337"/>
  <c r="I122" i="337"/>
  <c r="Z122" i="337"/>
  <c r="J106" i="337"/>
  <c r="S8" i="337"/>
  <c r="J122" i="337"/>
  <c r="AB106" i="337"/>
  <c r="X123" i="336"/>
  <c r="N106" i="337"/>
  <c r="L6" i="313"/>
  <c r="P6" i="313" s="1"/>
  <c r="M6" i="313" s="1"/>
  <c r="Q122" i="337"/>
  <c r="H123" i="336"/>
  <c r="Y123" i="336"/>
  <c r="N22" i="97"/>
  <c r="K22" i="97" s="1"/>
  <c r="P103" i="313"/>
  <c r="R106" i="337"/>
  <c r="R122" i="337"/>
  <c r="I123" i="336"/>
  <c r="W122" i="337"/>
  <c r="K132" i="313"/>
  <c r="X106" i="337"/>
  <c r="N123" i="336"/>
  <c r="M47" i="337"/>
  <c r="L103" i="336"/>
  <c r="L29" i="337"/>
  <c r="P29" i="313"/>
  <c r="M29" i="313" s="1"/>
  <c r="L8" i="336"/>
  <c r="L72" i="337"/>
  <c r="P69" i="313"/>
  <c r="M69" i="313" s="1"/>
  <c r="G64" i="336"/>
  <c r="G32" i="337"/>
  <c r="P31" i="313"/>
  <c r="M31" i="313" s="1"/>
  <c r="G114" i="336"/>
  <c r="G52" i="337"/>
  <c r="P39" i="336"/>
  <c r="P66" i="337"/>
  <c r="T64" i="313"/>
  <c r="S75" i="336"/>
  <c r="S73" i="337"/>
  <c r="K79" i="336"/>
  <c r="K84" i="337"/>
  <c r="L81" i="313"/>
  <c r="P81" i="313" s="1"/>
  <c r="M81" i="313" s="1"/>
  <c r="K111" i="336"/>
  <c r="K98" i="337"/>
  <c r="L95" i="313"/>
  <c r="L5" i="337"/>
  <c r="S62" i="336"/>
  <c r="S63" i="336" s="1"/>
  <c r="S7" i="337"/>
  <c r="F19" i="336"/>
  <c r="F17" i="337"/>
  <c r="L21" i="336"/>
  <c r="L19" i="337"/>
  <c r="P19" i="313"/>
  <c r="M19" i="313" s="1"/>
  <c r="F22" i="336"/>
  <c r="F20" i="337"/>
  <c r="F6" i="336"/>
  <c r="F22" i="337"/>
  <c r="F96" i="336"/>
  <c r="F27" i="337"/>
  <c r="K24" i="336"/>
  <c r="K28" i="337"/>
  <c r="L28" i="313"/>
  <c r="L104" i="336"/>
  <c r="L30" i="337"/>
  <c r="F26" i="336"/>
  <c r="F33" i="337"/>
  <c r="K65" i="336"/>
  <c r="K34" i="337"/>
  <c r="L33" i="313"/>
  <c r="K27" i="336"/>
  <c r="K35" i="337"/>
  <c r="L34" i="313"/>
  <c r="P28" i="336"/>
  <c r="P36" i="337"/>
  <c r="O35" i="313"/>
  <c r="D97" i="336"/>
  <c r="D40" i="337"/>
  <c r="F39" i="313"/>
  <c r="S68" i="336"/>
  <c r="S44" i="337"/>
  <c r="F32" i="336"/>
  <c r="F48" i="337"/>
  <c r="G98" i="336"/>
  <c r="G51" i="337"/>
  <c r="K114" i="336"/>
  <c r="K52" i="337"/>
  <c r="L50" i="313"/>
  <c r="P50" i="313" s="1"/>
  <c r="M50" i="313" s="1"/>
  <c r="F37" i="336"/>
  <c r="F60" i="337"/>
  <c r="S39" i="336"/>
  <c r="S66" i="337"/>
  <c r="L74" i="336"/>
  <c r="L71" i="337"/>
  <c r="F41" i="336"/>
  <c r="F76" i="337"/>
  <c r="F78" i="336"/>
  <c r="F82" i="337"/>
  <c r="L109" i="336"/>
  <c r="L83" i="337"/>
  <c r="Q79" i="336"/>
  <c r="Q84" i="337"/>
  <c r="F81" i="336"/>
  <c r="F88" i="337"/>
  <c r="L124" i="336"/>
  <c r="L125" i="336" s="1"/>
  <c r="L89" i="337"/>
  <c r="P85" i="313"/>
  <c r="M85" i="313" s="1"/>
  <c r="D24" i="336"/>
  <c r="D28" i="337"/>
  <c r="F28" i="313"/>
  <c r="D65" i="336"/>
  <c r="D34" i="337"/>
  <c r="F33" i="313"/>
  <c r="K8" i="336"/>
  <c r="K72" i="337"/>
  <c r="F51" i="336"/>
  <c r="F92" i="337"/>
  <c r="F100" i="336"/>
  <c r="F101" i="337"/>
  <c r="F18" i="336"/>
  <c r="F14" i="337"/>
  <c r="F58" i="336"/>
  <c r="F16" i="337"/>
  <c r="P18" i="313"/>
  <c r="M18" i="313" s="1"/>
  <c r="J5" i="336"/>
  <c r="J10" i="336" s="1"/>
  <c r="J21" i="337"/>
  <c r="E95" i="336"/>
  <c r="E112" i="336" s="1"/>
  <c r="E26" i="337"/>
  <c r="K96" i="336"/>
  <c r="K27" i="337"/>
  <c r="L27" i="313"/>
  <c r="P30" i="313"/>
  <c r="L64" i="336"/>
  <c r="L32" i="337"/>
  <c r="K26" i="336"/>
  <c r="K33" i="337"/>
  <c r="L32" i="313"/>
  <c r="S28" i="336"/>
  <c r="S36" i="337"/>
  <c r="P39" i="313"/>
  <c r="L31" i="336"/>
  <c r="L41" i="337"/>
  <c r="P40" i="313"/>
  <c r="M40" i="313" s="1"/>
  <c r="L69" i="336"/>
  <c r="L50" i="337"/>
  <c r="L35" i="336"/>
  <c r="L56" i="337"/>
  <c r="P54" i="313"/>
  <c r="M54" i="313" s="1"/>
  <c r="P43" i="336"/>
  <c r="P78" i="337"/>
  <c r="T75" i="313"/>
  <c r="S79" i="336"/>
  <c r="S84" i="337"/>
  <c r="K82" i="336"/>
  <c r="K94" i="337"/>
  <c r="L91" i="313"/>
  <c r="S99" i="336"/>
  <c r="S99" i="337"/>
  <c r="P100" i="336"/>
  <c r="P101" i="337"/>
  <c r="T98" i="313"/>
  <c r="S122" i="336"/>
  <c r="S104" i="337"/>
  <c r="M106" i="313"/>
  <c r="O106" i="313" s="1"/>
  <c r="T108" i="313"/>
  <c r="U108" i="313" s="1"/>
  <c r="V108" i="313" s="1"/>
  <c r="AA88" i="336"/>
  <c r="AA115" i="337"/>
  <c r="S11" i="336"/>
  <c r="S5" i="337"/>
  <c r="D16" i="336"/>
  <c r="D11" i="337"/>
  <c r="F11" i="313"/>
  <c r="K101" i="336"/>
  <c r="K15" i="337"/>
  <c r="L14" i="313"/>
  <c r="K58" i="336"/>
  <c r="K16" i="337"/>
  <c r="L15" i="313"/>
  <c r="L19" i="336"/>
  <c r="L17" i="337"/>
  <c r="K20" i="336"/>
  <c r="K18" i="337"/>
  <c r="L22" i="336"/>
  <c r="L20" i="337"/>
  <c r="K21" i="337"/>
  <c r="L6" i="336"/>
  <c r="L22" i="337"/>
  <c r="G52" i="336"/>
  <c r="G23" i="337"/>
  <c r="P23" i="313"/>
  <c r="M23" i="313" s="1"/>
  <c r="K102" i="336"/>
  <c r="K25" i="337"/>
  <c r="G95" i="336"/>
  <c r="G26" i="337"/>
  <c r="P26" i="313"/>
  <c r="M26" i="313" s="1"/>
  <c r="Q104" i="336"/>
  <c r="Q30" i="337"/>
  <c r="S30" i="313"/>
  <c r="N64" i="336"/>
  <c r="N32" i="337"/>
  <c r="F30" i="336"/>
  <c r="F38" i="337"/>
  <c r="K66" i="336"/>
  <c r="K39" i="337"/>
  <c r="L97" i="336"/>
  <c r="L40" i="337"/>
  <c r="L32" i="336"/>
  <c r="L48" i="337"/>
  <c r="P47" i="313"/>
  <c r="M47" i="313" s="1"/>
  <c r="S114" i="336"/>
  <c r="S52" i="337"/>
  <c r="L37" i="336"/>
  <c r="L60" i="337"/>
  <c r="P58" i="313"/>
  <c r="M58" i="313" s="1"/>
  <c r="L71" i="336"/>
  <c r="L64" i="337"/>
  <c r="P62" i="313"/>
  <c r="M62" i="313" s="1"/>
  <c r="S74" i="336"/>
  <c r="S71" i="337"/>
  <c r="L41" i="336"/>
  <c r="L76" i="337"/>
  <c r="P72" i="313"/>
  <c r="M72" i="313" s="1"/>
  <c r="F45" i="336"/>
  <c r="F80" i="337"/>
  <c r="K77" i="336"/>
  <c r="K81" i="337"/>
  <c r="P80" i="313"/>
  <c r="M80" i="313" s="1"/>
  <c r="F120" i="336"/>
  <c r="F87" i="337"/>
  <c r="S124" i="336"/>
  <c r="S125" i="336" s="1"/>
  <c r="S89" i="337"/>
  <c r="K110" i="336"/>
  <c r="K97" i="337"/>
  <c r="L94" i="313"/>
  <c r="R133" i="313"/>
  <c r="P8" i="12" s="1"/>
  <c r="S103" i="313"/>
  <c r="O108" i="313"/>
  <c r="S87" i="336"/>
  <c r="S114" i="337"/>
  <c r="D13" i="336"/>
  <c r="D8" i="337"/>
  <c r="F8" i="313"/>
  <c r="F14" i="336"/>
  <c r="F9" i="337"/>
  <c r="F15" i="336"/>
  <c r="F10" i="337"/>
  <c r="K16" i="336"/>
  <c r="K11" i="337"/>
  <c r="L11" i="313"/>
  <c r="L17" i="336"/>
  <c r="L13" i="337"/>
  <c r="L18" i="336"/>
  <c r="L14" i="337"/>
  <c r="P13" i="313"/>
  <c r="M13" i="313" s="1"/>
  <c r="P20" i="313"/>
  <c r="M20" i="313" s="1"/>
  <c r="P22" i="313"/>
  <c r="M22" i="313" s="1"/>
  <c r="K24" i="337"/>
  <c r="K23" i="336"/>
  <c r="L24" i="313"/>
  <c r="L25" i="313"/>
  <c r="L95" i="336"/>
  <c r="L26" i="337"/>
  <c r="Q64" i="336"/>
  <c r="Q32" i="337"/>
  <c r="L38" i="313"/>
  <c r="P38" i="313" s="1"/>
  <c r="F107" i="336"/>
  <c r="F46" i="337"/>
  <c r="L118" i="336"/>
  <c r="L123" i="336" s="1"/>
  <c r="L47" i="337"/>
  <c r="O46" i="313"/>
  <c r="P49" i="313"/>
  <c r="F7" i="336"/>
  <c r="F58" i="337"/>
  <c r="L53" i="336"/>
  <c r="L59" i="337"/>
  <c r="L76" i="336"/>
  <c r="L75" i="337"/>
  <c r="P71" i="313"/>
  <c r="S43" i="336"/>
  <c r="S78" i="337"/>
  <c r="L78" i="313"/>
  <c r="P78" i="336"/>
  <c r="P82" i="337"/>
  <c r="M79" i="313"/>
  <c r="T79" i="313" s="1"/>
  <c r="P81" i="336"/>
  <c r="P88" i="337"/>
  <c r="F46" i="336"/>
  <c r="F93" i="337"/>
  <c r="F84" i="336"/>
  <c r="F96" i="337"/>
  <c r="L57" i="336"/>
  <c r="L111" i="337"/>
  <c r="P122" i="313"/>
  <c r="M122" i="313" s="1"/>
  <c r="Q15" i="336"/>
  <c r="Q61" i="336" s="1"/>
  <c r="Q10" i="337"/>
  <c r="Q133" i="313"/>
  <c r="O8" i="12" s="1"/>
  <c r="S10" i="313"/>
  <c r="K103" i="336"/>
  <c r="K29" i="337"/>
  <c r="F27" i="336"/>
  <c r="F35" i="337"/>
  <c r="F31" i="336"/>
  <c r="F41" i="337"/>
  <c r="S107" i="336"/>
  <c r="S46" i="337"/>
  <c r="S7" i="336"/>
  <c r="S58" i="337"/>
  <c r="K54" i="336"/>
  <c r="K65" i="337"/>
  <c r="L63" i="313"/>
  <c r="P74" i="313"/>
  <c r="M74" i="313" s="1"/>
  <c r="A7" i="313"/>
  <c r="A8" i="313" s="1"/>
  <c r="A9" i="313" s="1"/>
  <c r="A10" i="313" s="1"/>
  <c r="A11" i="313" s="1"/>
  <c r="A12" i="313" s="1"/>
  <c r="A13" i="313" s="1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A45" i="313" s="1"/>
  <c r="A46" i="313" s="1"/>
  <c r="A47" i="313" s="1"/>
  <c r="A48" i="313" s="1"/>
  <c r="A49" i="313" s="1"/>
  <c r="A50" i="313" s="1"/>
  <c r="A51" i="313" s="1"/>
  <c r="A52" i="313" s="1"/>
  <c r="A53" i="313" s="1"/>
  <c r="A54" i="313" s="1"/>
  <c r="A55" i="313" s="1"/>
  <c r="A56" i="313" s="1"/>
  <c r="A57" i="313" s="1"/>
  <c r="A58" i="313" s="1"/>
  <c r="A59" i="313" s="1"/>
  <c r="A60" i="313" s="1"/>
  <c r="A61" i="313" s="1"/>
  <c r="A62" i="313" s="1"/>
  <c r="A63" i="313" s="1"/>
  <c r="A64" i="313" s="1"/>
  <c r="A65" i="313" s="1"/>
  <c r="A66" i="313" s="1"/>
  <c r="A67" i="313" s="1"/>
  <c r="A68" i="313" s="1"/>
  <c r="A69" i="313" s="1"/>
  <c r="A70" i="313" s="1"/>
  <c r="A71" i="313" s="1"/>
  <c r="A72" i="313" s="1"/>
  <c r="A73" i="313" s="1"/>
  <c r="A74" i="313" s="1"/>
  <c r="A75" i="313" s="1"/>
  <c r="A76" i="313" s="1"/>
  <c r="A77" i="313" s="1"/>
  <c r="A78" i="313" s="1"/>
  <c r="A79" i="313" s="1"/>
  <c r="A80" i="313" s="1"/>
  <c r="A81" i="313" s="1"/>
  <c r="A82" i="313" s="1"/>
  <c r="A83" i="313" s="1"/>
  <c r="A84" i="313" s="1"/>
  <c r="A85" i="313" s="1"/>
  <c r="A86" i="313" s="1"/>
  <c r="A87" i="313" s="1"/>
  <c r="A88" i="313" s="1"/>
  <c r="A89" i="313" s="1"/>
  <c r="A90" i="313" s="1"/>
  <c r="A91" i="313" s="1"/>
  <c r="A92" i="313" s="1"/>
  <c r="A93" i="313" s="1"/>
  <c r="A94" i="313" s="1"/>
  <c r="A95" i="313" s="1"/>
  <c r="A96" i="313" s="1"/>
  <c r="A97" i="313" s="1"/>
  <c r="A98" i="313" s="1"/>
  <c r="A99" i="313" s="1"/>
  <c r="A100" i="313" s="1"/>
  <c r="A101" i="313" s="1"/>
  <c r="A102" i="313" s="1"/>
  <c r="A103" i="313" s="1"/>
  <c r="A104" i="313" s="1"/>
  <c r="A105" i="313" s="1"/>
  <c r="A106" i="313" s="1"/>
  <c r="A107" i="313" s="1"/>
  <c r="A108" i="313" s="1"/>
  <c r="A109" i="313" s="1"/>
  <c r="A110" i="313" s="1"/>
  <c r="A111" i="313" s="1"/>
  <c r="A112" i="313" s="1"/>
  <c r="A113" i="313" s="1"/>
  <c r="L15" i="336"/>
  <c r="L10" i="337"/>
  <c r="P10" i="313"/>
  <c r="S21" i="336"/>
  <c r="S19" i="337"/>
  <c r="S22" i="336"/>
  <c r="S20" i="337"/>
  <c r="S6" i="336"/>
  <c r="S22" i="337"/>
  <c r="L52" i="336"/>
  <c r="L23" i="337"/>
  <c r="S64" i="336"/>
  <c r="S32" i="337"/>
  <c r="K30" i="336"/>
  <c r="K38" i="337"/>
  <c r="L37" i="313"/>
  <c r="P37" i="313" s="1"/>
  <c r="M37" i="313" s="1"/>
  <c r="F68" i="336"/>
  <c r="F44" i="337"/>
  <c r="K106" i="336"/>
  <c r="K45" i="337"/>
  <c r="Q69" i="336"/>
  <c r="Q50" i="337"/>
  <c r="S48" i="313"/>
  <c r="Q98" i="336"/>
  <c r="Q51" i="337"/>
  <c r="S49" i="313"/>
  <c r="K34" i="336"/>
  <c r="K55" i="337"/>
  <c r="L53" i="313"/>
  <c r="S35" i="336"/>
  <c r="S56" i="337"/>
  <c r="F39" i="336"/>
  <c r="F66" i="337"/>
  <c r="L72" i="336"/>
  <c r="L67" i="337"/>
  <c r="P65" i="313"/>
  <c r="K108" i="336"/>
  <c r="K68" i="337"/>
  <c r="L66" i="313"/>
  <c r="F43" i="336"/>
  <c r="F78" i="337"/>
  <c r="F44" i="336"/>
  <c r="F79" i="337"/>
  <c r="N77" i="336"/>
  <c r="N81" i="337"/>
  <c r="S78" i="336"/>
  <c r="S82" i="337"/>
  <c r="L120" i="336"/>
  <c r="L87" i="337"/>
  <c r="P83" i="313"/>
  <c r="M83" i="313" s="1"/>
  <c r="K55" i="336"/>
  <c r="K90" i="337"/>
  <c r="L86" i="313"/>
  <c r="D83" i="336"/>
  <c r="D95" i="337"/>
  <c r="F92" i="313"/>
  <c r="T102" i="313"/>
  <c r="U102" i="313" s="1"/>
  <c r="V102" i="313" s="1"/>
  <c r="S47" i="336"/>
  <c r="S109" i="337"/>
  <c r="Q11" i="337"/>
  <c r="P68" i="336"/>
  <c r="P44" i="337"/>
  <c r="T43" i="313"/>
  <c r="D62" i="336"/>
  <c r="D63" i="336" s="1"/>
  <c r="D7" i="337"/>
  <c r="F7" i="313"/>
  <c r="L14" i="336"/>
  <c r="L9" i="337"/>
  <c r="P9" i="313"/>
  <c r="M9" i="313" s="1"/>
  <c r="P17" i="336"/>
  <c r="P13" i="337"/>
  <c r="P16" i="313"/>
  <c r="M16" i="313" s="1"/>
  <c r="S20" i="336"/>
  <c r="S18" i="337"/>
  <c r="S102" i="336"/>
  <c r="S25" i="337"/>
  <c r="F28" i="336"/>
  <c r="F36" i="337"/>
  <c r="L29" i="336"/>
  <c r="L37" i="337"/>
  <c r="Q30" i="336"/>
  <c r="Q38" i="337"/>
  <c r="Q97" i="336"/>
  <c r="Q40" i="337"/>
  <c r="S39" i="313"/>
  <c r="K67" i="336"/>
  <c r="K43" i="337"/>
  <c r="L106" i="336"/>
  <c r="L45" i="337"/>
  <c r="P44" i="313"/>
  <c r="M44" i="313" s="1"/>
  <c r="P118" i="336"/>
  <c r="P123" i="336" s="1"/>
  <c r="P47" i="337"/>
  <c r="T46" i="313"/>
  <c r="AA69" i="336"/>
  <c r="AA50" i="337"/>
  <c r="K33" i="336"/>
  <c r="K54" i="337"/>
  <c r="S34" i="336"/>
  <c r="S55" i="337"/>
  <c r="F36" i="336"/>
  <c r="F57" i="337"/>
  <c r="P53" i="336"/>
  <c r="P59" i="337"/>
  <c r="K70" i="336"/>
  <c r="K63" i="337"/>
  <c r="L61" i="313"/>
  <c r="S71" i="336"/>
  <c r="S64" i="337"/>
  <c r="S108" i="336"/>
  <c r="S68" i="337"/>
  <c r="F74" i="336"/>
  <c r="F71" i="337"/>
  <c r="K44" i="336"/>
  <c r="K79" i="337"/>
  <c r="L76" i="313"/>
  <c r="P45" i="336"/>
  <c r="P80" i="337"/>
  <c r="T77" i="313"/>
  <c r="F79" i="336"/>
  <c r="F84" i="337"/>
  <c r="L80" i="336"/>
  <c r="L85" i="337"/>
  <c r="F111" i="336"/>
  <c r="F98" i="337"/>
  <c r="F99" i="336"/>
  <c r="F99" i="337"/>
  <c r="P107" i="313"/>
  <c r="M107" i="313" s="1"/>
  <c r="S29" i="337"/>
  <c r="P29" i="336"/>
  <c r="P37" i="337"/>
  <c r="L59" i="336"/>
  <c r="L62" i="337"/>
  <c r="P60" i="313"/>
  <c r="M60" i="313" s="1"/>
  <c r="P80" i="336"/>
  <c r="P85" i="337"/>
  <c r="F87" i="336"/>
  <c r="F114" i="337"/>
  <c r="S22" i="97"/>
  <c r="F11" i="336"/>
  <c r="F5" i="337"/>
  <c r="K62" i="336"/>
  <c r="K63" i="336" s="1"/>
  <c r="K7" i="337"/>
  <c r="L7" i="313"/>
  <c r="S11" i="313"/>
  <c r="D21" i="336"/>
  <c r="D19" i="337"/>
  <c r="F19" i="313"/>
  <c r="S95" i="336"/>
  <c r="S26" i="337"/>
  <c r="G104" i="336"/>
  <c r="G30" i="337"/>
  <c r="F64" i="336"/>
  <c r="F32" i="337"/>
  <c r="AA64" i="336"/>
  <c r="AA32" i="337"/>
  <c r="T36" i="313"/>
  <c r="S37" i="313"/>
  <c r="L42" i="313"/>
  <c r="P107" i="336"/>
  <c r="P46" i="337"/>
  <c r="L52" i="313"/>
  <c r="K36" i="336"/>
  <c r="K57" i="337"/>
  <c r="L55" i="313"/>
  <c r="P7" i="336"/>
  <c r="P58" i="337"/>
  <c r="M56" i="313"/>
  <c r="T56" i="313" s="1"/>
  <c r="K59" i="336"/>
  <c r="K62" i="337"/>
  <c r="S70" i="336"/>
  <c r="S63" i="337"/>
  <c r="F54" i="336"/>
  <c r="F65" i="337"/>
  <c r="G74" i="336"/>
  <c r="G71" i="337"/>
  <c r="P68" i="313"/>
  <c r="M68" i="313" s="1"/>
  <c r="F8" i="336"/>
  <c r="F72" i="337"/>
  <c r="K75" i="336"/>
  <c r="K73" i="337"/>
  <c r="L70" i="313"/>
  <c r="Q76" i="336"/>
  <c r="Q75" i="337"/>
  <c r="S71" i="313"/>
  <c r="S45" i="336"/>
  <c r="S80" i="337"/>
  <c r="M82" i="313"/>
  <c r="T82" i="313" s="1"/>
  <c r="F103" i="313"/>
  <c r="L88" i="336"/>
  <c r="L115" i="337"/>
  <c r="S14" i="336"/>
  <c r="S9" i="337"/>
  <c r="K17" i="336"/>
  <c r="K13" i="337"/>
  <c r="S18" i="336"/>
  <c r="S14" i="337"/>
  <c r="D58" i="336"/>
  <c r="D16" i="337"/>
  <c r="N19" i="336"/>
  <c r="N17" i="337"/>
  <c r="F20" i="336"/>
  <c r="F18" i="337"/>
  <c r="K21" i="336"/>
  <c r="K19" i="337"/>
  <c r="I5" i="336"/>
  <c r="I10" i="336" s="1"/>
  <c r="I21" i="337"/>
  <c r="I133" i="313"/>
  <c r="G8" i="12" s="1"/>
  <c r="E52" i="336"/>
  <c r="E23" i="337"/>
  <c r="S52" i="336"/>
  <c r="S23" i="337"/>
  <c r="F102" i="336"/>
  <c r="F25" i="337"/>
  <c r="D64" i="336"/>
  <c r="D32" i="337"/>
  <c r="D26" i="336"/>
  <c r="D33" i="337"/>
  <c r="D27" i="336"/>
  <c r="D35" i="337"/>
  <c r="K29" i="336"/>
  <c r="K37" i="337"/>
  <c r="G66" i="336"/>
  <c r="G39" i="337"/>
  <c r="S31" i="336"/>
  <c r="S41" i="337"/>
  <c r="F67" i="336"/>
  <c r="F43" i="337"/>
  <c r="F106" i="336"/>
  <c r="F45" i="337"/>
  <c r="K118" i="336"/>
  <c r="K123" i="336" s="1"/>
  <c r="K47" i="337"/>
  <c r="S32" i="336"/>
  <c r="S48" i="337"/>
  <c r="F114" i="336"/>
  <c r="F52" i="337"/>
  <c r="F33" i="336"/>
  <c r="F54" i="337"/>
  <c r="K53" i="336"/>
  <c r="K59" i="337"/>
  <c r="S37" i="336"/>
  <c r="S60" i="337"/>
  <c r="F59" i="336"/>
  <c r="F62" i="337"/>
  <c r="K72" i="336"/>
  <c r="K67" i="337"/>
  <c r="L67" i="313"/>
  <c r="Q74" i="336"/>
  <c r="Q71" i="337"/>
  <c r="S41" i="336"/>
  <c r="S76" i="337"/>
  <c r="N43" i="336"/>
  <c r="N78" i="337"/>
  <c r="G77" i="336"/>
  <c r="G81" i="337"/>
  <c r="K109" i="336"/>
  <c r="K83" i="337"/>
  <c r="K80" i="336"/>
  <c r="K85" i="337"/>
  <c r="S120" i="336"/>
  <c r="S87" i="337"/>
  <c r="K124" i="336"/>
  <c r="K125" i="336" s="1"/>
  <c r="K89" i="337"/>
  <c r="S50" i="336"/>
  <c r="S91" i="337"/>
  <c r="S46" i="336"/>
  <c r="S93" i="337"/>
  <c r="S84" i="336"/>
  <c r="S96" i="337"/>
  <c r="S111" i="336"/>
  <c r="S98" i="337"/>
  <c r="S60" i="336"/>
  <c r="S102" i="337"/>
  <c r="F122" i="336"/>
  <c r="F104" i="337"/>
  <c r="F57" i="336"/>
  <c r="F111" i="337"/>
  <c r="AA86" i="336"/>
  <c r="AA113" i="337"/>
  <c r="S89" i="336"/>
  <c r="S116" i="337"/>
  <c r="AA132" i="313"/>
  <c r="K14" i="336"/>
  <c r="K9" i="337"/>
  <c r="K18" i="336"/>
  <c r="K14" i="337"/>
  <c r="S101" i="336"/>
  <c r="S15" i="337"/>
  <c r="S19" i="336"/>
  <c r="S17" i="337"/>
  <c r="N21" i="336"/>
  <c r="N19" i="337"/>
  <c r="D22" i="336"/>
  <c r="D20" i="337"/>
  <c r="K52" i="336"/>
  <c r="K23" i="337"/>
  <c r="S23" i="336"/>
  <c r="S24" i="337"/>
  <c r="D95" i="336"/>
  <c r="D26" i="337"/>
  <c r="S24" i="336"/>
  <c r="S28" i="337"/>
  <c r="F104" i="336"/>
  <c r="F30" i="337"/>
  <c r="K64" i="336"/>
  <c r="K32" i="337"/>
  <c r="S65" i="336"/>
  <c r="S34" i="337"/>
  <c r="G30" i="336"/>
  <c r="G38" i="337"/>
  <c r="K31" i="336"/>
  <c r="K41" i="337"/>
  <c r="S105" i="336"/>
  <c r="S42" i="337"/>
  <c r="D68" i="336"/>
  <c r="D44" i="337"/>
  <c r="D107" i="336"/>
  <c r="D46" i="337"/>
  <c r="K32" i="336"/>
  <c r="K48" i="337"/>
  <c r="F98" i="336"/>
  <c r="F51" i="337"/>
  <c r="S116" i="336"/>
  <c r="S117" i="336" s="1"/>
  <c r="S53" i="337"/>
  <c r="F34" i="336"/>
  <c r="F55" i="337"/>
  <c r="K37" i="336"/>
  <c r="K60" i="337"/>
  <c r="S38" i="336"/>
  <c r="S61" i="337"/>
  <c r="F70" i="336"/>
  <c r="F63" i="337"/>
  <c r="N72" i="336"/>
  <c r="N67" i="337"/>
  <c r="F108" i="336"/>
  <c r="F68" i="337"/>
  <c r="K74" i="336"/>
  <c r="K71" i="337"/>
  <c r="F75" i="336"/>
  <c r="F73" i="337"/>
  <c r="K41" i="336"/>
  <c r="K76" i="337"/>
  <c r="S42" i="336"/>
  <c r="S77" i="337"/>
  <c r="Q43" i="336"/>
  <c r="Q78" i="337"/>
  <c r="G79" i="336"/>
  <c r="G84" i="337"/>
  <c r="K120" i="336"/>
  <c r="K87" i="337"/>
  <c r="F50" i="336"/>
  <c r="F91" i="337"/>
  <c r="K83" i="336"/>
  <c r="K95" i="337"/>
  <c r="L92" i="313"/>
  <c r="K103" i="337"/>
  <c r="L100" i="313"/>
  <c r="F9" i="336"/>
  <c r="F105" i="337"/>
  <c r="F49" i="336"/>
  <c r="F119" i="337"/>
  <c r="S6" i="337"/>
  <c r="K11" i="336"/>
  <c r="K5" i="337"/>
  <c r="S17" i="336"/>
  <c r="S13" i="337"/>
  <c r="F101" i="336"/>
  <c r="F15" i="337"/>
  <c r="K19" i="336"/>
  <c r="K17" i="337"/>
  <c r="K22" i="336"/>
  <c r="K20" i="337"/>
  <c r="K22" i="337"/>
  <c r="K6" i="336"/>
  <c r="F23" i="336"/>
  <c r="F24" i="337"/>
  <c r="F26" i="313"/>
  <c r="K104" i="336"/>
  <c r="K30" i="337"/>
  <c r="K28" i="336"/>
  <c r="K36" i="337"/>
  <c r="S29" i="336"/>
  <c r="S37" i="337"/>
  <c r="F105" i="336"/>
  <c r="F42" i="337"/>
  <c r="K68" i="336"/>
  <c r="K44" i="337"/>
  <c r="K107" i="336"/>
  <c r="K46" i="337"/>
  <c r="S118" i="336"/>
  <c r="S123" i="336" s="1"/>
  <c r="S47" i="337"/>
  <c r="F69" i="336"/>
  <c r="F50" i="337"/>
  <c r="K98" i="336"/>
  <c r="K51" i="337"/>
  <c r="F116" i="336"/>
  <c r="F117" i="336" s="1"/>
  <c r="F53" i="337"/>
  <c r="K7" i="336"/>
  <c r="K58" i="337"/>
  <c r="S53" i="336"/>
  <c r="S59" i="337"/>
  <c r="F38" i="336"/>
  <c r="F61" i="337"/>
  <c r="K39" i="336"/>
  <c r="K66" i="337"/>
  <c r="AA74" i="336"/>
  <c r="AA71" i="337"/>
  <c r="F42" i="336"/>
  <c r="F77" i="337"/>
  <c r="K43" i="336"/>
  <c r="K78" i="337"/>
  <c r="K45" i="336"/>
  <c r="K80" i="337"/>
  <c r="K78" i="336"/>
  <c r="K82" i="337"/>
  <c r="S109" i="336"/>
  <c r="S83" i="337"/>
  <c r="S80" i="336"/>
  <c r="S85" i="337"/>
  <c r="K81" i="336"/>
  <c r="K88" i="337"/>
  <c r="L50" i="336"/>
  <c r="L91" i="337"/>
  <c r="P87" i="313"/>
  <c r="M87" i="313" s="1"/>
  <c r="K51" i="336"/>
  <c r="K92" i="337"/>
  <c r="L88" i="313"/>
  <c r="K46" i="336"/>
  <c r="K93" i="337"/>
  <c r="O105" i="313"/>
  <c r="L86" i="336"/>
  <c r="L113" i="337"/>
  <c r="P124" i="313"/>
  <c r="M124" i="313" s="1"/>
  <c r="F89" i="336"/>
  <c r="F116" i="337"/>
  <c r="S48" i="336"/>
  <c r="S117" i="337"/>
  <c r="K8" i="337"/>
  <c r="L28" i="336"/>
  <c r="L36" i="337"/>
  <c r="Q66" i="336"/>
  <c r="Q39" i="337"/>
  <c r="G97" i="336"/>
  <c r="G40" i="337"/>
  <c r="K105" i="336"/>
  <c r="K42" i="337"/>
  <c r="S67" i="336"/>
  <c r="S43" i="337"/>
  <c r="L68" i="336"/>
  <c r="L44" i="337"/>
  <c r="AA68" i="336"/>
  <c r="AA44" i="337"/>
  <c r="S106" i="336"/>
  <c r="S45" i="337"/>
  <c r="L107" i="336"/>
  <c r="L46" i="337"/>
  <c r="G69" i="336"/>
  <c r="G50" i="337"/>
  <c r="L98" i="336"/>
  <c r="L51" i="337"/>
  <c r="K116" i="336"/>
  <c r="K117" i="336" s="1"/>
  <c r="K53" i="337"/>
  <c r="S33" i="336"/>
  <c r="S54" i="337"/>
  <c r="F35" i="336"/>
  <c r="F56" i="337"/>
  <c r="L7" i="336"/>
  <c r="L58" i="337"/>
  <c r="K38" i="336"/>
  <c r="K61" i="337"/>
  <c r="S59" i="336"/>
  <c r="S62" i="337"/>
  <c r="F71" i="336"/>
  <c r="F64" i="337"/>
  <c r="L39" i="336"/>
  <c r="L66" i="337"/>
  <c r="S72" i="336"/>
  <c r="S67" i="337"/>
  <c r="S8" i="336"/>
  <c r="S72" i="337"/>
  <c r="F76" i="336"/>
  <c r="F75" i="337"/>
  <c r="K42" i="336"/>
  <c r="K77" i="337"/>
  <c r="L43" i="336"/>
  <c r="L78" i="337"/>
  <c r="L45" i="336"/>
  <c r="L80" i="337"/>
  <c r="L78" i="336"/>
  <c r="L82" i="337"/>
  <c r="L81" i="336"/>
  <c r="L88" i="337"/>
  <c r="L46" i="336"/>
  <c r="L93" i="337"/>
  <c r="P89" i="313"/>
  <c r="L84" i="336"/>
  <c r="L96" i="337"/>
  <c r="P93" i="313"/>
  <c r="M93" i="313" s="1"/>
  <c r="K99" i="336"/>
  <c r="K99" i="337"/>
  <c r="L96" i="313"/>
  <c r="K121" i="336"/>
  <c r="K100" i="337"/>
  <c r="L97" i="313"/>
  <c r="L100" i="336"/>
  <c r="L101" i="337"/>
  <c r="L60" i="336"/>
  <c r="L102" i="337"/>
  <c r="P99" i="313"/>
  <c r="M99" i="313" s="1"/>
  <c r="P104" i="313"/>
  <c r="M104" i="313" s="1"/>
  <c r="P109" i="313"/>
  <c r="F47" i="336"/>
  <c r="F109" i="337"/>
  <c r="F132" i="313"/>
  <c r="S49" i="336"/>
  <c r="S119" i="337"/>
  <c r="K6" i="337"/>
  <c r="F12" i="336"/>
  <c r="F6" i="337"/>
  <c r="K15" i="336"/>
  <c r="K10" i="337"/>
  <c r="F17" i="336"/>
  <c r="F13" i="337"/>
  <c r="S58" i="336"/>
  <c r="S16" i="337"/>
  <c r="S5" i="336"/>
  <c r="S21" i="337"/>
  <c r="K95" i="336"/>
  <c r="K26" i="337"/>
  <c r="S96" i="336"/>
  <c r="S27" i="337"/>
  <c r="S26" i="336"/>
  <c r="S33" i="337"/>
  <c r="S27" i="336"/>
  <c r="S35" i="337"/>
  <c r="F29" i="336"/>
  <c r="F37" i="337"/>
  <c r="F66" i="336"/>
  <c r="F39" i="337"/>
  <c r="S38" i="313"/>
  <c r="K97" i="336"/>
  <c r="K40" i="337"/>
  <c r="L41" i="313"/>
  <c r="F118" i="336"/>
  <c r="F123" i="336" s="1"/>
  <c r="F47" i="337"/>
  <c r="K69" i="336"/>
  <c r="K50" i="337"/>
  <c r="Q114" i="336"/>
  <c r="Q52" i="337"/>
  <c r="L51" i="313"/>
  <c r="K35" i="336"/>
  <c r="K56" i="337"/>
  <c r="S36" i="336"/>
  <c r="S57" i="337"/>
  <c r="F53" i="336"/>
  <c r="F59" i="337"/>
  <c r="L59" i="313"/>
  <c r="K71" i="336"/>
  <c r="K64" i="337"/>
  <c r="S54" i="336"/>
  <c r="S65" i="337"/>
  <c r="F72" i="336"/>
  <c r="F67" i="337"/>
  <c r="D8" i="336"/>
  <c r="D10" i="336" s="1"/>
  <c r="D72" i="337"/>
  <c r="K76" i="336"/>
  <c r="K75" i="337"/>
  <c r="L73" i="313"/>
  <c r="S44" i="336"/>
  <c r="S79" i="337"/>
  <c r="F77" i="336"/>
  <c r="F81" i="337"/>
  <c r="S77" i="336"/>
  <c r="S81" i="337"/>
  <c r="F109" i="336"/>
  <c r="F83" i="337"/>
  <c r="F80" i="336"/>
  <c r="F85" i="337"/>
  <c r="F124" i="336"/>
  <c r="F125" i="336" s="1"/>
  <c r="F89" i="337"/>
  <c r="S55" i="336"/>
  <c r="S90" i="337"/>
  <c r="O102" i="313"/>
  <c r="S105" i="337"/>
  <c r="S9" i="336"/>
  <c r="P126" i="313"/>
  <c r="M126" i="313" s="1"/>
  <c r="K90" i="336"/>
  <c r="K118" i="337"/>
  <c r="L129" i="313"/>
  <c r="S82" i="336"/>
  <c r="S94" i="337"/>
  <c r="AA83" i="336"/>
  <c r="AA95" i="337"/>
  <c r="Q111" i="336"/>
  <c r="Q98" i="337"/>
  <c r="G99" i="336"/>
  <c r="G99" i="337"/>
  <c r="K100" i="336"/>
  <c r="K101" i="337"/>
  <c r="K47" i="336"/>
  <c r="K109" i="337"/>
  <c r="S56" i="336"/>
  <c r="S110" i="337"/>
  <c r="F85" i="336"/>
  <c r="F112" i="337"/>
  <c r="K87" i="336"/>
  <c r="K114" i="337"/>
  <c r="K89" i="336"/>
  <c r="K116" i="337"/>
  <c r="K49" i="336"/>
  <c r="K119" i="337"/>
  <c r="S91" i="336"/>
  <c r="S120" i="337"/>
  <c r="L47" i="336"/>
  <c r="L109" i="337"/>
  <c r="K85" i="336"/>
  <c r="K112" i="337"/>
  <c r="S86" i="336"/>
  <c r="S113" i="337"/>
  <c r="L87" i="336"/>
  <c r="L114" i="337"/>
  <c r="S88" i="336"/>
  <c r="S115" i="337"/>
  <c r="L89" i="336"/>
  <c r="L116" i="337"/>
  <c r="L49" i="336"/>
  <c r="L119" i="337"/>
  <c r="AA106" i="337"/>
  <c r="S81" i="336"/>
  <c r="S88" i="337"/>
  <c r="F55" i="336"/>
  <c r="F90" i="337"/>
  <c r="F82" i="336"/>
  <c r="F94" i="337"/>
  <c r="D84" i="336"/>
  <c r="D96" i="337"/>
  <c r="G111" i="336"/>
  <c r="G98" i="337"/>
  <c r="S121" i="336"/>
  <c r="S100" i="337"/>
  <c r="K122" i="336"/>
  <c r="K104" i="337"/>
  <c r="K105" i="337"/>
  <c r="K9" i="336"/>
  <c r="F56" i="336"/>
  <c r="F110" i="337"/>
  <c r="L123" i="313"/>
  <c r="F88" i="336"/>
  <c r="F115" i="337"/>
  <c r="K48" i="336"/>
  <c r="K117" i="337"/>
  <c r="S90" i="336"/>
  <c r="S118" i="337"/>
  <c r="F91" i="336"/>
  <c r="F120" i="337"/>
  <c r="N100" i="336"/>
  <c r="N112" i="336" s="1"/>
  <c r="N101" i="337"/>
  <c r="F60" i="336"/>
  <c r="F102" i="337"/>
  <c r="L122" i="336"/>
  <c r="L104" i="337"/>
  <c r="L105" i="337"/>
  <c r="L9" i="336"/>
  <c r="K56" i="336"/>
  <c r="K110" i="337"/>
  <c r="S57" i="336"/>
  <c r="S111" i="337"/>
  <c r="F86" i="336"/>
  <c r="F113" i="337"/>
  <c r="G88" i="336"/>
  <c r="G115" i="337"/>
  <c r="G122" i="337" s="1"/>
  <c r="L48" i="336"/>
  <c r="L117" i="337"/>
  <c r="K91" i="336"/>
  <c r="K120" i="337"/>
  <c r="E106" i="337"/>
  <c r="S83" i="336"/>
  <c r="S95" i="337"/>
  <c r="K84" i="336"/>
  <c r="K96" i="337"/>
  <c r="S110" i="336"/>
  <c r="S97" i="337"/>
  <c r="F121" i="336"/>
  <c r="F100" i="337"/>
  <c r="K60" i="336"/>
  <c r="K102" i="337"/>
  <c r="P120" i="313"/>
  <c r="M120" i="313" s="1"/>
  <c r="L121" i="313"/>
  <c r="K86" i="336"/>
  <c r="K113" i="337"/>
  <c r="P125" i="313"/>
  <c r="M125" i="313" s="1"/>
  <c r="K88" i="336"/>
  <c r="K115" i="337"/>
  <c r="P127" i="313"/>
  <c r="M127" i="313" s="1"/>
  <c r="F90" i="336"/>
  <c r="F118" i="337"/>
  <c r="P130" i="313"/>
  <c r="M130" i="313" s="1"/>
  <c r="L131" i="313"/>
  <c r="AA91" i="336"/>
  <c r="AA120" i="337"/>
  <c r="K50" i="336"/>
  <c r="K91" i="337"/>
  <c r="S51" i="336"/>
  <c r="S92" i="337"/>
  <c r="F110" i="336"/>
  <c r="F97" i="337"/>
  <c r="D99" i="336"/>
  <c r="D99" i="337"/>
  <c r="Q99" i="336"/>
  <c r="Q99" i="337"/>
  <c r="S100" i="336"/>
  <c r="S101" i="337"/>
  <c r="P101" i="313"/>
  <c r="M101" i="313" s="1"/>
  <c r="P110" i="313"/>
  <c r="M110" i="313" s="1"/>
  <c r="K57" i="336"/>
  <c r="K111" i="337"/>
  <c r="S85" i="336"/>
  <c r="S112" i="337"/>
  <c r="P128" i="313"/>
  <c r="Y122" i="337"/>
  <c r="Y123" i="337" s="1"/>
  <c r="E122" i="337"/>
  <c r="E10" i="336"/>
  <c r="N10" i="336"/>
  <c r="H122" i="337"/>
  <c r="X122" i="337"/>
  <c r="X123" i="337" s="1"/>
  <c r="G10" i="336"/>
  <c r="W10" i="336"/>
  <c r="Q10" i="336"/>
  <c r="R10" i="336"/>
  <c r="Z10" i="336"/>
  <c r="R94" i="336"/>
  <c r="I61" i="336"/>
  <c r="Y61" i="336"/>
  <c r="I94" i="336"/>
  <c r="Y94" i="336"/>
  <c r="E61" i="336"/>
  <c r="J94" i="336"/>
  <c r="Z94" i="336"/>
  <c r="AA123" i="336"/>
  <c r="E94" i="336"/>
  <c r="H112" i="336"/>
  <c r="X112" i="336"/>
  <c r="D123" i="336"/>
  <c r="I112" i="336"/>
  <c r="Y112" i="336"/>
  <c r="W94" i="336"/>
  <c r="J112" i="336"/>
  <c r="R112" i="336"/>
  <c r="Z112" i="336"/>
  <c r="H94" i="336"/>
  <c r="X94" i="336"/>
  <c r="AA112" i="336"/>
  <c r="G123" i="336"/>
  <c r="W123" i="336"/>
  <c r="D122" i="337"/>
  <c r="P93" i="336"/>
  <c r="AA10" i="336"/>
  <c r="G61" i="336"/>
  <c r="W61" i="336"/>
  <c r="H61" i="336"/>
  <c r="X61" i="336"/>
  <c r="J61" i="336"/>
  <c r="R61" i="336"/>
  <c r="Z61" i="336"/>
  <c r="B14" i="44"/>
  <c r="F8" i="43" s="1"/>
  <c r="AA61" i="336"/>
  <c r="G106" i="337"/>
  <c r="W106" i="337"/>
  <c r="W123" i="337" s="1"/>
  <c r="H10" i="336"/>
  <c r="X10" i="336"/>
  <c r="P40" i="336"/>
  <c r="F103" i="336"/>
  <c r="G11" i="12"/>
  <c r="M6" i="353"/>
  <c r="O6" i="353" s="1"/>
  <c r="H11" i="12"/>
  <c r="O11" i="12"/>
  <c r="P11" i="12"/>
  <c r="L13" i="353"/>
  <c r="M9" i="353"/>
  <c r="O9" i="353" s="1"/>
  <c r="F11" i="12"/>
  <c r="Q11" i="12"/>
  <c r="I11" i="12"/>
  <c r="C11" i="12"/>
  <c r="L11" i="12"/>
  <c r="E11" i="12"/>
  <c r="P10" i="353"/>
  <c r="M10" i="353" s="1"/>
  <c r="P11" i="353"/>
  <c r="M11" i="353" s="1"/>
  <c r="P8" i="353"/>
  <c r="M8" i="353" s="1"/>
  <c r="L7" i="353"/>
  <c r="L16" i="353" s="1"/>
  <c r="U162" i="380"/>
  <c r="F65" i="350" l="1"/>
  <c r="AO22" i="379"/>
  <c r="W22" i="379"/>
  <c r="AO8" i="379"/>
  <c r="V8" i="379"/>
  <c r="V11" i="378"/>
  <c r="AO11" i="378"/>
  <c r="AO9" i="379"/>
  <c r="V9" i="379"/>
  <c r="V16" i="377"/>
  <c r="AO16" i="377"/>
  <c r="V67" i="372"/>
  <c r="AO67" i="372"/>
  <c r="AO116" i="372"/>
  <c r="V116" i="372"/>
  <c r="V78" i="372"/>
  <c r="AO78" i="372"/>
  <c r="V97" i="372"/>
  <c r="AO97" i="372"/>
  <c r="V73" i="371"/>
  <c r="AO73" i="371"/>
  <c r="V18" i="372"/>
  <c r="AO18" i="372"/>
  <c r="O115" i="372"/>
  <c r="T115" i="372"/>
  <c r="U115" i="372" s="1"/>
  <c r="V114" i="372"/>
  <c r="AO114" i="372"/>
  <c r="V65" i="372"/>
  <c r="AO65" i="372"/>
  <c r="AO22" i="374"/>
  <c r="W22" i="374"/>
  <c r="W75" i="372"/>
  <c r="U127" i="372"/>
  <c r="AO75" i="372"/>
  <c r="V51" i="372"/>
  <c r="AO51" i="372"/>
  <c r="V61" i="372"/>
  <c r="AO61" i="372"/>
  <c r="AO42" i="372"/>
  <c r="V42" i="372"/>
  <c r="V30" i="372"/>
  <c r="AO30" i="372"/>
  <c r="V14" i="372"/>
  <c r="AO14" i="372"/>
  <c r="AO37" i="372"/>
  <c r="V37" i="372"/>
  <c r="V28" i="372"/>
  <c r="AO28" i="372"/>
  <c r="AO12" i="377"/>
  <c r="W12" i="377"/>
  <c r="V77" i="372"/>
  <c r="AO77" i="372"/>
  <c r="V60" i="372"/>
  <c r="AO60" i="372"/>
  <c r="AO58" i="372"/>
  <c r="V58" i="372"/>
  <c r="V44" i="372"/>
  <c r="AO44" i="372"/>
  <c r="V79" i="372"/>
  <c r="AO79" i="372"/>
  <c r="V35" i="372"/>
  <c r="AO35" i="372"/>
  <c r="AO33" i="372"/>
  <c r="V33" i="372"/>
  <c r="AO7" i="371"/>
  <c r="V7" i="371"/>
  <c r="V27" i="372"/>
  <c r="AO27" i="372"/>
  <c r="V40" i="371"/>
  <c r="AO40" i="371"/>
  <c r="V14" i="371"/>
  <c r="AO14" i="371"/>
  <c r="AO8" i="377"/>
  <c r="W8" i="377"/>
  <c r="V7" i="378"/>
  <c r="AO7" i="378"/>
  <c r="AO9" i="375"/>
  <c r="W9" i="375"/>
  <c r="AO8" i="375"/>
  <c r="W8" i="375"/>
  <c r="AO8" i="374"/>
  <c r="W8" i="374"/>
  <c r="V57" i="372"/>
  <c r="AO57" i="372"/>
  <c r="AO13" i="375"/>
  <c r="W13" i="375"/>
  <c r="V32" i="371"/>
  <c r="AO32" i="371"/>
  <c r="M138" i="380"/>
  <c r="AO23" i="379"/>
  <c r="W23" i="379"/>
  <c r="V12" i="378"/>
  <c r="AO12" i="378"/>
  <c r="AO13" i="379"/>
  <c r="W13" i="379"/>
  <c r="V10" i="379"/>
  <c r="AO10" i="379"/>
  <c r="F16" i="375"/>
  <c r="D11" i="370" s="1"/>
  <c r="T89" i="372"/>
  <c r="U89" i="372" s="1"/>
  <c r="M89" i="372"/>
  <c r="O89" i="372" s="1"/>
  <c r="M82" i="372"/>
  <c r="O82" i="372" s="1"/>
  <c r="AO9" i="374"/>
  <c r="W9" i="374"/>
  <c r="M119" i="372"/>
  <c r="O119" i="372" s="1"/>
  <c r="T90" i="372"/>
  <c r="U90" i="372" s="1"/>
  <c r="M90" i="372"/>
  <c r="O90" i="372" s="1"/>
  <c r="V69" i="372"/>
  <c r="AO69" i="372"/>
  <c r="AP107" i="372"/>
  <c r="AP124" i="372" s="1"/>
  <c r="AM8" i="370" s="1"/>
  <c r="AM16" i="370" s="1"/>
  <c r="W18" i="374"/>
  <c r="AO18" i="374"/>
  <c r="M122" i="372"/>
  <c r="O122" i="372" s="1"/>
  <c r="W104" i="372"/>
  <c r="AO104" i="372"/>
  <c r="M99" i="372"/>
  <c r="O99" i="372" s="1"/>
  <c r="M87" i="372"/>
  <c r="O87" i="372" s="1"/>
  <c r="M80" i="372"/>
  <c r="O80" i="372" s="1"/>
  <c r="O8" i="375"/>
  <c r="M11" i="374"/>
  <c r="V73" i="372"/>
  <c r="AO73" i="372"/>
  <c r="W70" i="372"/>
  <c r="AO70" i="372"/>
  <c r="V47" i="372"/>
  <c r="AO47" i="372"/>
  <c r="AN107" i="372"/>
  <c r="M72" i="371"/>
  <c r="O72" i="371" s="1"/>
  <c r="T54" i="371"/>
  <c r="U54" i="371" s="1"/>
  <c r="M54" i="371"/>
  <c r="O54" i="371" s="1"/>
  <c r="M41" i="371"/>
  <c r="O41" i="371" s="1"/>
  <c r="T11" i="371"/>
  <c r="U11" i="371" s="1"/>
  <c r="M11" i="371"/>
  <c r="O11" i="371" s="1"/>
  <c r="AO31" i="372"/>
  <c r="V31" i="372"/>
  <c r="AO59" i="371"/>
  <c r="V59" i="371"/>
  <c r="M46" i="371"/>
  <c r="O46" i="371" s="1"/>
  <c r="AO43" i="371"/>
  <c r="V43" i="371"/>
  <c r="M10" i="372"/>
  <c r="O10" i="372" s="1"/>
  <c r="V57" i="371"/>
  <c r="AO57" i="371"/>
  <c r="P74" i="371"/>
  <c r="N7" i="370" s="1"/>
  <c r="M6" i="371"/>
  <c r="AO34" i="372"/>
  <c r="V34" i="372"/>
  <c r="M22" i="372"/>
  <c r="O22" i="372" s="1"/>
  <c r="T7" i="372"/>
  <c r="U7" i="372" s="1"/>
  <c r="M7" i="372"/>
  <c r="O7" i="372" s="1"/>
  <c r="AO60" i="371"/>
  <c r="V60" i="371"/>
  <c r="T50" i="371"/>
  <c r="U50" i="371" s="1"/>
  <c r="M50" i="371"/>
  <c r="O50" i="371" s="1"/>
  <c r="M35" i="371"/>
  <c r="O35" i="371" s="1"/>
  <c r="T31" i="371"/>
  <c r="U31" i="371" s="1"/>
  <c r="M31" i="371"/>
  <c r="O31" i="371" s="1"/>
  <c r="O13" i="371"/>
  <c r="T36" i="372"/>
  <c r="U36" i="372" s="1"/>
  <c r="M36" i="372"/>
  <c r="O36" i="372" s="1"/>
  <c r="M29" i="372"/>
  <c r="O29" i="372" s="1"/>
  <c r="T24" i="372"/>
  <c r="U24" i="372" s="1"/>
  <c r="M24" i="372"/>
  <c r="O24" i="372" s="1"/>
  <c r="M12" i="372"/>
  <c r="O12" i="372" s="1"/>
  <c r="T8" i="372"/>
  <c r="U8" i="372" s="1"/>
  <c r="M8" i="372"/>
  <c r="O8" i="372" s="1"/>
  <c r="M52" i="371"/>
  <c r="O52" i="371" s="1"/>
  <c r="AO49" i="371"/>
  <c r="V49" i="371"/>
  <c r="M21" i="371"/>
  <c r="O21" i="371" s="1"/>
  <c r="T18" i="371"/>
  <c r="U18" i="371" s="1"/>
  <c r="M18" i="371"/>
  <c r="O18" i="371" s="1"/>
  <c r="L7" i="343"/>
  <c r="P8" i="343" s="1"/>
  <c r="P5" i="343"/>
  <c r="P22" i="347"/>
  <c r="T22" i="347" s="1"/>
  <c r="M10" i="341"/>
  <c r="M15" i="345"/>
  <c r="O15" i="345" s="1"/>
  <c r="K65" i="350"/>
  <c r="O80" i="373"/>
  <c r="O24" i="373"/>
  <c r="O15" i="373"/>
  <c r="L8" i="376"/>
  <c r="P6" i="376"/>
  <c r="L31" i="379"/>
  <c r="J15" i="370" s="1"/>
  <c r="O22" i="379"/>
  <c r="M14" i="378"/>
  <c r="O14" i="378" s="1"/>
  <c r="M11" i="379"/>
  <c r="O11" i="379" s="1"/>
  <c r="M10" i="377"/>
  <c r="O10" i="377" s="1"/>
  <c r="T10" i="377"/>
  <c r="U10" i="377" s="1"/>
  <c r="M6" i="377"/>
  <c r="T6" i="377" s="1"/>
  <c r="P18" i="377"/>
  <c r="N13" i="370" s="1"/>
  <c r="T8" i="378"/>
  <c r="U8" i="378" s="1"/>
  <c r="M7" i="377"/>
  <c r="O7" i="377" s="1"/>
  <c r="T14" i="375"/>
  <c r="U14" i="375" s="1"/>
  <c r="L16" i="375"/>
  <c r="J11" i="370" s="1"/>
  <c r="P6" i="375"/>
  <c r="M27" i="379"/>
  <c r="O27" i="379" s="1"/>
  <c r="T21" i="379"/>
  <c r="U21" i="379" s="1"/>
  <c r="T15" i="378"/>
  <c r="U15" i="378" s="1"/>
  <c r="M15" i="378"/>
  <c r="O15" i="378" s="1"/>
  <c r="T25" i="379"/>
  <c r="U25" i="379" s="1"/>
  <c r="M25" i="379"/>
  <c r="O25" i="379" s="1"/>
  <c r="T20" i="379"/>
  <c r="BB16" i="375"/>
  <c r="O22" i="374"/>
  <c r="T11" i="375"/>
  <c r="U11" i="375" s="1"/>
  <c r="T16" i="374"/>
  <c r="U16" i="374" s="1"/>
  <c r="M100" i="372"/>
  <c r="O100" i="372" s="1"/>
  <c r="V85" i="372"/>
  <c r="AO85" i="372"/>
  <c r="V68" i="372"/>
  <c r="AO68" i="372"/>
  <c r="M50" i="372"/>
  <c r="O50" i="372" s="1"/>
  <c r="O9" i="375"/>
  <c r="T7" i="375"/>
  <c r="U7" i="375" s="1"/>
  <c r="M7" i="375"/>
  <c r="O7" i="375" s="1"/>
  <c r="T17" i="374"/>
  <c r="U17" i="374" s="1"/>
  <c r="T12" i="374"/>
  <c r="U12" i="374" s="1"/>
  <c r="T74" i="372"/>
  <c r="U74" i="372" s="1"/>
  <c r="O114" i="372"/>
  <c r="T111" i="372"/>
  <c r="U111" i="372" s="1"/>
  <c r="M111" i="372"/>
  <c r="O111" i="372" s="1"/>
  <c r="T62" i="372"/>
  <c r="U62" i="372" s="1"/>
  <c r="M62" i="372"/>
  <c r="O62" i="372" s="1"/>
  <c r="M55" i="372"/>
  <c r="O55" i="372" s="1"/>
  <c r="T13" i="374"/>
  <c r="U13" i="374" s="1"/>
  <c r="S123" i="372"/>
  <c r="S124" i="372" s="1"/>
  <c r="Q8" i="370" s="1"/>
  <c r="T102" i="372"/>
  <c r="U102" i="372" s="1"/>
  <c r="M102" i="372"/>
  <c r="O102" i="372" s="1"/>
  <c r="T92" i="372"/>
  <c r="U92" i="372" s="1"/>
  <c r="M92" i="372"/>
  <c r="O92" i="372" s="1"/>
  <c r="V43" i="372"/>
  <c r="AO43" i="372"/>
  <c r="T71" i="371"/>
  <c r="U71" i="371" s="1"/>
  <c r="M71" i="371"/>
  <c r="O71" i="371" s="1"/>
  <c r="T53" i="371"/>
  <c r="U53" i="371" s="1"/>
  <c r="M53" i="371"/>
  <c r="O53" i="371" s="1"/>
  <c r="M25" i="371"/>
  <c r="O25" i="371" s="1"/>
  <c r="T16" i="372"/>
  <c r="U16" i="372" s="1"/>
  <c r="M13" i="372"/>
  <c r="O13" i="372" s="1"/>
  <c r="M36" i="371"/>
  <c r="O36" i="371" s="1"/>
  <c r="T30" i="371"/>
  <c r="U30" i="371" s="1"/>
  <c r="M26" i="371"/>
  <c r="O26" i="371" s="1"/>
  <c r="M21" i="372"/>
  <c r="O21" i="372" s="1"/>
  <c r="M37" i="371"/>
  <c r="O37" i="371" s="1"/>
  <c r="M22" i="371"/>
  <c r="O22" i="371" s="1"/>
  <c r="P5" i="345"/>
  <c r="L17" i="345"/>
  <c r="M39" i="372"/>
  <c r="O39" i="372" s="1"/>
  <c r="M48" i="371"/>
  <c r="O48" i="371" s="1"/>
  <c r="AO24" i="371"/>
  <c r="V24" i="371"/>
  <c r="M26" i="372"/>
  <c r="O26" i="372" s="1"/>
  <c r="M15" i="372"/>
  <c r="O15" i="372" s="1"/>
  <c r="M13" i="345"/>
  <c r="O13" i="345" s="1"/>
  <c r="M7" i="345"/>
  <c r="O7" i="345" s="1"/>
  <c r="T18" i="341"/>
  <c r="U18" i="341" s="1"/>
  <c r="W18" i="341" s="1"/>
  <c r="O5" i="341"/>
  <c r="P21" i="346"/>
  <c r="M21" i="346" s="1"/>
  <c r="T12" i="341"/>
  <c r="U12" i="341" s="1"/>
  <c r="W12" i="341" s="1"/>
  <c r="T8" i="341"/>
  <c r="U8" i="341" s="1"/>
  <c r="W8" i="341" s="1"/>
  <c r="T6" i="341"/>
  <c r="U6" i="341" s="1"/>
  <c r="W6" i="341" s="1"/>
  <c r="T10" i="345"/>
  <c r="U10" i="345" s="1"/>
  <c r="V10" i="345" s="1"/>
  <c r="M10" i="345"/>
  <c r="O10" i="345" s="1"/>
  <c r="P5" i="350"/>
  <c r="L65" i="350"/>
  <c r="T11" i="345"/>
  <c r="U11" i="345" s="1"/>
  <c r="V11" i="345" s="1"/>
  <c r="M11" i="345"/>
  <c r="O11" i="345" s="1"/>
  <c r="T22" i="341"/>
  <c r="U22" i="341" s="1"/>
  <c r="W22" i="341" s="1"/>
  <c r="M22" i="341"/>
  <c r="O22" i="341" s="1"/>
  <c r="T16" i="341"/>
  <c r="U16" i="341" s="1"/>
  <c r="W16" i="341" s="1"/>
  <c r="T10" i="378"/>
  <c r="U10" i="378" s="1"/>
  <c r="M10" i="378"/>
  <c r="O10" i="378" s="1"/>
  <c r="W26" i="379"/>
  <c r="AO26" i="379"/>
  <c r="V16" i="378"/>
  <c r="AO16" i="378"/>
  <c r="AO14" i="379"/>
  <c r="W14" i="379"/>
  <c r="AO12" i="379"/>
  <c r="V12" i="379"/>
  <c r="M15" i="377"/>
  <c r="O15" i="377" s="1"/>
  <c r="M11" i="377"/>
  <c r="O11" i="377" s="1"/>
  <c r="M24" i="379"/>
  <c r="O24" i="379" s="1"/>
  <c r="M7" i="376"/>
  <c r="O7" i="376" s="1"/>
  <c r="O6" i="379"/>
  <c r="AN20" i="375"/>
  <c r="T6" i="374"/>
  <c r="P24" i="374"/>
  <c r="N10" i="370" s="1"/>
  <c r="M6" i="374"/>
  <c r="M21" i="374"/>
  <c r="O21" i="374" s="1"/>
  <c r="V112" i="372"/>
  <c r="AO112" i="372"/>
  <c r="M88" i="372"/>
  <c r="O88" i="372" s="1"/>
  <c r="M63" i="372"/>
  <c r="O63" i="372" s="1"/>
  <c r="M56" i="372"/>
  <c r="O56" i="372" s="1"/>
  <c r="T56" i="372"/>
  <c r="U56" i="372" s="1"/>
  <c r="L107" i="372"/>
  <c r="L124" i="372" s="1"/>
  <c r="J8" i="370" s="1"/>
  <c r="P6" i="372"/>
  <c r="V121" i="372"/>
  <c r="AO121" i="372"/>
  <c r="AO117" i="372"/>
  <c r="V117" i="372"/>
  <c r="AO95" i="372"/>
  <c r="V95" i="372"/>
  <c r="M54" i="372"/>
  <c r="O54" i="372" s="1"/>
  <c r="M32" i="372"/>
  <c r="O32" i="372" s="1"/>
  <c r="M20" i="374"/>
  <c r="O20" i="374" s="1"/>
  <c r="AN123" i="372"/>
  <c r="AN124" i="372" s="1"/>
  <c r="AK8" i="370" s="1"/>
  <c r="V101" i="372"/>
  <c r="AO101" i="372"/>
  <c r="M91" i="372"/>
  <c r="O91" i="372" s="1"/>
  <c r="V86" i="372"/>
  <c r="AO86" i="372"/>
  <c r="M23" i="374"/>
  <c r="O23" i="374" s="1"/>
  <c r="T23" i="374"/>
  <c r="U23" i="374" s="1"/>
  <c r="V120" i="372"/>
  <c r="AO120" i="372"/>
  <c r="M96" i="372"/>
  <c r="O96" i="372" s="1"/>
  <c r="M81" i="372"/>
  <c r="O81" i="372" s="1"/>
  <c r="M72" i="372"/>
  <c r="O72" i="372" s="1"/>
  <c r="T72" i="372"/>
  <c r="U72" i="372" s="1"/>
  <c r="V52" i="372"/>
  <c r="AO52" i="372"/>
  <c r="AO41" i="372"/>
  <c r="V41" i="372"/>
  <c r="M70" i="371"/>
  <c r="O70" i="371" s="1"/>
  <c r="M56" i="371"/>
  <c r="O56" i="371" s="1"/>
  <c r="M9" i="371"/>
  <c r="O9" i="371" s="1"/>
  <c r="M20" i="372"/>
  <c r="O20" i="372" s="1"/>
  <c r="T20" i="372"/>
  <c r="U20" i="372" s="1"/>
  <c r="M58" i="371"/>
  <c r="O58" i="371" s="1"/>
  <c r="M47" i="371"/>
  <c r="O47" i="371" s="1"/>
  <c r="AO44" i="371"/>
  <c r="V44" i="371"/>
  <c r="M42" i="371"/>
  <c r="O42" i="371" s="1"/>
  <c r="AO10" i="371"/>
  <c r="V10" i="371"/>
  <c r="M25" i="372"/>
  <c r="O25" i="372" s="1"/>
  <c r="AO17" i="372"/>
  <c r="V17" i="372"/>
  <c r="V27" i="371"/>
  <c r="AO27" i="371"/>
  <c r="M15" i="371"/>
  <c r="O15" i="371" s="1"/>
  <c r="M19" i="372"/>
  <c r="O19" i="372" s="1"/>
  <c r="M64" i="371"/>
  <c r="O64" i="371" s="1"/>
  <c r="AO61" i="371"/>
  <c r="V61" i="371"/>
  <c r="M39" i="371"/>
  <c r="O39" i="371" s="1"/>
  <c r="T39" i="371"/>
  <c r="U39" i="371" s="1"/>
  <c r="M33" i="371"/>
  <c r="O33" i="371" s="1"/>
  <c r="M29" i="371"/>
  <c r="O29" i="371" s="1"/>
  <c r="V12" i="371"/>
  <c r="AO12" i="371"/>
  <c r="M40" i="372"/>
  <c r="O40" i="372" s="1"/>
  <c r="T40" i="372"/>
  <c r="U40" i="372" s="1"/>
  <c r="O14" i="372"/>
  <c r="M11" i="372"/>
  <c r="O11" i="372" s="1"/>
  <c r="T51" i="371"/>
  <c r="U51" i="371" s="1"/>
  <c r="M51" i="371"/>
  <c r="O51" i="371" s="1"/>
  <c r="M20" i="371"/>
  <c r="O20" i="371" s="1"/>
  <c r="P18" i="342"/>
  <c r="T18" i="342" s="1"/>
  <c r="M9" i="345"/>
  <c r="O9" i="345" s="1"/>
  <c r="L38" i="346"/>
  <c r="P124" i="340"/>
  <c r="T124" i="340" s="1"/>
  <c r="AP102" i="380"/>
  <c r="AC138" i="380"/>
  <c r="Q16" i="370"/>
  <c r="O29" i="379"/>
  <c r="P18" i="378"/>
  <c r="N14" i="370" s="1"/>
  <c r="T6" i="378"/>
  <c r="M6" i="378"/>
  <c r="M7" i="379"/>
  <c r="O7" i="379" s="1"/>
  <c r="T14" i="377"/>
  <c r="U14" i="377" s="1"/>
  <c r="M14" i="377"/>
  <c r="O14" i="377" s="1"/>
  <c r="T9" i="377"/>
  <c r="U9" i="377" s="1"/>
  <c r="M9" i="377"/>
  <c r="O9" i="377" s="1"/>
  <c r="AM31" i="379"/>
  <c r="AJ15" i="370" s="1"/>
  <c r="AJ16" i="370" s="1"/>
  <c r="AJ36" i="370" s="1"/>
  <c r="M17" i="378"/>
  <c r="O17" i="378" s="1"/>
  <c r="M13" i="378"/>
  <c r="O13" i="378" s="1"/>
  <c r="M13" i="377"/>
  <c r="O13" i="377" s="1"/>
  <c r="P29" i="379"/>
  <c r="P31" i="379" s="1"/>
  <c r="N15" i="370" s="1"/>
  <c r="T15" i="379"/>
  <c r="U15" i="379" s="1"/>
  <c r="M15" i="379"/>
  <c r="O15" i="379" s="1"/>
  <c r="T6" i="379"/>
  <c r="M9" i="378"/>
  <c r="O9" i="378" s="1"/>
  <c r="T19" i="374"/>
  <c r="U19" i="374" s="1"/>
  <c r="T14" i="374"/>
  <c r="U14" i="374" s="1"/>
  <c r="M110" i="372"/>
  <c r="P123" i="372"/>
  <c r="T106" i="372"/>
  <c r="U106" i="372" s="1"/>
  <c r="M106" i="372"/>
  <c r="O106" i="372" s="1"/>
  <c r="T93" i="372"/>
  <c r="U93" i="372" s="1"/>
  <c r="M93" i="372"/>
  <c r="O93" i="372" s="1"/>
  <c r="T84" i="372"/>
  <c r="U84" i="372" s="1"/>
  <c r="M23" i="372"/>
  <c r="T23" i="372" s="1"/>
  <c r="U23" i="372" s="1"/>
  <c r="T10" i="374"/>
  <c r="U10" i="374" s="1"/>
  <c r="T98" i="372"/>
  <c r="U98" i="372" s="1"/>
  <c r="M76" i="372"/>
  <c r="O76" i="372" s="1"/>
  <c r="T76" i="372"/>
  <c r="U76" i="372" s="1"/>
  <c r="T71" i="372"/>
  <c r="U71" i="372" s="1"/>
  <c r="T15" i="374"/>
  <c r="U15" i="374" s="1"/>
  <c r="T113" i="372"/>
  <c r="U113" i="372" s="1"/>
  <c r="V83" i="372"/>
  <c r="AO83" i="372"/>
  <c r="T64" i="372"/>
  <c r="U64" i="372" s="1"/>
  <c r="M64" i="372"/>
  <c r="O64" i="372" s="1"/>
  <c r="M53" i="372"/>
  <c r="O53" i="372" s="1"/>
  <c r="T48" i="372"/>
  <c r="U48" i="372" s="1"/>
  <c r="M45" i="372"/>
  <c r="O45" i="372" s="1"/>
  <c r="T45" i="372"/>
  <c r="U45" i="372" s="1"/>
  <c r="B16" i="370"/>
  <c r="T10" i="375"/>
  <c r="U10" i="375" s="1"/>
  <c r="M10" i="375"/>
  <c r="O10" i="375" s="1"/>
  <c r="T7" i="374"/>
  <c r="U7" i="374" s="1"/>
  <c r="M118" i="372"/>
  <c r="O118" i="372" s="1"/>
  <c r="M103" i="372"/>
  <c r="O103" i="372" s="1"/>
  <c r="T103" i="372"/>
  <c r="U103" i="372" s="1"/>
  <c r="M66" i="372"/>
  <c r="O66" i="372" s="1"/>
  <c r="T66" i="372"/>
  <c r="M59" i="372"/>
  <c r="O59" i="372" s="1"/>
  <c r="M49" i="372"/>
  <c r="O49" i="372" s="1"/>
  <c r="M38" i="372"/>
  <c r="O38" i="372" s="1"/>
  <c r="M68" i="371"/>
  <c r="O68" i="371" s="1"/>
  <c r="M55" i="371"/>
  <c r="O55" i="371" s="1"/>
  <c r="M16" i="371"/>
  <c r="O16" i="371" s="1"/>
  <c r="M8" i="371"/>
  <c r="O8" i="371" s="1"/>
  <c r="M9" i="372"/>
  <c r="O9" i="372" s="1"/>
  <c r="M34" i="371"/>
  <c r="O34" i="371" s="1"/>
  <c r="M28" i="371"/>
  <c r="O28" i="371" s="1"/>
  <c r="T45" i="371"/>
  <c r="U45" i="371" s="1"/>
  <c r="M45" i="371"/>
  <c r="O45" i="371" s="1"/>
  <c r="T38" i="371"/>
  <c r="U38" i="371" s="1"/>
  <c r="M38" i="371"/>
  <c r="O38" i="371" s="1"/>
  <c r="T19" i="371"/>
  <c r="U19" i="371" s="1"/>
  <c r="M19" i="371"/>
  <c r="O19" i="371" s="1"/>
  <c r="T23" i="371"/>
  <c r="U23" i="371" s="1"/>
  <c r="M23" i="371"/>
  <c r="O23" i="371" s="1"/>
  <c r="T21" i="341"/>
  <c r="U21" i="341" s="1"/>
  <c r="W21" i="341" s="1"/>
  <c r="M21" i="341"/>
  <c r="O21" i="341" s="1"/>
  <c r="T6" i="345"/>
  <c r="U6" i="345" s="1"/>
  <c r="V6" i="345" s="1"/>
  <c r="T5" i="341"/>
  <c r="T14" i="345"/>
  <c r="U14" i="345" s="1"/>
  <c r="V14" i="345" s="1"/>
  <c r="M14" i="345"/>
  <c r="O14" i="345" s="1"/>
  <c r="T19" i="341"/>
  <c r="U19" i="341" s="1"/>
  <c r="W19" i="341" s="1"/>
  <c r="M19" i="341"/>
  <c r="O19" i="341" s="1"/>
  <c r="T13" i="341"/>
  <c r="U13" i="341" s="1"/>
  <c r="W13" i="341" s="1"/>
  <c r="T11" i="341"/>
  <c r="U11" i="341" s="1"/>
  <c r="W11" i="341" s="1"/>
  <c r="T9" i="341"/>
  <c r="U9" i="341" s="1"/>
  <c r="W9" i="341" s="1"/>
  <c r="T7" i="341"/>
  <c r="U7" i="341" s="1"/>
  <c r="W7" i="341" s="1"/>
  <c r="T20" i="341"/>
  <c r="U20" i="341" s="1"/>
  <c r="W20" i="341" s="1"/>
  <c r="M20" i="341"/>
  <c r="O20" i="341" s="1"/>
  <c r="T14" i="341"/>
  <c r="U14" i="341" s="1"/>
  <c r="W14" i="341" s="1"/>
  <c r="T15" i="341"/>
  <c r="U15" i="341" s="1"/>
  <c r="W15" i="341" s="1"/>
  <c r="AO80" i="373"/>
  <c r="V80" i="373"/>
  <c r="W15" i="373"/>
  <c r="AO15" i="373"/>
  <c r="AO88" i="373"/>
  <c r="V88" i="373"/>
  <c r="AO87" i="373"/>
  <c r="V87" i="373"/>
  <c r="W28" i="373"/>
  <c r="AO28" i="373"/>
  <c r="AO16" i="373"/>
  <c r="W16" i="373"/>
  <c r="AO17" i="373"/>
  <c r="W17" i="373"/>
  <c r="AO86" i="373"/>
  <c r="W86" i="373"/>
  <c r="AO49" i="373"/>
  <c r="W49" i="373"/>
  <c r="AO18" i="373"/>
  <c r="W18" i="373"/>
  <c r="M70" i="373"/>
  <c r="O70" i="373" s="1"/>
  <c r="M77" i="373"/>
  <c r="O77" i="373" s="1"/>
  <c r="M71" i="373"/>
  <c r="O71" i="373" s="1"/>
  <c r="T58" i="373"/>
  <c r="U58" i="373" s="1"/>
  <c r="M58" i="373"/>
  <c r="O58" i="373" s="1"/>
  <c r="M72" i="373"/>
  <c r="O72" i="373" s="1"/>
  <c r="M84" i="373"/>
  <c r="O84" i="373" s="1"/>
  <c r="P35" i="373"/>
  <c r="M21" i="373"/>
  <c r="O21" i="373" s="1"/>
  <c r="M55" i="373"/>
  <c r="M22" i="373"/>
  <c r="O22" i="373" s="1"/>
  <c r="W51" i="373"/>
  <c r="AO51" i="373"/>
  <c r="AO83" i="373"/>
  <c r="W83" i="373"/>
  <c r="M57" i="373"/>
  <c r="O57" i="373" s="1"/>
  <c r="T57" i="373"/>
  <c r="U57" i="373" s="1"/>
  <c r="M68" i="373"/>
  <c r="O68" i="373" s="1"/>
  <c r="AO48" i="373"/>
  <c r="W48" i="373"/>
  <c r="M34" i="373"/>
  <c r="O34" i="373" s="1"/>
  <c r="T34" i="373"/>
  <c r="U34" i="373" s="1"/>
  <c r="M47" i="373"/>
  <c r="O47" i="373" s="1"/>
  <c r="T47" i="373"/>
  <c r="U47" i="373" s="1"/>
  <c r="T40" i="373"/>
  <c r="U40" i="373" s="1"/>
  <c r="M40" i="373"/>
  <c r="M62" i="373"/>
  <c r="O62" i="373" s="1"/>
  <c r="AO56" i="373"/>
  <c r="W56" i="373"/>
  <c r="AO12" i="373"/>
  <c r="W12" i="373"/>
  <c r="AN111" i="373"/>
  <c r="AK9" i="370" s="1"/>
  <c r="AK16" i="370" s="1"/>
  <c r="M31" i="373"/>
  <c r="O31" i="373" s="1"/>
  <c r="T31" i="373"/>
  <c r="U31" i="373" s="1"/>
  <c r="M13" i="373"/>
  <c r="O13" i="373" s="1"/>
  <c r="T13" i="373"/>
  <c r="U13" i="373" s="1"/>
  <c r="M43" i="373"/>
  <c r="O43" i="373" s="1"/>
  <c r="T43" i="373"/>
  <c r="U43" i="373" s="1"/>
  <c r="M14" i="373"/>
  <c r="O14" i="373" s="1"/>
  <c r="T14" i="373"/>
  <c r="U14" i="373" s="1"/>
  <c r="M11" i="373"/>
  <c r="O11" i="373" s="1"/>
  <c r="T11" i="373"/>
  <c r="U11" i="373" s="1"/>
  <c r="M33" i="373"/>
  <c r="O33" i="373" s="1"/>
  <c r="T33" i="373"/>
  <c r="U33" i="373" s="1"/>
  <c r="M50" i="373"/>
  <c r="O50" i="373" s="1"/>
  <c r="AO104" i="373"/>
  <c r="W104" i="373"/>
  <c r="T61" i="373"/>
  <c r="U61" i="373" s="1"/>
  <c r="M75" i="373"/>
  <c r="O75" i="373" s="1"/>
  <c r="AQ111" i="373"/>
  <c r="AN9" i="370" s="1"/>
  <c r="AN16" i="370" s="1"/>
  <c r="E23" i="40" s="1"/>
  <c r="E24" i="40" s="1"/>
  <c r="M63" i="373"/>
  <c r="O63" i="373" s="1"/>
  <c r="T79" i="373"/>
  <c r="U79" i="373" s="1"/>
  <c r="M79" i="373"/>
  <c r="O79" i="373" s="1"/>
  <c r="M26" i="373"/>
  <c r="O26" i="373" s="1"/>
  <c r="M101" i="373"/>
  <c r="O101" i="373" s="1"/>
  <c r="AA6" i="373"/>
  <c r="AA111" i="373" s="1"/>
  <c r="Y9" i="370" s="1"/>
  <c r="Y16" i="370" s="1"/>
  <c r="Y22" i="370" s="1"/>
  <c r="AO6" i="373"/>
  <c r="F111" i="373"/>
  <c r="D9" i="370" s="1"/>
  <c r="D16" i="370" s="1"/>
  <c r="B17" i="370" s="1"/>
  <c r="AO65" i="373"/>
  <c r="W65" i="373"/>
  <c r="AO73" i="373"/>
  <c r="V73" i="373"/>
  <c r="AO53" i="373"/>
  <c r="W53" i="373"/>
  <c r="M27" i="373"/>
  <c r="O27" i="373" s="1"/>
  <c r="W41" i="373"/>
  <c r="AO41" i="373"/>
  <c r="AO8" i="373"/>
  <c r="W8" i="373"/>
  <c r="AO10" i="373"/>
  <c r="W10" i="373"/>
  <c r="M25" i="373"/>
  <c r="O25" i="373" s="1"/>
  <c r="M46" i="373"/>
  <c r="O46" i="373" s="1"/>
  <c r="T46" i="373"/>
  <c r="U46" i="373" s="1"/>
  <c r="M38" i="373"/>
  <c r="O38" i="373" s="1"/>
  <c r="T38" i="373"/>
  <c r="U38" i="373" s="1"/>
  <c r="AO74" i="373"/>
  <c r="V74" i="373"/>
  <c r="T81" i="373"/>
  <c r="U81" i="373" s="1"/>
  <c r="K111" i="373"/>
  <c r="I9" i="370" s="1"/>
  <c r="I16" i="370" s="1"/>
  <c r="J17" i="370" s="1"/>
  <c r="M85" i="373"/>
  <c r="O85" i="373" s="1"/>
  <c r="M32" i="373"/>
  <c r="O32" i="373" s="1"/>
  <c r="O40" i="373"/>
  <c r="M19" i="373"/>
  <c r="O19" i="373" s="1"/>
  <c r="AO66" i="373"/>
  <c r="W66" i="373"/>
  <c r="M76" i="373"/>
  <c r="O76" i="373" s="1"/>
  <c r="M82" i="373"/>
  <c r="O82" i="373" s="1"/>
  <c r="M59" i="373"/>
  <c r="O59" i="373" s="1"/>
  <c r="M60" i="373"/>
  <c r="O60" i="373" s="1"/>
  <c r="M105" i="373"/>
  <c r="O105" i="373" s="1"/>
  <c r="T105" i="373"/>
  <c r="U105" i="373" s="1"/>
  <c r="M78" i="373"/>
  <c r="O78" i="373" s="1"/>
  <c r="AO45" i="373"/>
  <c r="W45" i="373"/>
  <c r="M20" i="373"/>
  <c r="O20" i="373" s="1"/>
  <c r="T20" i="373"/>
  <c r="U20" i="373" s="1"/>
  <c r="M39" i="373"/>
  <c r="O39" i="373" s="1"/>
  <c r="T39" i="373"/>
  <c r="U39" i="373" s="1"/>
  <c r="AO9" i="373"/>
  <c r="W9" i="373"/>
  <c r="M37" i="373"/>
  <c r="O37" i="373" s="1"/>
  <c r="T37" i="373"/>
  <c r="U37" i="373" s="1"/>
  <c r="M30" i="373"/>
  <c r="O30" i="373" s="1"/>
  <c r="T30" i="373"/>
  <c r="U30" i="373" s="1"/>
  <c r="AO64" i="373"/>
  <c r="W64" i="373"/>
  <c r="AO67" i="373"/>
  <c r="V67" i="373"/>
  <c r="AO54" i="373"/>
  <c r="W54" i="373"/>
  <c r="AO69" i="373"/>
  <c r="V69" i="373"/>
  <c r="M23" i="373"/>
  <c r="O23" i="373" s="1"/>
  <c r="M44" i="373"/>
  <c r="O44" i="373" s="1"/>
  <c r="Q17" i="370"/>
  <c r="Q18" i="370" s="1"/>
  <c r="I17" i="370"/>
  <c r="K153" i="380"/>
  <c r="AK66" i="380"/>
  <c r="U71" i="380"/>
  <c r="AL138" i="380"/>
  <c r="U74" i="380"/>
  <c r="M153" i="380"/>
  <c r="AP116" i="380"/>
  <c r="U64" i="380"/>
  <c r="AJ22" i="380"/>
  <c r="U11" i="380"/>
  <c r="AK10" i="380"/>
  <c r="U62" i="380"/>
  <c r="AJ102" i="380"/>
  <c r="AJ138" i="380" s="1"/>
  <c r="AK79" i="380"/>
  <c r="U85" i="380"/>
  <c r="AK85" i="380"/>
  <c r="H138" i="380"/>
  <c r="H153" i="380" s="1"/>
  <c r="N116" i="380"/>
  <c r="Q112" i="380"/>
  <c r="R112" i="380" s="1"/>
  <c r="T112" i="380" s="1"/>
  <c r="T116" i="380" s="1"/>
  <c r="P112" i="380"/>
  <c r="P116" i="380" s="1"/>
  <c r="AD138" i="380"/>
  <c r="AJ58" i="380"/>
  <c r="R136" i="380"/>
  <c r="T135" i="380"/>
  <c r="U63" i="380"/>
  <c r="AK63" i="380"/>
  <c r="T117" i="380"/>
  <c r="AK114" i="380"/>
  <c r="U114" i="380"/>
  <c r="U94" i="380"/>
  <c r="AK94" i="380"/>
  <c r="AK76" i="380"/>
  <c r="U76" i="380"/>
  <c r="U100" i="380"/>
  <c r="AK100" i="380"/>
  <c r="AK28" i="380"/>
  <c r="U28" i="380"/>
  <c r="U127" i="380"/>
  <c r="AK127" i="380"/>
  <c r="AK87" i="380"/>
  <c r="U87" i="380"/>
  <c r="U13" i="380"/>
  <c r="AK13" i="380"/>
  <c r="U15" i="380"/>
  <c r="AK15" i="380"/>
  <c r="AK16" i="380"/>
  <c r="U16" i="380"/>
  <c r="R102" i="380"/>
  <c r="N132" i="380"/>
  <c r="Q131" i="380"/>
  <c r="P131" i="380"/>
  <c r="P132" i="380" s="1"/>
  <c r="AK113" i="380"/>
  <c r="U113" i="380"/>
  <c r="U88" i="380"/>
  <c r="AK88" i="380"/>
  <c r="P128" i="380"/>
  <c r="U72" i="380"/>
  <c r="AK72" i="380"/>
  <c r="AK126" i="380"/>
  <c r="U126" i="380"/>
  <c r="U98" i="380"/>
  <c r="AK98" i="380"/>
  <c r="AP13" i="380"/>
  <c r="AP22" i="380" s="1"/>
  <c r="AJ23" i="380"/>
  <c r="T122" i="380"/>
  <c r="AK121" i="380"/>
  <c r="AK122" i="380" s="1"/>
  <c r="U121" i="380"/>
  <c r="U122" i="380" s="1"/>
  <c r="U73" i="380"/>
  <c r="AK73" i="380"/>
  <c r="V14" i="380"/>
  <c r="V22" i="380" s="1"/>
  <c r="V138" i="380" s="1"/>
  <c r="V154" i="380" s="1"/>
  <c r="V163" i="380" s="1"/>
  <c r="AK14" i="380"/>
  <c r="U18" i="380"/>
  <c r="AK18" i="380"/>
  <c r="Q116" i="380"/>
  <c r="N109" i="380"/>
  <c r="Q105" i="380"/>
  <c r="P105" i="380"/>
  <c r="P109" i="380" s="1"/>
  <c r="Q102" i="380"/>
  <c r="P35" i="380"/>
  <c r="P58" i="380" s="1"/>
  <c r="Q35" i="380"/>
  <c r="R35" i="380" s="1"/>
  <c r="T35" i="380" s="1"/>
  <c r="AK96" i="380"/>
  <c r="U96" i="380"/>
  <c r="N22" i="380"/>
  <c r="Q8" i="380"/>
  <c r="P8" i="380"/>
  <c r="P22" i="380" s="1"/>
  <c r="T23" i="380"/>
  <c r="U77" i="380"/>
  <c r="AK77" i="380"/>
  <c r="U84" i="380"/>
  <c r="AK84" i="380"/>
  <c r="AK115" i="380"/>
  <c r="U115" i="380"/>
  <c r="T102" i="380"/>
  <c r="N58" i="380"/>
  <c r="R58" i="380"/>
  <c r="T27" i="380"/>
  <c r="X162" i="380"/>
  <c r="X163" i="380" s="1"/>
  <c r="T157" i="380"/>
  <c r="T162" i="380" s="1"/>
  <c r="P102" i="380"/>
  <c r="T125" i="380"/>
  <c r="R128" i="380"/>
  <c r="AK107" i="380"/>
  <c r="U107" i="380"/>
  <c r="L153" i="380"/>
  <c r="AK97" i="380"/>
  <c r="U97" i="380"/>
  <c r="Q128" i="380"/>
  <c r="U65" i="380"/>
  <c r="AK65" i="380"/>
  <c r="U78" i="380"/>
  <c r="AK78" i="380"/>
  <c r="U89" i="380"/>
  <c r="AK89" i="380"/>
  <c r="U91" i="380"/>
  <c r="AK91" i="380"/>
  <c r="U70" i="380"/>
  <c r="AK70" i="380"/>
  <c r="C58" i="380"/>
  <c r="C138" i="380" s="1"/>
  <c r="C153" i="380" s="1"/>
  <c r="AR36" i="370"/>
  <c r="E26" i="40"/>
  <c r="E27" i="40" s="1"/>
  <c r="AN36" i="370"/>
  <c r="I26" i="40"/>
  <c r="I27" i="40" s="1"/>
  <c r="F16" i="353"/>
  <c r="D11" i="12" s="1"/>
  <c r="P6" i="358"/>
  <c r="M6" i="358" s="1"/>
  <c r="T15" i="358"/>
  <c r="U15" i="358" s="1"/>
  <c r="V15" i="358" s="1"/>
  <c r="M9" i="358"/>
  <c r="O9" i="358" s="1"/>
  <c r="A13" i="359"/>
  <c r="A128" i="359" s="1"/>
  <c r="A131" i="359" s="1"/>
  <c r="L15" i="355"/>
  <c r="J13" i="12" s="1"/>
  <c r="A15" i="355"/>
  <c r="A125" i="355" s="1"/>
  <c r="A128" i="355" s="1"/>
  <c r="A10" i="352"/>
  <c r="A11" i="352" s="1"/>
  <c r="M49" i="313"/>
  <c r="M103" i="313"/>
  <c r="T103" i="313" s="1"/>
  <c r="U103" i="313" s="1"/>
  <c r="V103" i="313" s="1"/>
  <c r="M30" i="313"/>
  <c r="O57" i="350"/>
  <c r="T48" i="350"/>
  <c r="U48" i="350" s="1"/>
  <c r="V48" i="350" s="1"/>
  <c r="O41" i="350"/>
  <c r="T60" i="350"/>
  <c r="U60" i="350" s="1"/>
  <c r="V60" i="350" s="1"/>
  <c r="O77" i="351"/>
  <c r="T5" i="353"/>
  <c r="G17" i="12"/>
  <c r="G28" i="97" s="1"/>
  <c r="G29" i="97" s="1"/>
  <c r="O17" i="12"/>
  <c r="O28" i="97" s="1"/>
  <c r="O29" i="97" s="1"/>
  <c r="E17" i="12"/>
  <c r="V17" i="12"/>
  <c r="V28" i="97" s="1"/>
  <c r="V29" i="97" s="1"/>
  <c r="P17" i="12"/>
  <c r="M38" i="313"/>
  <c r="O38" i="313" s="1"/>
  <c r="M71" i="313"/>
  <c r="P50" i="337"/>
  <c r="M48" i="313"/>
  <c r="P13" i="336"/>
  <c r="M8" i="313"/>
  <c r="M90" i="313"/>
  <c r="O90" i="313" s="1"/>
  <c r="M39" i="313"/>
  <c r="T39" i="313" s="1"/>
  <c r="M10" i="313"/>
  <c r="T12" i="352"/>
  <c r="U12" i="352" s="1"/>
  <c r="W12" i="352" s="1"/>
  <c r="L8" i="337"/>
  <c r="O33" i="350"/>
  <c r="O64" i="313"/>
  <c r="L11" i="336"/>
  <c r="D20" i="38"/>
  <c r="U24" i="12" s="1"/>
  <c r="E21" i="38"/>
  <c r="T12" i="353"/>
  <c r="O32" i="350"/>
  <c r="O13" i="350"/>
  <c r="L6" i="337"/>
  <c r="L12" i="336"/>
  <c r="X8" i="12"/>
  <c r="X17" i="12" s="1"/>
  <c r="E16" i="68"/>
  <c r="K117" i="313"/>
  <c r="K133" i="313" s="1"/>
  <c r="F52" i="336"/>
  <c r="E16" i="38"/>
  <c r="V10" i="355"/>
  <c r="AA133" i="313"/>
  <c r="Y8" i="12" s="1"/>
  <c r="F117" i="313"/>
  <c r="S117" i="313"/>
  <c r="S133" i="313" s="1"/>
  <c r="Q8" i="12" s="1"/>
  <c r="A51" i="351"/>
  <c r="A52" i="351" s="1"/>
  <c r="A53" i="351" s="1"/>
  <c r="A54" i="351" s="1"/>
  <c r="A55" i="351" s="1"/>
  <c r="A56" i="351" s="1"/>
  <c r="A57" i="351" s="1"/>
  <c r="A58" i="351" s="1"/>
  <c r="A59" i="351" s="1"/>
  <c r="A60" i="351" s="1"/>
  <c r="A61" i="351" s="1"/>
  <c r="A62" i="351" s="1"/>
  <c r="A63" i="351" s="1"/>
  <c r="A64" i="351" s="1"/>
  <c r="A65" i="351" s="1"/>
  <c r="A66" i="351" s="1"/>
  <c r="A67" i="351" s="1"/>
  <c r="A68" i="351" s="1"/>
  <c r="A69" i="351" s="1"/>
  <c r="A70" i="351" s="1"/>
  <c r="A71" i="351" s="1"/>
  <c r="A72" i="351" s="1"/>
  <c r="A73" i="351" s="1"/>
  <c r="A74" i="351" s="1"/>
  <c r="A75" i="351" s="1"/>
  <c r="A76" i="351" s="1"/>
  <c r="A77" i="351" s="1"/>
  <c r="A78" i="351" s="1"/>
  <c r="A79" i="351" s="1"/>
  <c r="A80" i="351" s="1"/>
  <c r="A81" i="351" s="1"/>
  <c r="A82" i="351" s="1"/>
  <c r="A83" i="351" s="1"/>
  <c r="A84" i="351" s="1"/>
  <c r="A85" i="351" s="1"/>
  <c r="A86" i="351" s="1"/>
  <c r="A87" i="351" s="1"/>
  <c r="A88" i="351" s="1"/>
  <c r="A89" i="351" s="1"/>
  <c r="A90" i="351" s="1"/>
  <c r="A91" i="351" s="1"/>
  <c r="A92" i="351" s="1"/>
  <c r="A93" i="351" s="1"/>
  <c r="A94" i="351" s="1"/>
  <c r="A95" i="351" s="1"/>
  <c r="A96" i="351" s="1"/>
  <c r="A97" i="351" s="1"/>
  <c r="A98" i="351" s="1"/>
  <c r="A99" i="351" s="1"/>
  <c r="A100" i="351" s="1"/>
  <c r="A101" i="351" s="1"/>
  <c r="A102" i="351" s="1"/>
  <c r="A103" i="351" s="1"/>
  <c r="A104" i="351" s="1"/>
  <c r="F17" i="352"/>
  <c r="D10" i="12" s="1"/>
  <c r="L17" i="352"/>
  <c r="F115" i="351"/>
  <c r="D9" i="12" s="1"/>
  <c r="K115" i="351"/>
  <c r="P5" i="351"/>
  <c r="M5" i="351" s="1"/>
  <c r="L115" i="351"/>
  <c r="A14" i="356"/>
  <c r="P29" i="350"/>
  <c r="M29" i="350" s="1"/>
  <c r="J7" i="12"/>
  <c r="O16" i="350"/>
  <c r="O56" i="350"/>
  <c r="M59" i="337"/>
  <c r="L117" i="313"/>
  <c r="O57" i="313"/>
  <c r="M53" i="336"/>
  <c r="D14" i="44"/>
  <c r="F6" i="43" s="1"/>
  <c r="A114" i="313"/>
  <c r="A115" i="313" s="1"/>
  <c r="A116" i="313" s="1"/>
  <c r="E15" i="68"/>
  <c r="W8" i="12"/>
  <c r="W17" i="12" s="1"/>
  <c r="T5" i="313"/>
  <c r="K5" i="336"/>
  <c r="K10" i="336" s="1"/>
  <c r="E133" i="313"/>
  <c r="T106" i="313"/>
  <c r="U106" i="313" s="1"/>
  <c r="V106" i="313" s="1"/>
  <c r="J133" i="313"/>
  <c r="D133" i="313"/>
  <c r="B8" i="12" s="1"/>
  <c r="D106" i="337"/>
  <c r="D123" i="337" s="1"/>
  <c r="R123" i="337"/>
  <c r="O100" i="351"/>
  <c r="T6" i="352"/>
  <c r="U6" i="352" s="1"/>
  <c r="W6" i="352" s="1"/>
  <c r="T7" i="352"/>
  <c r="U7" i="352" s="1"/>
  <c r="W7" i="352" s="1"/>
  <c r="Z11" i="12"/>
  <c r="F7" i="74"/>
  <c r="T6" i="355"/>
  <c r="U6" i="355" s="1"/>
  <c r="L19" i="356"/>
  <c r="F19" i="356"/>
  <c r="D14" i="12" s="1"/>
  <c r="Y14" i="12"/>
  <c r="Q11" i="44" s="1"/>
  <c r="R11" i="44" s="1"/>
  <c r="O14" i="356"/>
  <c r="T11" i="356"/>
  <c r="U11" i="356" s="1"/>
  <c r="W11" i="356" s="1"/>
  <c r="F21" i="357"/>
  <c r="O14" i="357"/>
  <c r="T15" i="357"/>
  <c r="U15" i="357" s="1"/>
  <c r="V15" i="357" s="1"/>
  <c r="T12" i="357"/>
  <c r="U12" i="357" s="1"/>
  <c r="V12" i="357" s="1"/>
  <c r="T7" i="357"/>
  <c r="U7" i="357" s="1"/>
  <c r="V7" i="357" s="1"/>
  <c r="L21" i="357"/>
  <c r="P21" i="357" s="1"/>
  <c r="P5" i="357"/>
  <c r="P20" i="357" s="1"/>
  <c r="O9" i="357"/>
  <c r="M11" i="357"/>
  <c r="O11" i="357" s="1"/>
  <c r="O10" i="357"/>
  <c r="M13" i="357"/>
  <c r="O13" i="357" s="1"/>
  <c r="M16" i="357"/>
  <c r="O16" i="357" s="1"/>
  <c r="M18" i="357"/>
  <c r="O18" i="357" s="1"/>
  <c r="T8" i="357"/>
  <c r="T13" i="358"/>
  <c r="U13" i="358" s="1"/>
  <c r="V13" i="358" s="1"/>
  <c r="M14" i="358"/>
  <c r="O14" i="358" s="1"/>
  <c r="O12" i="358"/>
  <c r="T11" i="358"/>
  <c r="U11" i="358" s="1"/>
  <c r="V11" i="358" s="1"/>
  <c r="M5" i="359"/>
  <c r="L13" i="359"/>
  <c r="J16" i="12" s="1"/>
  <c r="O12" i="359"/>
  <c r="Y16" i="12"/>
  <c r="Q13" i="44" s="1"/>
  <c r="R13" i="44" s="1"/>
  <c r="Q16" i="12"/>
  <c r="T11" i="359"/>
  <c r="U11" i="359" s="1"/>
  <c r="V11" i="359" s="1"/>
  <c r="P13" i="359"/>
  <c r="T9" i="359"/>
  <c r="U9" i="359" s="1"/>
  <c r="V9" i="359" s="1"/>
  <c r="O12" i="353"/>
  <c r="T6" i="353"/>
  <c r="U6" i="353" s="1"/>
  <c r="W6" i="353" s="1"/>
  <c r="T15" i="352"/>
  <c r="U15" i="352" s="1"/>
  <c r="W15" i="352" s="1"/>
  <c r="O10" i="352"/>
  <c r="T12" i="313"/>
  <c r="T13" i="337" s="1"/>
  <c r="O12" i="313"/>
  <c r="O17" i="336" s="1"/>
  <c r="M13" i="337"/>
  <c r="O39" i="351"/>
  <c r="O41" i="351"/>
  <c r="O91" i="351"/>
  <c r="B9" i="12"/>
  <c r="O92" i="351"/>
  <c r="O104" i="351"/>
  <c r="T64" i="351"/>
  <c r="U64" i="351" s="1"/>
  <c r="W64" i="351" s="1"/>
  <c r="O69" i="351"/>
  <c r="T49" i="351"/>
  <c r="U49" i="351" s="1"/>
  <c r="W49" i="351" s="1"/>
  <c r="O58" i="351"/>
  <c r="O27" i="351"/>
  <c r="T21" i="351"/>
  <c r="U21" i="351" s="1"/>
  <c r="W21" i="351" s="1"/>
  <c r="O57" i="351"/>
  <c r="O22" i="351"/>
  <c r="O73" i="351"/>
  <c r="T53" i="351"/>
  <c r="U53" i="351" s="1"/>
  <c r="W53" i="351" s="1"/>
  <c r="O95" i="351"/>
  <c r="T9" i="358"/>
  <c r="U9" i="358" s="1"/>
  <c r="V9" i="358" s="1"/>
  <c r="O8" i="358"/>
  <c r="I16" i="12"/>
  <c r="T6" i="358"/>
  <c r="M8" i="359"/>
  <c r="O8" i="359" s="1"/>
  <c r="Z16" i="12"/>
  <c r="M10" i="359"/>
  <c r="O10" i="359" s="1"/>
  <c r="O7" i="359"/>
  <c r="D16" i="12"/>
  <c r="F14" i="359"/>
  <c r="T6" i="359"/>
  <c r="U6" i="359" s="1"/>
  <c r="V6" i="359" s="1"/>
  <c r="L14" i="359"/>
  <c r="P14" i="359" s="1"/>
  <c r="O36" i="351"/>
  <c r="I13" i="12"/>
  <c r="F13" i="12"/>
  <c r="F17" i="12" s="1"/>
  <c r="O10" i="355"/>
  <c r="T11" i="355"/>
  <c r="U11" i="355" s="1"/>
  <c r="V11" i="355" s="1"/>
  <c r="F16" i="355"/>
  <c r="P15" i="355"/>
  <c r="M5" i="355"/>
  <c r="M8" i="355"/>
  <c r="M9" i="355"/>
  <c r="O9" i="355" s="1"/>
  <c r="F20" i="356"/>
  <c r="H123" i="337"/>
  <c r="I123" i="337"/>
  <c r="O30" i="350"/>
  <c r="O52" i="350"/>
  <c r="Q9" i="12"/>
  <c r="O101" i="351"/>
  <c r="O93" i="351"/>
  <c r="T108" i="351"/>
  <c r="U108" i="351" s="1"/>
  <c r="T44" i="351"/>
  <c r="U44" i="351" s="1"/>
  <c r="W44" i="351" s="1"/>
  <c r="T78" i="351"/>
  <c r="U78" i="351" s="1"/>
  <c r="W78" i="351" s="1"/>
  <c r="T62" i="351"/>
  <c r="U62" i="351" s="1"/>
  <c r="W62" i="351" s="1"/>
  <c r="O50" i="351"/>
  <c r="T81" i="351"/>
  <c r="U81" i="351" s="1"/>
  <c r="W81" i="351" s="1"/>
  <c r="T12" i="351"/>
  <c r="U12" i="351" s="1"/>
  <c r="W12" i="351" s="1"/>
  <c r="O61" i="351"/>
  <c r="T24" i="351"/>
  <c r="U24" i="351" s="1"/>
  <c r="W24" i="351" s="1"/>
  <c r="T68" i="351"/>
  <c r="U68" i="351" s="1"/>
  <c r="W68" i="351" s="1"/>
  <c r="O60" i="351"/>
  <c r="T59" i="351"/>
  <c r="U59" i="351" s="1"/>
  <c r="W59" i="351" s="1"/>
  <c r="T19" i="351"/>
  <c r="U19" i="351" s="1"/>
  <c r="W19" i="351" s="1"/>
  <c r="M70" i="351"/>
  <c r="O70" i="351" s="1"/>
  <c r="O111" i="351"/>
  <c r="O18" i="351"/>
  <c r="T47" i="351"/>
  <c r="U47" i="351" s="1"/>
  <c r="W47" i="351" s="1"/>
  <c r="T65" i="351"/>
  <c r="U65" i="351" s="1"/>
  <c r="W65" i="351" s="1"/>
  <c r="M90" i="351"/>
  <c r="O90" i="351" s="1"/>
  <c r="O72" i="351"/>
  <c r="T54" i="351"/>
  <c r="U54" i="351" s="1"/>
  <c r="W54" i="351" s="1"/>
  <c r="M46" i="351"/>
  <c r="O46" i="351" s="1"/>
  <c r="O23" i="351"/>
  <c r="T11" i="351"/>
  <c r="U11" i="351" s="1"/>
  <c r="W11" i="351" s="1"/>
  <c r="O75" i="351"/>
  <c r="O82" i="351"/>
  <c r="M52" i="351"/>
  <c r="O52" i="351" s="1"/>
  <c r="O37" i="351"/>
  <c r="P112" i="351"/>
  <c r="O88" i="351"/>
  <c r="O96" i="351"/>
  <c r="O25" i="351"/>
  <c r="O10" i="351"/>
  <c r="O30" i="351"/>
  <c r="O105" i="351"/>
  <c r="O66" i="351"/>
  <c r="O74" i="351"/>
  <c r="O83" i="351"/>
  <c r="T35" i="351"/>
  <c r="U35" i="351" s="1"/>
  <c r="W35" i="351" s="1"/>
  <c r="T31" i="351"/>
  <c r="U31" i="351" s="1"/>
  <c r="W31" i="351" s="1"/>
  <c r="O20" i="351"/>
  <c r="O26" i="351"/>
  <c r="M63" i="351"/>
  <c r="O63" i="351" s="1"/>
  <c r="O28" i="351"/>
  <c r="M86" i="351"/>
  <c r="O86" i="351" s="1"/>
  <c r="O45" i="351"/>
  <c r="O55" i="351"/>
  <c r="O8" i="351"/>
  <c r="O15" i="351"/>
  <c r="M9" i="351"/>
  <c r="O9" i="351" s="1"/>
  <c r="O40" i="351"/>
  <c r="O102" i="351"/>
  <c r="T84" i="351"/>
  <c r="U84" i="351" s="1"/>
  <c r="W84" i="351" s="1"/>
  <c r="T98" i="351"/>
  <c r="U98" i="351" s="1"/>
  <c r="W98" i="351" s="1"/>
  <c r="M76" i="351"/>
  <c r="O76" i="351" s="1"/>
  <c r="O103" i="351"/>
  <c r="O89" i="351"/>
  <c r="O67" i="351"/>
  <c r="O16" i="351"/>
  <c r="M34" i="351"/>
  <c r="O34" i="351" s="1"/>
  <c r="O94" i="351"/>
  <c r="O79" i="351"/>
  <c r="O87" i="351"/>
  <c r="O38" i="351"/>
  <c r="O43" i="351"/>
  <c r="O71" i="351"/>
  <c r="O48" i="351"/>
  <c r="O33" i="351"/>
  <c r="M29" i="351"/>
  <c r="O29" i="351" s="1"/>
  <c r="O6" i="351"/>
  <c r="O13" i="351"/>
  <c r="O7" i="351"/>
  <c r="O56" i="351"/>
  <c r="M110" i="351"/>
  <c r="O110" i="351" s="1"/>
  <c r="M109" i="351"/>
  <c r="O109" i="351" s="1"/>
  <c r="O85" i="351"/>
  <c r="M99" i="351"/>
  <c r="O99" i="351" s="1"/>
  <c r="O14" i="351"/>
  <c r="O32" i="351"/>
  <c r="O15" i="350"/>
  <c r="O47" i="350"/>
  <c r="Y7" i="12"/>
  <c r="Q4" i="44" s="1"/>
  <c r="R4" i="44" s="1"/>
  <c r="T53" i="350"/>
  <c r="U53" i="350" s="1"/>
  <c r="V53" i="350" s="1"/>
  <c r="T55" i="350"/>
  <c r="U55" i="350" s="1"/>
  <c r="V55" i="350" s="1"/>
  <c r="T19" i="350"/>
  <c r="U19" i="350" s="1"/>
  <c r="V19" i="350" s="1"/>
  <c r="O25" i="350"/>
  <c r="O36" i="350"/>
  <c r="T58" i="350"/>
  <c r="U58" i="350" s="1"/>
  <c r="V58" i="350" s="1"/>
  <c r="Q7" i="12"/>
  <c r="O51" i="350"/>
  <c r="D7" i="12"/>
  <c r="T63" i="350"/>
  <c r="U63" i="350" s="1"/>
  <c r="V63" i="350" s="1"/>
  <c r="O24" i="350"/>
  <c r="O34" i="350"/>
  <c r="T22" i="350"/>
  <c r="U22" i="350" s="1"/>
  <c r="V22" i="350" s="1"/>
  <c r="O54" i="350"/>
  <c r="T62" i="350"/>
  <c r="U62" i="350" s="1"/>
  <c r="V62" i="350" s="1"/>
  <c r="O50" i="350"/>
  <c r="O37" i="350"/>
  <c r="T35" i="350"/>
  <c r="U35" i="350" s="1"/>
  <c r="V35" i="350" s="1"/>
  <c r="T59" i="350"/>
  <c r="U59" i="350" s="1"/>
  <c r="V59" i="350" s="1"/>
  <c r="O9" i="350"/>
  <c r="O26" i="350"/>
  <c r="M23" i="350"/>
  <c r="O23" i="350" s="1"/>
  <c r="T61" i="350"/>
  <c r="T14" i="350"/>
  <c r="U14" i="350" s="1"/>
  <c r="V14" i="350" s="1"/>
  <c r="M7" i="350"/>
  <c r="O7" i="350" s="1"/>
  <c r="M20" i="350"/>
  <c r="O20" i="350" s="1"/>
  <c r="O6" i="350"/>
  <c r="T46" i="350"/>
  <c r="U46" i="350" s="1"/>
  <c r="V46" i="350" s="1"/>
  <c r="M18" i="350"/>
  <c r="O18" i="350" s="1"/>
  <c r="T38" i="350"/>
  <c r="U38" i="350" s="1"/>
  <c r="V38" i="350" s="1"/>
  <c r="O61" i="350"/>
  <c r="T31" i="350"/>
  <c r="U31" i="350" s="1"/>
  <c r="V31" i="350" s="1"/>
  <c r="M43" i="350"/>
  <c r="O43" i="350" s="1"/>
  <c r="O8" i="350"/>
  <c r="T8" i="350"/>
  <c r="U8" i="350" s="1"/>
  <c r="V8" i="350" s="1"/>
  <c r="M12" i="350"/>
  <c r="O12" i="350" s="1"/>
  <c r="T27" i="350"/>
  <c r="U27" i="350" s="1"/>
  <c r="V27" i="350" s="1"/>
  <c r="M64" i="350"/>
  <c r="O64" i="350" s="1"/>
  <c r="O44" i="350"/>
  <c r="O49" i="350"/>
  <c r="T42" i="350"/>
  <c r="U42" i="350" s="1"/>
  <c r="V42" i="350" s="1"/>
  <c r="O39" i="350"/>
  <c r="M11" i="350"/>
  <c r="O11" i="350" s="1"/>
  <c r="O21" i="350"/>
  <c r="O28" i="350"/>
  <c r="O45" i="350"/>
  <c r="F9" i="43"/>
  <c r="O6" i="356"/>
  <c r="O9" i="356"/>
  <c r="M15" i="356"/>
  <c r="O15" i="356" s="1"/>
  <c r="M16" i="356"/>
  <c r="O16" i="356" s="1"/>
  <c r="M5" i="356"/>
  <c r="O13" i="356"/>
  <c r="P18" i="356"/>
  <c r="P19" i="356" s="1"/>
  <c r="O18" i="356"/>
  <c r="I14" i="12"/>
  <c r="L20" i="356"/>
  <c r="P20" i="356" s="1"/>
  <c r="T13" i="356"/>
  <c r="T13" i="352"/>
  <c r="U13" i="352" s="1"/>
  <c r="W13" i="352" s="1"/>
  <c r="O16" i="352"/>
  <c r="L18" i="352"/>
  <c r="P18" i="352" s="1"/>
  <c r="F18" i="352"/>
  <c r="B10" i="12"/>
  <c r="T11" i="352"/>
  <c r="U11" i="352" s="1"/>
  <c r="W11" i="352" s="1"/>
  <c r="T9" i="352"/>
  <c r="U9" i="352" s="1"/>
  <c r="W9" i="352" s="1"/>
  <c r="T8" i="352"/>
  <c r="U8" i="352" s="1"/>
  <c r="W8" i="352" s="1"/>
  <c r="N123" i="337"/>
  <c r="N61" i="336"/>
  <c r="T14" i="352"/>
  <c r="U14" i="352" s="1"/>
  <c r="W14" i="352" s="1"/>
  <c r="T10" i="350"/>
  <c r="L132" i="313"/>
  <c r="AA122" i="337"/>
  <c r="AA123" i="337" s="1"/>
  <c r="O98" i="313"/>
  <c r="O100" i="336" s="1"/>
  <c r="O77" i="313"/>
  <c r="O80" i="337" s="1"/>
  <c r="Z123" i="337"/>
  <c r="T90" i="313"/>
  <c r="U90" i="313" s="1"/>
  <c r="V90" i="313" s="1"/>
  <c r="O5" i="354"/>
  <c r="L8" i="354"/>
  <c r="J12" i="12" s="1"/>
  <c r="O6" i="354"/>
  <c r="T6" i="354"/>
  <c r="U6" i="354" s="1"/>
  <c r="W6" i="354" s="1"/>
  <c r="P8" i="354"/>
  <c r="N12" i="12" s="1"/>
  <c r="T5" i="354"/>
  <c r="L9" i="354"/>
  <c r="P9" i="354" s="1"/>
  <c r="O7" i="354"/>
  <c r="Q106" i="337"/>
  <c r="Q123" i="337" s="1"/>
  <c r="L13" i="336"/>
  <c r="M50" i="337"/>
  <c r="S10" i="336"/>
  <c r="P69" i="336"/>
  <c r="T35" i="313"/>
  <c r="T28" i="336" s="1"/>
  <c r="J123" i="337"/>
  <c r="Q112" i="336"/>
  <c r="K94" i="336"/>
  <c r="K61" i="336"/>
  <c r="P8" i="337"/>
  <c r="F10" i="336"/>
  <c r="O82" i="313"/>
  <c r="O85" i="337" s="1"/>
  <c r="E129" i="336"/>
  <c r="D61" i="336"/>
  <c r="O56" i="313"/>
  <c r="O58" i="337" s="1"/>
  <c r="T80" i="336"/>
  <c r="T85" i="337"/>
  <c r="U82" i="313"/>
  <c r="P114" i="336"/>
  <c r="P52" i="337"/>
  <c r="O50" i="313"/>
  <c r="T68" i="336"/>
  <c r="T44" i="337"/>
  <c r="U43" i="313"/>
  <c r="T29" i="336"/>
  <c r="T37" i="337"/>
  <c r="U36" i="313"/>
  <c r="T78" i="336"/>
  <c r="T82" i="337"/>
  <c r="U79" i="313"/>
  <c r="T107" i="336"/>
  <c r="T46" i="337"/>
  <c r="U45" i="313"/>
  <c r="T45" i="336"/>
  <c r="T80" i="337"/>
  <c r="U77" i="313"/>
  <c r="P30" i="336"/>
  <c r="P38" i="337"/>
  <c r="T37" i="313"/>
  <c r="T7" i="336"/>
  <c r="T58" i="337"/>
  <c r="U56" i="313"/>
  <c r="X129" i="336"/>
  <c r="O104" i="313"/>
  <c r="P46" i="336"/>
  <c r="P93" i="337"/>
  <c r="M89" i="313"/>
  <c r="P86" i="336"/>
  <c r="P113" i="337"/>
  <c r="T124" i="313"/>
  <c r="L51" i="336"/>
  <c r="L92" i="337"/>
  <c r="P88" i="313"/>
  <c r="L103" i="337"/>
  <c r="P100" i="313"/>
  <c r="M100" i="313" s="1"/>
  <c r="P79" i="336"/>
  <c r="P84" i="337"/>
  <c r="T81" i="313"/>
  <c r="P59" i="336"/>
  <c r="P62" i="337"/>
  <c r="T60" i="313"/>
  <c r="P19" i="336"/>
  <c r="P17" i="337"/>
  <c r="F62" i="336"/>
  <c r="F63" i="336" s="1"/>
  <c r="F7" i="337"/>
  <c r="T100" i="336"/>
  <c r="T101" i="337"/>
  <c r="P57" i="336"/>
  <c r="P111" i="337"/>
  <c r="M81" i="336"/>
  <c r="M88" i="337"/>
  <c r="P18" i="336"/>
  <c r="P14" i="337"/>
  <c r="O45" i="313"/>
  <c r="N94" i="336"/>
  <c r="L5" i="336"/>
  <c r="L10" i="336" s="1"/>
  <c r="L21" i="337"/>
  <c r="P21" i="313"/>
  <c r="M21" i="313" s="1"/>
  <c r="F16" i="336"/>
  <c r="F11" i="337"/>
  <c r="L82" i="336"/>
  <c r="L94" i="337"/>
  <c r="P91" i="313"/>
  <c r="M91" i="313" s="1"/>
  <c r="O18" i="313"/>
  <c r="P11" i="336"/>
  <c r="P5" i="337"/>
  <c r="O28" i="336"/>
  <c r="O36" i="337"/>
  <c r="P60" i="336"/>
  <c r="P102" i="337"/>
  <c r="T99" i="313"/>
  <c r="S16" i="336"/>
  <c r="S11" i="337"/>
  <c r="AA94" i="336"/>
  <c r="P72" i="336"/>
  <c r="P67" i="337"/>
  <c r="M65" i="313"/>
  <c r="L34" i="336"/>
  <c r="L55" i="337"/>
  <c r="P53" i="313"/>
  <c r="M53" i="313" s="1"/>
  <c r="S15" i="336"/>
  <c r="S10" i="337"/>
  <c r="L102" i="336"/>
  <c r="L25" i="337"/>
  <c r="P25" i="313"/>
  <c r="M25" i="313" s="1"/>
  <c r="P71" i="336"/>
  <c r="P64" i="337"/>
  <c r="S104" i="336"/>
  <c r="S30" i="337"/>
  <c r="P52" i="336"/>
  <c r="P23" i="337"/>
  <c r="T23" i="313"/>
  <c r="P35" i="336"/>
  <c r="P56" i="337"/>
  <c r="T54" i="313"/>
  <c r="L111" i="336"/>
  <c r="L98" i="337"/>
  <c r="P95" i="313"/>
  <c r="M95" i="313" s="1"/>
  <c r="T39" i="336"/>
  <c r="T66" i="337"/>
  <c r="U64" i="313"/>
  <c r="P64" i="336"/>
  <c r="P32" i="337"/>
  <c r="T31" i="313"/>
  <c r="P89" i="336"/>
  <c r="P116" i="337"/>
  <c r="T127" i="313"/>
  <c r="L90" i="336"/>
  <c r="L118" i="337"/>
  <c r="P129" i="313"/>
  <c r="M129" i="313" s="1"/>
  <c r="U98" i="313"/>
  <c r="L99" i="336"/>
  <c r="L99" i="337"/>
  <c r="P96" i="313"/>
  <c r="M96" i="313" s="1"/>
  <c r="L83" i="336"/>
  <c r="L95" i="337"/>
  <c r="P92" i="313"/>
  <c r="M92" i="313" s="1"/>
  <c r="D112" i="336"/>
  <c r="L69" i="337"/>
  <c r="P67" i="313"/>
  <c r="M67" i="313" s="1"/>
  <c r="D94" i="336"/>
  <c r="L36" i="336"/>
  <c r="L57" i="337"/>
  <c r="P55" i="313"/>
  <c r="M55" i="313" s="1"/>
  <c r="L44" i="336"/>
  <c r="L79" i="337"/>
  <c r="P76" i="313"/>
  <c r="T118" i="336"/>
  <c r="T123" i="336" s="1"/>
  <c r="T47" i="337"/>
  <c r="U46" i="313"/>
  <c r="S97" i="336"/>
  <c r="S40" i="337"/>
  <c r="F83" i="336"/>
  <c r="F95" i="337"/>
  <c r="P120" i="336"/>
  <c r="P87" i="337"/>
  <c r="T83" i="313"/>
  <c r="P76" i="336"/>
  <c r="P75" i="337"/>
  <c r="O43" i="313"/>
  <c r="L23" i="336"/>
  <c r="L24" i="337"/>
  <c r="P24" i="313"/>
  <c r="M24" i="313" s="1"/>
  <c r="O84" i="313"/>
  <c r="L58" i="336"/>
  <c r="L16" i="337"/>
  <c r="P15" i="313"/>
  <c r="P97" i="336"/>
  <c r="P40" i="337"/>
  <c r="F24" i="336"/>
  <c r="F28" i="337"/>
  <c r="P124" i="336"/>
  <c r="P125" i="336" s="1"/>
  <c r="P89" i="337"/>
  <c r="T85" i="313"/>
  <c r="L27" i="336"/>
  <c r="L35" i="337"/>
  <c r="P34" i="313"/>
  <c r="M39" i="336"/>
  <c r="M66" i="337"/>
  <c r="T17" i="336"/>
  <c r="U12" i="313"/>
  <c r="E123" i="337"/>
  <c r="L42" i="336"/>
  <c r="L77" i="337"/>
  <c r="P73" i="313"/>
  <c r="M73" i="313" s="1"/>
  <c r="K112" i="336"/>
  <c r="F122" i="337"/>
  <c r="T105" i="313"/>
  <c r="U105" i="313" s="1"/>
  <c r="V105" i="313" s="1"/>
  <c r="P50" i="336"/>
  <c r="P91" i="337"/>
  <c r="T87" i="313"/>
  <c r="S76" i="336"/>
  <c r="S75" i="337"/>
  <c r="P74" i="336"/>
  <c r="P71" i="337"/>
  <c r="T68" i="313"/>
  <c r="L67" i="336"/>
  <c r="L43" i="337"/>
  <c r="P42" i="313"/>
  <c r="O107" i="313"/>
  <c r="L70" i="336"/>
  <c r="L63" i="337"/>
  <c r="P61" i="313"/>
  <c r="M61" i="313" s="1"/>
  <c r="P14" i="336"/>
  <c r="P9" i="337"/>
  <c r="T9" i="313"/>
  <c r="O74" i="313"/>
  <c r="P98" i="336"/>
  <c r="P51" i="337"/>
  <c r="T49" i="313"/>
  <c r="L66" i="336"/>
  <c r="L39" i="337"/>
  <c r="L110" i="336"/>
  <c r="L97" i="337"/>
  <c r="P94" i="313"/>
  <c r="M100" i="336"/>
  <c r="M101" i="337"/>
  <c r="F97" i="336"/>
  <c r="F40" i="337"/>
  <c r="G94" i="336"/>
  <c r="P103" i="336"/>
  <c r="P29" i="337"/>
  <c r="T29" i="313"/>
  <c r="P47" i="336"/>
  <c r="P109" i="337"/>
  <c r="T120" i="313"/>
  <c r="P87" i="336"/>
  <c r="P114" i="337"/>
  <c r="L105" i="336"/>
  <c r="L42" i="337"/>
  <c r="P41" i="313"/>
  <c r="M41" i="313" s="1"/>
  <c r="P66" i="336"/>
  <c r="P39" i="337"/>
  <c r="K106" i="337"/>
  <c r="S30" i="336"/>
  <c r="S38" i="337"/>
  <c r="M13" i="336"/>
  <c r="M8" i="337"/>
  <c r="S122" i="337"/>
  <c r="S98" i="336"/>
  <c r="S51" i="337"/>
  <c r="L54" i="336"/>
  <c r="L65" i="337"/>
  <c r="P63" i="313"/>
  <c r="M63" i="313" s="1"/>
  <c r="M78" i="336"/>
  <c r="M82" i="337"/>
  <c r="P41" i="336"/>
  <c r="P76" i="337"/>
  <c r="T72" i="313"/>
  <c r="P95" i="336"/>
  <c r="P26" i="337"/>
  <c r="T26" i="313"/>
  <c r="P104" i="336"/>
  <c r="P30" i="337"/>
  <c r="T30" i="313"/>
  <c r="L79" i="336"/>
  <c r="L84" i="337"/>
  <c r="P48" i="336"/>
  <c r="P117" i="337"/>
  <c r="M128" i="313"/>
  <c r="T128" i="313" s="1"/>
  <c r="Y129" i="336"/>
  <c r="P9" i="336"/>
  <c r="P105" i="337"/>
  <c r="T110" i="313"/>
  <c r="L91" i="336"/>
  <c r="L120" i="337"/>
  <c r="P131" i="313"/>
  <c r="M131" i="313" s="1"/>
  <c r="K122" i="337"/>
  <c r="P88" i="336"/>
  <c r="P115" i="337"/>
  <c r="T126" i="313"/>
  <c r="L116" i="336"/>
  <c r="L117" i="336" s="1"/>
  <c r="L53" i="337"/>
  <c r="P51" i="313"/>
  <c r="M51" i="313" s="1"/>
  <c r="P84" i="336"/>
  <c r="P96" i="337"/>
  <c r="T93" i="313"/>
  <c r="F95" i="336"/>
  <c r="F26" i="337"/>
  <c r="O103" i="313"/>
  <c r="L33" i="336"/>
  <c r="L54" i="337"/>
  <c r="P52" i="313"/>
  <c r="M52" i="313" s="1"/>
  <c r="M29" i="336"/>
  <c r="M37" i="337"/>
  <c r="L62" i="336"/>
  <c r="L63" i="336" s="1"/>
  <c r="L7" i="337"/>
  <c r="P7" i="313"/>
  <c r="M7" i="313" s="1"/>
  <c r="P106" i="336"/>
  <c r="P45" i="337"/>
  <c r="P15" i="336"/>
  <c r="P10" i="337"/>
  <c r="T10" i="313"/>
  <c r="O53" i="336"/>
  <c r="O59" i="337"/>
  <c r="O118" i="336"/>
  <c r="O123" i="336" s="1"/>
  <c r="O47" i="337"/>
  <c r="P6" i="336"/>
  <c r="P22" i="337"/>
  <c r="T22" i="313"/>
  <c r="O8" i="313"/>
  <c r="P109" i="336"/>
  <c r="P83" i="337"/>
  <c r="T80" i="313"/>
  <c r="P37" i="336"/>
  <c r="P60" i="337"/>
  <c r="P32" i="336"/>
  <c r="P48" i="337"/>
  <c r="T47" i="313"/>
  <c r="L101" i="336"/>
  <c r="L15" i="337"/>
  <c r="P14" i="313"/>
  <c r="M14" i="313" s="1"/>
  <c r="T43" i="336"/>
  <c r="T78" i="337"/>
  <c r="U75" i="313"/>
  <c r="L65" i="336"/>
  <c r="L34" i="337"/>
  <c r="P33" i="313"/>
  <c r="M33" i="313" s="1"/>
  <c r="L24" i="336"/>
  <c r="L28" i="337"/>
  <c r="P28" i="313"/>
  <c r="Z129" i="336"/>
  <c r="G123" i="337"/>
  <c r="I129" i="336"/>
  <c r="P122" i="336"/>
  <c r="P104" i="337"/>
  <c r="P49" i="336"/>
  <c r="P119" i="337"/>
  <c r="T130" i="313"/>
  <c r="L85" i="336"/>
  <c r="L112" i="337"/>
  <c r="P123" i="313"/>
  <c r="M123" i="313" s="1"/>
  <c r="L38" i="336"/>
  <c r="L61" i="337"/>
  <c r="P59" i="313"/>
  <c r="M109" i="313"/>
  <c r="O109" i="313" s="1"/>
  <c r="L75" i="336"/>
  <c r="L73" i="337"/>
  <c r="P70" i="313"/>
  <c r="M70" i="313" s="1"/>
  <c r="F21" i="336"/>
  <c r="F19" i="337"/>
  <c r="T53" i="336"/>
  <c r="T59" i="337"/>
  <c r="U57" i="313"/>
  <c r="L55" i="336"/>
  <c r="L90" i="337"/>
  <c r="P86" i="313"/>
  <c r="M86" i="313" s="1"/>
  <c r="L108" i="336"/>
  <c r="L68" i="337"/>
  <c r="P66" i="313"/>
  <c r="Q94" i="336"/>
  <c r="P22" i="336"/>
  <c r="P20" i="337"/>
  <c r="T20" i="313"/>
  <c r="L16" i="336"/>
  <c r="L11" i="337"/>
  <c r="P11" i="313"/>
  <c r="M11" i="313" s="1"/>
  <c r="F13" i="336"/>
  <c r="F8" i="337"/>
  <c r="O79" i="313"/>
  <c r="G112" i="336"/>
  <c r="M43" i="336"/>
  <c r="M78" i="337"/>
  <c r="O75" i="313"/>
  <c r="L26" i="336"/>
  <c r="L33" i="337"/>
  <c r="P32" i="313"/>
  <c r="M32" i="313" s="1"/>
  <c r="L96" i="336"/>
  <c r="L27" i="337"/>
  <c r="P27" i="313"/>
  <c r="M27" i="313" s="1"/>
  <c r="T8" i="313"/>
  <c r="P21" i="336"/>
  <c r="P19" i="337"/>
  <c r="L56" i="336"/>
  <c r="L110" i="337"/>
  <c r="P121" i="313"/>
  <c r="M121" i="313" s="1"/>
  <c r="S66" i="336"/>
  <c r="S39" i="337"/>
  <c r="L121" i="336"/>
  <c r="L100" i="337"/>
  <c r="P97" i="313"/>
  <c r="M97" i="313" s="1"/>
  <c r="M80" i="336"/>
  <c r="M85" i="337"/>
  <c r="O39" i="336"/>
  <c r="O66" i="337"/>
  <c r="M7" i="336"/>
  <c r="M58" i="337"/>
  <c r="M107" i="336"/>
  <c r="M46" i="337"/>
  <c r="M45" i="336"/>
  <c r="M80" i="337"/>
  <c r="O36" i="313"/>
  <c r="M68" i="336"/>
  <c r="M44" i="337"/>
  <c r="S69" i="336"/>
  <c r="S50" i="337"/>
  <c r="L30" i="336"/>
  <c r="L38" i="337"/>
  <c r="T84" i="313"/>
  <c r="L77" i="336"/>
  <c r="L81" i="337"/>
  <c r="P78" i="313"/>
  <c r="M78" i="313" s="1"/>
  <c r="L20" i="336"/>
  <c r="L18" i="337"/>
  <c r="P31" i="336"/>
  <c r="P41" i="337"/>
  <c r="T40" i="313"/>
  <c r="P12" i="336"/>
  <c r="P6" i="337"/>
  <c r="T6" i="313"/>
  <c r="F65" i="336"/>
  <c r="F94" i="336" s="1"/>
  <c r="F34" i="337"/>
  <c r="L114" i="336"/>
  <c r="L52" i="337"/>
  <c r="M28" i="336"/>
  <c r="M36" i="337"/>
  <c r="P8" i="336"/>
  <c r="P72" i="337"/>
  <c r="T69" i="313"/>
  <c r="M93" i="336"/>
  <c r="O93" i="336" s="1"/>
  <c r="R129" i="336"/>
  <c r="M40" i="336"/>
  <c r="O40" i="336" s="1"/>
  <c r="J129" i="336"/>
  <c r="H129" i="336"/>
  <c r="F116" i="351"/>
  <c r="L9" i="12"/>
  <c r="P13" i="353"/>
  <c r="M13" i="353" s="1"/>
  <c r="O5" i="353"/>
  <c r="T9" i="353"/>
  <c r="U9" i="353" s="1"/>
  <c r="W9" i="353" s="1"/>
  <c r="O11" i="353"/>
  <c r="O10" i="353"/>
  <c r="O8" i="353"/>
  <c r="U5" i="353"/>
  <c r="P7" i="353"/>
  <c r="L17" i="353"/>
  <c r="P17" i="353" s="1"/>
  <c r="U6" i="377" l="1"/>
  <c r="D23" i="40"/>
  <c r="AM36" i="370"/>
  <c r="V23" i="372"/>
  <c r="AO23" i="372"/>
  <c r="T44" i="373"/>
  <c r="U44" i="373" s="1"/>
  <c r="T78" i="373"/>
  <c r="U78" i="373" s="1"/>
  <c r="T32" i="373"/>
  <c r="U32" i="373" s="1"/>
  <c r="T25" i="373"/>
  <c r="U25" i="373" s="1"/>
  <c r="T77" i="373"/>
  <c r="U77" i="373" s="1"/>
  <c r="T28" i="371"/>
  <c r="U28" i="371" s="1"/>
  <c r="T9" i="372"/>
  <c r="U9" i="372" s="1"/>
  <c r="T16" i="371"/>
  <c r="U16" i="371" s="1"/>
  <c r="T68" i="371"/>
  <c r="U68" i="371" s="1"/>
  <c r="T49" i="372"/>
  <c r="U49" i="372" s="1"/>
  <c r="T118" i="372"/>
  <c r="U118" i="372" s="1"/>
  <c r="T53" i="372"/>
  <c r="U53" i="372" s="1"/>
  <c r="AO71" i="372"/>
  <c r="V71" i="372"/>
  <c r="AO10" i="374"/>
  <c r="W10" i="374"/>
  <c r="W19" i="374"/>
  <c r="AO19" i="374"/>
  <c r="T13" i="377"/>
  <c r="U13" i="377" s="1"/>
  <c r="T17" i="378"/>
  <c r="U17" i="378" s="1"/>
  <c r="M18" i="378"/>
  <c r="K14" i="370" s="1"/>
  <c r="O6" i="378"/>
  <c r="O18" i="378" s="1"/>
  <c r="M14" i="370" s="1"/>
  <c r="T20" i="371"/>
  <c r="U20" i="371" s="1"/>
  <c r="T11" i="372"/>
  <c r="U11" i="372" s="1"/>
  <c r="T29" i="371"/>
  <c r="U29" i="371" s="1"/>
  <c r="T64" i="371"/>
  <c r="U64" i="371" s="1"/>
  <c r="T15" i="371"/>
  <c r="U15" i="371" s="1"/>
  <c r="T58" i="371"/>
  <c r="U58" i="371" s="1"/>
  <c r="T9" i="371"/>
  <c r="U9" i="371" s="1"/>
  <c r="T70" i="371"/>
  <c r="U70" i="371" s="1"/>
  <c r="T81" i="372"/>
  <c r="U81" i="372" s="1"/>
  <c r="T32" i="372"/>
  <c r="U32" i="372" s="1"/>
  <c r="T63" i="372"/>
  <c r="U63" i="372" s="1"/>
  <c r="M16" i="379"/>
  <c r="T24" i="379"/>
  <c r="U24" i="379" s="1"/>
  <c r="T15" i="377"/>
  <c r="U15" i="377" s="1"/>
  <c r="T13" i="345"/>
  <c r="U13" i="345" s="1"/>
  <c r="V13" i="345" s="1"/>
  <c r="T26" i="372"/>
  <c r="U26" i="372" s="1"/>
  <c r="T48" i="371"/>
  <c r="T36" i="371"/>
  <c r="U36" i="371" s="1"/>
  <c r="T50" i="372"/>
  <c r="U50" i="372" s="1"/>
  <c r="W11" i="375"/>
  <c r="AO11" i="375"/>
  <c r="AO21" i="379"/>
  <c r="W21" i="379"/>
  <c r="P16" i="375"/>
  <c r="N11" i="370" s="1"/>
  <c r="M6" i="375"/>
  <c r="T6" i="375"/>
  <c r="T7" i="377"/>
  <c r="U7" i="377" s="1"/>
  <c r="T11" i="379"/>
  <c r="U11" i="379" s="1"/>
  <c r="V18" i="371"/>
  <c r="AO18" i="371"/>
  <c r="V8" i="372"/>
  <c r="AO8" i="372"/>
  <c r="W24" i="372"/>
  <c r="AO24" i="372"/>
  <c r="V36" i="372"/>
  <c r="AO36" i="372"/>
  <c r="M74" i="371"/>
  <c r="K7" i="370" s="1"/>
  <c r="O6" i="371"/>
  <c r="O74" i="371" s="1"/>
  <c r="M7" i="370" s="1"/>
  <c r="AO11" i="371"/>
  <c r="V11" i="371"/>
  <c r="AO54" i="371"/>
  <c r="V54" i="371"/>
  <c r="AO90" i="372"/>
  <c r="W90" i="372"/>
  <c r="AO89" i="372"/>
  <c r="V89" i="372"/>
  <c r="AJ24" i="380"/>
  <c r="V19" i="371"/>
  <c r="AO19" i="371"/>
  <c r="AO45" i="371"/>
  <c r="V45" i="371"/>
  <c r="W103" i="372"/>
  <c r="AO103" i="372"/>
  <c r="AO7" i="374"/>
  <c r="W7" i="374"/>
  <c r="V45" i="372"/>
  <c r="AO45" i="372"/>
  <c r="V76" i="372"/>
  <c r="AO76" i="372"/>
  <c r="AO93" i="372"/>
  <c r="V93" i="372"/>
  <c r="M123" i="372"/>
  <c r="O110" i="372"/>
  <c r="O123" i="372" s="1"/>
  <c r="W15" i="379"/>
  <c r="AO15" i="379"/>
  <c r="AO14" i="377"/>
  <c r="W14" i="377"/>
  <c r="U6" i="378"/>
  <c r="V20" i="372"/>
  <c r="AO20" i="372"/>
  <c r="V72" i="372"/>
  <c r="AO72" i="372"/>
  <c r="W23" i="374"/>
  <c r="AO23" i="374"/>
  <c r="V56" i="372"/>
  <c r="AO56" i="372"/>
  <c r="U6" i="374"/>
  <c r="M5" i="345"/>
  <c r="P17" i="345"/>
  <c r="T37" i="371"/>
  <c r="U37" i="371" s="1"/>
  <c r="T26" i="371"/>
  <c r="U26" i="371" s="1"/>
  <c r="T25" i="371"/>
  <c r="U25" i="371" s="1"/>
  <c r="AO71" i="371"/>
  <c r="V71" i="371"/>
  <c r="AO92" i="372"/>
  <c r="V92" i="372"/>
  <c r="W13" i="374"/>
  <c r="AO13" i="374"/>
  <c r="AO62" i="372"/>
  <c r="V62" i="372"/>
  <c r="V74" i="372"/>
  <c r="AO74" i="372"/>
  <c r="U18" i="375"/>
  <c r="W7" i="375"/>
  <c r="AO7" i="375"/>
  <c r="W25" i="379"/>
  <c r="AO25" i="379"/>
  <c r="V8" i="378"/>
  <c r="AO8" i="378"/>
  <c r="W10" i="377"/>
  <c r="AO10" i="377"/>
  <c r="M6" i="376"/>
  <c r="P8" i="376"/>
  <c r="N12" i="370" s="1"/>
  <c r="T15" i="345"/>
  <c r="U15" i="345" s="1"/>
  <c r="V15" i="345" s="1"/>
  <c r="P7" i="343"/>
  <c r="T5" i="343"/>
  <c r="M5" i="343"/>
  <c r="T35" i="371"/>
  <c r="U35" i="371" s="1"/>
  <c r="T22" i="372"/>
  <c r="U22" i="372" s="1"/>
  <c r="T6" i="371"/>
  <c r="T80" i="372"/>
  <c r="U80" i="372" s="1"/>
  <c r="T99" i="372"/>
  <c r="U99" i="372" s="1"/>
  <c r="T122" i="372"/>
  <c r="U122" i="372" s="1"/>
  <c r="P16" i="358"/>
  <c r="Q58" i="380"/>
  <c r="I18" i="370"/>
  <c r="T82" i="373"/>
  <c r="U82" i="373" s="1"/>
  <c r="T26" i="373"/>
  <c r="U26" i="373" s="1"/>
  <c r="T62" i="373"/>
  <c r="U62" i="373" s="1"/>
  <c r="T68" i="373"/>
  <c r="U68" i="373" s="1"/>
  <c r="T84" i="373"/>
  <c r="U84" i="373" s="1"/>
  <c r="U5" i="341"/>
  <c r="O23" i="372"/>
  <c r="T34" i="371"/>
  <c r="U34" i="371" s="1"/>
  <c r="T8" i="371"/>
  <c r="U8" i="371" s="1"/>
  <c r="T55" i="371"/>
  <c r="U55" i="371" s="1"/>
  <c r="T38" i="372"/>
  <c r="U38" i="372" s="1"/>
  <c r="T59" i="372"/>
  <c r="U59" i="372" s="1"/>
  <c r="AO113" i="372"/>
  <c r="V113" i="372"/>
  <c r="T110" i="372"/>
  <c r="T9" i="378"/>
  <c r="U9" i="378" s="1"/>
  <c r="T13" i="378"/>
  <c r="U13" i="378" s="1"/>
  <c r="T7" i="379"/>
  <c r="U7" i="379" s="1"/>
  <c r="T9" i="345"/>
  <c r="U9" i="345" s="1"/>
  <c r="V9" i="345" s="1"/>
  <c r="T33" i="371"/>
  <c r="U33" i="371" s="1"/>
  <c r="T19" i="372"/>
  <c r="U19" i="372" s="1"/>
  <c r="T25" i="372"/>
  <c r="U25" i="372" s="1"/>
  <c r="T42" i="371"/>
  <c r="U42" i="371" s="1"/>
  <c r="T47" i="371"/>
  <c r="U47" i="371" s="1"/>
  <c r="T56" i="371"/>
  <c r="U56" i="371" s="1"/>
  <c r="T96" i="372"/>
  <c r="U96" i="372" s="1"/>
  <c r="T91" i="372"/>
  <c r="U91" i="372" s="1"/>
  <c r="T20" i="374"/>
  <c r="U20" i="374" s="1"/>
  <c r="T54" i="372"/>
  <c r="U54" i="372" s="1"/>
  <c r="T88" i="372"/>
  <c r="U88" i="372" s="1"/>
  <c r="T21" i="374"/>
  <c r="U21" i="374" s="1"/>
  <c r="T7" i="376"/>
  <c r="U7" i="376" s="1"/>
  <c r="T11" i="377"/>
  <c r="U11" i="377" s="1"/>
  <c r="M23" i="341"/>
  <c r="T24" i="341" s="1"/>
  <c r="T7" i="345"/>
  <c r="U7" i="345" s="1"/>
  <c r="V7" i="345" s="1"/>
  <c r="T15" i="372"/>
  <c r="U15" i="372" s="1"/>
  <c r="T39" i="372"/>
  <c r="U39" i="372" s="1"/>
  <c r="T22" i="371"/>
  <c r="U22" i="371" s="1"/>
  <c r="T21" i="372"/>
  <c r="U21" i="372" s="1"/>
  <c r="V30" i="371"/>
  <c r="AO30" i="371"/>
  <c r="T13" i="372"/>
  <c r="U13" i="372" s="1"/>
  <c r="T55" i="372"/>
  <c r="U55" i="372" s="1"/>
  <c r="AO12" i="374"/>
  <c r="W12" i="374"/>
  <c r="T100" i="372"/>
  <c r="U100" i="372" s="1"/>
  <c r="T27" i="379"/>
  <c r="U27" i="379" s="1"/>
  <c r="AO14" i="375"/>
  <c r="W14" i="375"/>
  <c r="T14" i="378"/>
  <c r="U14" i="378" s="1"/>
  <c r="J12" i="370"/>
  <c r="J16" i="370" s="1"/>
  <c r="P9" i="376"/>
  <c r="O10" i="341"/>
  <c r="T10" i="341"/>
  <c r="U10" i="341" s="1"/>
  <c r="W10" i="341" s="1"/>
  <c r="T21" i="371"/>
  <c r="U21" i="371" s="1"/>
  <c r="T52" i="371"/>
  <c r="U52" i="371" s="1"/>
  <c r="T12" i="372"/>
  <c r="U12" i="372" s="1"/>
  <c r="T29" i="372"/>
  <c r="U29" i="372" s="1"/>
  <c r="T10" i="372"/>
  <c r="U10" i="372" s="1"/>
  <c r="T46" i="371"/>
  <c r="U46" i="371" s="1"/>
  <c r="T41" i="371"/>
  <c r="U41" i="371" s="1"/>
  <c r="T72" i="371"/>
  <c r="U72" i="371" s="1"/>
  <c r="O11" i="374"/>
  <c r="T11" i="374"/>
  <c r="U11" i="374" s="1"/>
  <c r="T119" i="372"/>
  <c r="U119" i="372" s="1"/>
  <c r="T82" i="372"/>
  <c r="U82" i="372" s="1"/>
  <c r="V115" i="372"/>
  <c r="AO115" i="372"/>
  <c r="AO23" i="371"/>
  <c r="V23" i="371"/>
  <c r="AO38" i="371"/>
  <c r="V38" i="371"/>
  <c r="V66" i="372"/>
  <c r="AO66" i="372"/>
  <c r="AO10" i="375"/>
  <c r="W10" i="375"/>
  <c r="AO48" i="372"/>
  <c r="V48" i="372"/>
  <c r="V64" i="372"/>
  <c r="AO64" i="372"/>
  <c r="AO15" i="374"/>
  <c r="W15" i="374"/>
  <c r="V98" i="372"/>
  <c r="AO98" i="372"/>
  <c r="AO84" i="372"/>
  <c r="V84" i="372"/>
  <c r="AO106" i="372"/>
  <c r="V106" i="372"/>
  <c r="W14" i="374"/>
  <c r="AO14" i="374"/>
  <c r="T16" i="379"/>
  <c r="M18" i="379" s="1"/>
  <c r="U6" i="379"/>
  <c r="AO9" i="377"/>
  <c r="W9" i="377"/>
  <c r="AO51" i="371"/>
  <c r="V51" i="371"/>
  <c r="V40" i="372"/>
  <c r="AO40" i="372"/>
  <c r="V39" i="371"/>
  <c r="AO39" i="371"/>
  <c r="P107" i="372"/>
  <c r="P124" i="372" s="1"/>
  <c r="N8" i="370" s="1"/>
  <c r="T6" i="372"/>
  <c r="M6" i="372"/>
  <c r="O6" i="374"/>
  <c r="O24" i="374" s="1"/>
  <c r="M10" i="370" s="1"/>
  <c r="M24" i="374"/>
  <c r="K10" i="370" s="1"/>
  <c r="O16" i="379"/>
  <c r="O31" i="379" s="1"/>
  <c r="M15" i="370" s="1"/>
  <c r="AO10" i="378"/>
  <c r="V10" i="378"/>
  <c r="P65" i="350"/>
  <c r="M5" i="350"/>
  <c r="O23" i="341"/>
  <c r="V16" i="372"/>
  <c r="AO16" i="372"/>
  <c r="AO53" i="371"/>
  <c r="V53" i="371"/>
  <c r="AO102" i="372"/>
  <c r="V102" i="372"/>
  <c r="V111" i="372"/>
  <c r="AO111" i="372"/>
  <c r="W17" i="374"/>
  <c r="AO17" i="374"/>
  <c r="W16" i="374"/>
  <c r="AO16" i="374"/>
  <c r="T29" i="379"/>
  <c r="T31" i="379" s="1"/>
  <c r="R15" i="370" s="1"/>
  <c r="U20" i="379"/>
  <c r="V15" i="378"/>
  <c r="AO15" i="378"/>
  <c r="M18" i="377"/>
  <c r="K13" i="370" s="1"/>
  <c r="O6" i="377"/>
  <c r="O18" i="377" s="1"/>
  <c r="M13" i="370" s="1"/>
  <c r="V31" i="371"/>
  <c r="AO31" i="371"/>
  <c r="AO50" i="371"/>
  <c r="V50" i="371"/>
  <c r="V7" i="372"/>
  <c r="AO7" i="372"/>
  <c r="T87" i="372"/>
  <c r="U87" i="372" s="1"/>
  <c r="M29" i="379"/>
  <c r="M31" i="379" s="1"/>
  <c r="K15" i="370" s="1"/>
  <c r="W78" i="373"/>
  <c r="AO78" i="373"/>
  <c r="AO82" i="373"/>
  <c r="W82" i="373"/>
  <c r="AO32" i="373"/>
  <c r="W32" i="373"/>
  <c r="AO79" i="373"/>
  <c r="W79" i="373"/>
  <c r="W14" i="373"/>
  <c r="AO14" i="373"/>
  <c r="W40" i="373"/>
  <c r="AO40" i="373"/>
  <c r="T22" i="373"/>
  <c r="U22" i="373" s="1"/>
  <c r="W84" i="373"/>
  <c r="AO84" i="373"/>
  <c r="AO77" i="373"/>
  <c r="V77" i="373"/>
  <c r="T23" i="373"/>
  <c r="U23" i="373" s="1"/>
  <c r="AO39" i="373"/>
  <c r="W39" i="373"/>
  <c r="AO105" i="373"/>
  <c r="W105" i="373"/>
  <c r="AO38" i="373"/>
  <c r="W38" i="373"/>
  <c r="AO68" i="373"/>
  <c r="W68" i="373"/>
  <c r="T76" i="373"/>
  <c r="U76" i="373" s="1"/>
  <c r="T101" i="373"/>
  <c r="U101" i="373" s="1"/>
  <c r="T63" i="373"/>
  <c r="U63" i="373" s="1"/>
  <c r="AO43" i="373"/>
  <c r="W43" i="373"/>
  <c r="AO47" i="373"/>
  <c r="W47" i="373"/>
  <c r="AO57" i="373"/>
  <c r="W57" i="373"/>
  <c r="T55" i="373"/>
  <c r="U55" i="373" s="1"/>
  <c r="O55" i="373"/>
  <c r="T72" i="373"/>
  <c r="U72" i="373" s="1"/>
  <c r="T70" i="373"/>
  <c r="U70" i="373" s="1"/>
  <c r="W30" i="373"/>
  <c r="AO30" i="373"/>
  <c r="AO20" i="373"/>
  <c r="W20" i="373"/>
  <c r="AO46" i="373"/>
  <c r="W46" i="373"/>
  <c r="T50" i="373"/>
  <c r="U50" i="373" s="1"/>
  <c r="T21" i="373"/>
  <c r="U21" i="373" s="1"/>
  <c r="T60" i="373"/>
  <c r="U60" i="373" s="1"/>
  <c r="T85" i="373"/>
  <c r="U85" i="373" s="1"/>
  <c r="AO33" i="373"/>
  <c r="W33" i="373"/>
  <c r="AO13" i="373"/>
  <c r="W13" i="373"/>
  <c r="AO34" i="373"/>
  <c r="W34" i="373"/>
  <c r="AO58" i="373"/>
  <c r="W58" i="373"/>
  <c r="W37" i="373"/>
  <c r="AO37" i="373"/>
  <c r="T27" i="373"/>
  <c r="U27" i="373" s="1"/>
  <c r="AO26" i="373"/>
  <c r="W26" i="373"/>
  <c r="T75" i="373"/>
  <c r="U75" i="373" s="1"/>
  <c r="AO62" i="373"/>
  <c r="W62" i="373"/>
  <c r="AO44" i="373"/>
  <c r="W44" i="373"/>
  <c r="T59" i="373"/>
  <c r="U59" i="373" s="1"/>
  <c r="T19" i="373"/>
  <c r="U19" i="373" s="1"/>
  <c r="AO81" i="373"/>
  <c r="W81" i="373"/>
  <c r="W25" i="373"/>
  <c r="AO25" i="373"/>
  <c r="AO61" i="373"/>
  <c r="W61" i="373"/>
  <c r="AO11" i="373"/>
  <c r="W11" i="373"/>
  <c r="AO31" i="373"/>
  <c r="W31" i="373"/>
  <c r="M35" i="373"/>
  <c r="O35" i="373" s="1"/>
  <c r="O111" i="373" s="1"/>
  <c r="M9" i="370" s="1"/>
  <c r="P111" i="373"/>
  <c r="N9" i="370" s="1"/>
  <c r="T71" i="373"/>
  <c r="U71" i="373" s="1"/>
  <c r="AK36" i="370"/>
  <c r="T118" i="380"/>
  <c r="AP138" i="380"/>
  <c r="D25" i="40" s="1"/>
  <c r="U102" i="380"/>
  <c r="AK112" i="380"/>
  <c r="AK116" i="380" s="1"/>
  <c r="U112" i="380"/>
  <c r="U116" i="380" s="1"/>
  <c r="R116" i="380"/>
  <c r="J25" i="40"/>
  <c r="D26" i="40"/>
  <c r="D27" i="40" s="1"/>
  <c r="AK102" i="380"/>
  <c r="AK35" i="380"/>
  <c r="U35" i="380"/>
  <c r="V153" i="380"/>
  <c r="AK125" i="380"/>
  <c r="AK128" i="380" s="1"/>
  <c r="U125" i="380"/>
  <c r="U128" i="380" s="1"/>
  <c r="T128" i="380"/>
  <c r="T136" i="380"/>
  <c r="AK135" i="380"/>
  <c r="AK136" i="380" s="1"/>
  <c r="U135" i="380"/>
  <c r="U136" i="380" s="1"/>
  <c r="P138" i="380"/>
  <c r="P153" i="380" s="1"/>
  <c r="R8" i="380"/>
  <c r="Q22" i="380"/>
  <c r="Q109" i="380"/>
  <c r="R105" i="380"/>
  <c r="R131" i="380"/>
  <c r="Q132" i="380"/>
  <c r="T58" i="380"/>
  <c r="AK27" i="380"/>
  <c r="U27" i="380"/>
  <c r="U58" i="380" s="1"/>
  <c r="N138" i="380"/>
  <c r="N153" i="380" s="1"/>
  <c r="P16" i="353"/>
  <c r="M7" i="353"/>
  <c r="M16" i="358"/>
  <c r="T14" i="358"/>
  <c r="U14" i="358" s="1"/>
  <c r="V14" i="358" s="1"/>
  <c r="T5" i="355"/>
  <c r="A12" i="352"/>
  <c r="A13" i="352" s="1"/>
  <c r="A14" i="352" s="1"/>
  <c r="A15" i="352" s="1"/>
  <c r="A16" i="352" s="1"/>
  <c r="A20" i="357"/>
  <c r="Z15" i="12" s="1"/>
  <c r="A105" i="351"/>
  <c r="A106" i="351" s="1"/>
  <c r="A107" i="351" s="1"/>
  <c r="A108" i="351" s="1"/>
  <c r="A109" i="351" s="1"/>
  <c r="A110" i="351" s="1"/>
  <c r="A111" i="351" s="1"/>
  <c r="A112" i="351" s="1"/>
  <c r="A113" i="351" s="1"/>
  <c r="A114" i="351" s="1"/>
  <c r="U8" i="357"/>
  <c r="V8" i="357" s="1"/>
  <c r="Q17" i="12"/>
  <c r="Q28" i="97" s="1"/>
  <c r="Q29" i="97" s="1"/>
  <c r="L17" i="12"/>
  <c r="L28" i="97" s="1"/>
  <c r="L29" i="97" s="1"/>
  <c r="W28" i="97"/>
  <c r="W29" i="97" s="1"/>
  <c r="X28" i="97"/>
  <c r="X29" i="97" s="1"/>
  <c r="F9" i="100"/>
  <c r="O37" i="313"/>
  <c r="T27" i="313"/>
  <c r="E20" i="38"/>
  <c r="U24" i="97"/>
  <c r="U25" i="97" s="1"/>
  <c r="U12" i="353"/>
  <c r="W12" i="353" s="1"/>
  <c r="O101" i="337"/>
  <c r="A15" i="356"/>
  <c r="A16" i="356" s="1"/>
  <c r="A17" i="356" s="1"/>
  <c r="A18" i="356" s="1"/>
  <c r="O45" i="336"/>
  <c r="M69" i="336"/>
  <c r="E17" i="68"/>
  <c r="P117" i="313"/>
  <c r="P17" i="352"/>
  <c r="P19" i="352" s="1"/>
  <c r="P115" i="351"/>
  <c r="N7" i="12"/>
  <c r="C8" i="12"/>
  <c r="C17" i="12" s="1"/>
  <c r="H8" i="12"/>
  <c r="H17" i="12" s="1"/>
  <c r="L134" i="313"/>
  <c r="P134" i="313" s="1"/>
  <c r="I8" i="12"/>
  <c r="O13" i="337"/>
  <c r="F134" i="313"/>
  <c r="F133" i="313"/>
  <c r="L133" i="313"/>
  <c r="J8" i="12" s="1"/>
  <c r="O5" i="356"/>
  <c r="O19" i="356" s="1"/>
  <c r="M14" i="12" s="1"/>
  <c r="M19" i="356"/>
  <c r="T5" i="356"/>
  <c r="T6" i="356"/>
  <c r="U6" i="356" s="1"/>
  <c r="W6" i="356" s="1"/>
  <c r="T13" i="357"/>
  <c r="U13" i="357" s="1"/>
  <c r="V13" i="357" s="1"/>
  <c r="M5" i="357"/>
  <c r="O5" i="357" s="1"/>
  <c r="T16" i="357"/>
  <c r="U16" i="357" s="1"/>
  <c r="V16" i="357" s="1"/>
  <c r="T18" i="357"/>
  <c r="U18" i="357" s="1"/>
  <c r="V18" i="357" s="1"/>
  <c r="T11" i="357"/>
  <c r="U11" i="357" s="1"/>
  <c r="V11" i="357" s="1"/>
  <c r="L22" i="357"/>
  <c r="J15" i="12"/>
  <c r="O8" i="357"/>
  <c r="T10" i="357"/>
  <c r="U10" i="357" s="1"/>
  <c r="V10" i="357" s="1"/>
  <c r="T9" i="357"/>
  <c r="T12" i="358"/>
  <c r="U12" i="358" s="1"/>
  <c r="V12" i="358" s="1"/>
  <c r="O8" i="355"/>
  <c r="T10" i="359"/>
  <c r="U10" i="359" s="1"/>
  <c r="V10" i="359" s="1"/>
  <c r="M13" i="359"/>
  <c r="N16" i="12"/>
  <c r="U35" i="313"/>
  <c r="U28" i="336" s="1"/>
  <c r="T36" i="337"/>
  <c r="O80" i="336"/>
  <c r="I9" i="12"/>
  <c r="J9" i="12"/>
  <c r="T33" i="351"/>
  <c r="U33" i="351" s="1"/>
  <c r="W33" i="351" s="1"/>
  <c r="T26" i="351"/>
  <c r="U26" i="351" s="1"/>
  <c r="W26" i="351" s="1"/>
  <c r="U6" i="358"/>
  <c r="T17" i="358"/>
  <c r="U17" i="358" s="1"/>
  <c r="O6" i="358"/>
  <c r="O16" i="358" s="1"/>
  <c r="T7" i="359"/>
  <c r="U7" i="359" s="1"/>
  <c r="V7" i="359" s="1"/>
  <c r="T8" i="359"/>
  <c r="U8" i="359" s="1"/>
  <c r="V8" i="359" s="1"/>
  <c r="O5" i="359"/>
  <c r="T5" i="359"/>
  <c r="T8" i="354"/>
  <c r="R12" i="12" s="1"/>
  <c r="L16" i="355"/>
  <c r="P16" i="355" s="1"/>
  <c r="F28" i="97"/>
  <c r="F29" i="97" s="1"/>
  <c r="U5" i="355"/>
  <c r="V5" i="355" s="1"/>
  <c r="T8" i="355"/>
  <c r="O5" i="355"/>
  <c r="T9" i="355"/>
  <c r="U9" i="355" s="1"/>
  <c r="V9" i="355" s="1"/>
  <c r="N13" i="12"/>
  <c r="V6" i="355"/>
  <c r="T67" i="351"/>
  <c r="U67" i="351" s="1"/>
  <c r="W67" i="351" s="1"/>
  <c r="T32" i="351"/>
  <c r="U32" i="351" s="1"/>
  <c r="W32" i="351" s="1"/>
  <c r="T15" i="351"/>
  <c r="U15" i="351" s="1"/>
  <c r="W15" i="351" s="1"/>
  <c r="T75" i="351"/>
  <c r="U75" i="351" s="1"/>
  <c r="W75" i="351" s="1"/>
  <c r="T90" i="351"/>
  <c r="U90" i="351" s="1"/>
  <c r="W90" i="351" s="1"/>
  <c r="T56" i="351"/>
  <c r="U56" i="351" s="1"/>
  <c r="W56" i="351" s="1"/>
  <c r="T40" i="351"/>
  <c r="U40" i="351" s="1"/>
  <c r="W40" i="351" s="1"/>
  <c r="T7" i="351"/>
  <c r="U7" i="351" s="1"/>
  <c r="W7" i="351" s="1"/>
  <c r="T34" i="351"/>
  <c r="U34" i="351" s="1"/>
  <c r="W34" i="351" s="1"/>
  <c r="T28" i="351"/>
  <c r="U28" i="351" s="1"/>
  <c r="W28" i="351" s="1"/>
  <c r="T30" i="351"/>
  <c r="U30" i="351" s="1"/>
  <c r="W30" i="351" s="1"/>
  <c r="T13" i="351"/>
  <c r="U13" i="351" s="1"/>
  <c r="W13" i="351" s="1"/>
  <c r="T10" i="351"/>
  <c r="U10" i="351" s="1"/>
  <c r="W10" i="351" s="1"/>
  <c r="T70" i="351"/>
  <c r="U70" i="351" s="1"/>
  <c r="W70" i="351" s="1"/>
  <c r="T38" i="351"/>
  <c r="U38" i="351" s="1"/>
  <c r="W38" i="351" s="1"/>
  <c r="T9" i="351"/>
  <c r="U9" i="351" s="1"/>
  <c r="W9" i="351" s="1"/>
  <c r="T86" i="351"/>
  <c r="U86" i="351" s="1"/>
  <c r="W86" i="351" s="1"/>
  <c r="T25" i="351"/>
  <c r="U25" i="351" s="1"/>
  <c r="W25" i="351" s="1"/>
  <c r="T82" i="351"/>
  <c r="U82" i="351" s="1"/>
  <c r="W82" i="351" s="1"/>
  <c r="T14" i="351"/>
  <c r="U14" i="351" s="1"/>
  <c r="W14" i="351" s="1"/>
  <c r="T71" i="351"/>
  <c r="U71" i="351" s="1"/>
  <c r="W71" i="351" s="1"/>
  <c r="T103" i="351"/>
  <c r="U103" i="351" s="1"/>
  <c r="W103" i="351" s="1"/>
  <c r="T48" i="351"/>
  <c r="U48" i="351" s="1"/>
  <c r="W48" i="351" s="1"/>
  <c r="T94" i="351"/>
  <c r="U94" i="351" s="1"/>
  <c r="W94" i="351" s="1"/>
  <c r="T89" i="351"/>
  <c r="U89" i="351" s="1"/>
  <c r="W89" i="351" s="1"/>
  <c r="T102" i="351"/>
  <c r="U102" i="351" s="1"/>
  <c r="W102" i="351" s="1"/>
  <c r="T63" i="351"/>
  <c r="U63" i="351" s="1"/>
  <c r="W63" i="351" s="1"/>
  <c r="T83" i="351"/>
  <c r="U83" i="351" s="1"/>
  <c r="W83" i="351" s="1"/>
  <c r="T99" i="351"/>
  <c r="U99" i="351" s="1"/>
  <c r="W99" i="351" s="1"/>
  <c r="T110" i="351"/>
  <c r="U110" i="351" s="1"/>
  <c r="M112" i="351"/>
  <c r="T72" i="351"/>
  <c r="U72" i="351" s="1"/>
  <c r="W72" i="351" s="1"/>
  <c r="T85" i="351"/>
  <c r="U85" i="351" s="1"/>
  <c r="W85" i="351" s="1"/>
  <c r="T29" i="351"/>
  <c r="U29" i="351" s="1"/>
  <c r="W29" i="351" s="1"/>
  <c r="T43" i="351"/>
  <c r="U43" i="351" s="1"/>
  <c r="W43" i="351" s="1"/>
  <c r="T16" i="351"/>
  <c r="U16" i="351" s="1"/>
  <c r="W16" i="351" s="1"/>
  <c r="T76" i="351"/>
  <c r="U76" i="351" s="1"/>
  <c r="W76" i="351" s="1"/>
  <c r="T8" i="351"/>
  <c r="U8" i="351" s="1"/>
  <c r="W8" i="351" s="1"/>
  <c r="T20" i="351"/>
  <c r="U20" i="351" s="1"/>
  <c r="W20" i="351" s="1"/>
  <c r="T96" i="351"/>
  <c r="U96" i="351" s="1"/>
  <c r="W96" i="351" s="1"/>
  <c r="T37" i="351"/>
  <c r="U37" i="351" s="1"/>
  <c r="W37" i="351" s="1"/>
  <c r="T6" i="351"/>
  <c r="T87" i="351"/>
  <c r="U87" i="351" s="1"/>
  <c r="W87" i="351" s="1"/>
  <c r="T45" i="351"/>
  <c r="U45" i="351" s="1"/>
  <c r="W45" i="351" s="1"/>
  <c r="T23" i="351"/>
  <c r="U23" i="351" s="1"/>
  <c r="W23" i="351" s="1"/>
  <c r="T109" i="351"/>
  <c r="U109" i="351" s="1"/>
  <c r="T79" i="351"/>
  <c r="U79" i="351" s="1"/>
  <c r="W79" i="351" s="1"/>
  <c r="T55" i="351"/>
  <c r="U55" i="351" s="1"/>
  <c r="W55" i="351" s="1"/>
  <c r="T66" i="351"/>
  <c r="U66" i="351" s="1"/>
  <c r="W66" i="351" s="1"/>
  <c r="T88" i="351"/>
  <c r="U88" i="351" s="1"/>
  <c r="W88" i="351" s="1"/>
  <c r="T52" i="351"/>
  <c r="U52" i="351" s="1"/>
  <c r="W52" i="351" s="1"/>
  <c r="T46" i="351"/>
  <c r="U46" i="351" s="1"/>
  <c r="W46" i="351" s="1"/>
  <c r="T74" i="351"/>
  <c r="U74" i="351" s="1"/>
  <c r="W74" i="351" s="1"/>
  <c r="W25" i="12"/>
  <c r="X25" i="12"/>
  <c r="T44" i="350"/>
  <c r="U44" i="350" s="1"/>
  <c r="V44" i="350" s="1"/>
  <c r="T21" i="350"/>
  <c r="U21" i="350" s="1"/>
  <c r="V21" i="350" s="1"/>
  <c r="T18" i="350"/>
  <c r="U18" i="350" s="1"/>
  <c r="V18" i="350" s="1"/>
  <c r="T9" i="350"/>
  <c r="U9" i="350" s="1"/>
  <c r="V9" i="350" s="1"/>
  <c r="F66" i="350"/>
  <c r="B7" i="12"/>
  <c r="T7" i="350"/>
  <c r="U7" i="350" s="1"/>
  <c r="V7" i="350" s="1"/>
  <c r="T23" i="350"/>
  <c r="U23" i="350" s="1"/>
  <c r="V23" i="350" s="1"/>
  <c r="T34" i="350"/>
  <c r="U34" i="350" s="1"/>
  <c r="V34" i="350" s="1"/>
  <c r="T49" i="350"/>
  <c r="U49" i="350" s="1"/>
  <c r="V49" i="350" s="1"/>
  <c r="U61" i="350"/>
  <c r="T45" i="350"/>
  <c r="U45" i="350" s="1"/>
  <c r="V45" i="350" s="1"/>
  <c r="T11" i="350"/>
  <c r="U11" i="350" s="1"/>
  <c r="V11" i="350" s="1"/>
  <c r="T43" i="350"/>
  <c r="U43" i="350" s="1"/>
  <c r="V43" i="350" s="1"/>
  <c r="T37" i="350"/>
  <c r="U37" i="350" s="1"/>
  <c r="V37" i="350" s="1"/>
  <c r="T39" i="350"/>
  <c r="U39" i="350" s="1"/>
  <c r="V39" i="350" s="1"/>
  <c r="T64" i="350"/>
  <c r="U64" i="350" s="1"/>
  <c r="V64" i="350" s="1"/>
  <c r="T6" i="350"/>
  <c r="U6" i="350" s="1"/>
  <c r="V6" i="350" s="1"/>
  <c r="T26" i="350"/>
  <c r="U26" i="350" s="1"/>
  <c r="V26" i="350" s="1"/>
  <c r="T28" i="350"/>
  <c r="U28" i="350" s="1"/>
  <c r="V28" i="350" s="1"/>
  <c r="T12" i="350"/>
  <c r="U12" i="350" s="1"/>
  <c r="V12" i="350" s="1"/>
  <c r="T20" i="350"/>
  <c r="U20" i="350" s="1"/>
  <c r="V20" i="350" s="1"/>
  <c r="V25" i="12"/>
  <c r="T18" i="356"/>
  <c r="P21" i="356"/>
  <c r="T15" i="356"/>
  <c r="U15" i="356" s="1"/>
  <c r="W15" i="356" s="1"/>
  <c r="T9" i="356"/>
  <c r="U9" i="356" s="1"/>
  <c r="W9" i="356" s="1"/>
  <c r="T16" i="356"/>
  <c r="U16" i="356" s="1"/>
  <c r="W16" i="356" s="1"/>
  <c r="U13" i="356"/>
  <c r="L21" i="356"/>
  <c r="J14" i="12"/>
  <c r="L106" i="337"/>
  <c r="J10" i="12"/>
  <c r="L19" i="352"/>
  <c r="L66" i="350"/>
  <c r="I7" i="12"/>
  <c r="U10" i="350"/>
  <c r="K123" i="337"/>
  <c r="O48" i="313"/>
  <c r="O50" i="337" s="1"/>
  <c r="S94" i="336"/>
  <c r="T48" i="313"/>
  <c r="T50" i="337" s="1"/>
  <c r="O8" i="354"/>
  <c r="M12" i="12" s="1"/>
  <c r="U5" i="354"/>
  <c r="U8" i="354" s="1"/>
  <c r="M8" i="354"/>
  <c r="S106" i="337"/>
  <c r="S123" i="337" s="1"/>
  <c r="Q18" i="12"/>
  <c r="P28" i="97"/>
  <c r="P29" i="97" s="1"/>
  <c r="T74" i="313"/>
  <c r="U74" i="313" s="1"/>
  <c r="V74" i="313" s="1"/>
  <c r="D129" i="336"/>
  <c r="F112" i="336"/>
  <c r="O7" i="336"/>
  <c r="L94" i="336"/>
  <c r="S112" i="336"/>
  <c r="L61" i="336"/>
  <c r="AA129" i="336"/>
  <c r="L122" i="337"/>
  <c r="T38" i="313"/>
  <c r="T66" i="336" s="1"/>
  <c r="F106" i="337"/>
  <c r="F123" i="337" s="1"/>
  <c r="T32" i="336"/>
  <c r="T48" i="337"/>
  <c r="U47" i="313"/>
  <c r="O66" i="336"/>
  <c r="O39" i="337"/>
  <c r="T79" i="336"/>
  <c r="T84" i="337"/>
  <c r="U81" i="313"/>
  <c r="T86" i="336"/>
  <c r="T113" i="337"/>
  <c r="U124" i="313"/>
  <c r="T52" i="336"/>
  <c r="T23" i="337"/>
  <c r="U23" i="313"/>
  <c r="T22" i="336"/>
  <c r="T20" i="337"/>
  <c r="U20" i="313"/>
  <c r="T31" i="336"/>
  <c r="T41" i="337"/>
  <c r="U40" i="313"/>
  <c r="T11" i="336"/>
  <c r="T5" i="337"/>
  <c r="U5" i="313"/>
  <c r="T14" i="336"/>
  <c r="T9" i="337"/>
  <c r="U9" i="313"/>
  <c r="T50" i="336"/>
  <c r="T91" i="337"/>
  <c r="U87" i="313"/>
  <c r="T41" i="336"/>
  <c r="T76" i="337"/>
  <c r="U72" i="313"/>
  <c r="T60" i="336"/>
  <c r="T102" i="337"/>
  <c r="U99" i="313"/>
  <c r="M122" i="336"/>
  <c r="M104" i="337"/>
  <c r="O101" i="313"/>
  <c r="U17" i="336"/>
  <c r="U13" i="337"/>
  <c r="V12" i="313"/>
  <c r="M12" i="336"/>
  <c r="M6" i="337"/>
  <c r="O6" i="313"/>
  <c r="T81" i="336"/>
  <c r="T88" i="337"/>
  <c r="U84" i="313"/>
  <c r="O29" i="336"/>
  <c r="O37" i="337"/>
  <c r="P16" i="336"/>
  <c r="P11" i="337"/>
  <c r="T11" i="313"/>
  <c r="P108" i="336"/>
  <c r="P68" i="337"/>
  <c r="M66" i="313"/>
  <c r="T66" i="313" s="1"/>
  <c r="U53" i="336"/>
  <c r="U59" i="337"/>
  <c r="V57" i="313"/>
  <c r="M49" i="336"/>
  <c r="M119" i="337"/>
  <c r="O130" i="313"/>
  <c r="P65" i="336"/>
  <c r="P34" i="337"/>
  <c r="T33" i="313"/>
  <c r="P101" i="336"/>
  <c r="P15" i="337"/>
  <c r="T14" i="313"/>
  <c r="M37" i="336"/>
  <c r="M60" i="337"/>
  <c r="O58" i="313"/>
  <c r="T95" i="336"/>
  <c r="T26" i="337"/>
  <c r="U26" i="313"/>
  <c r="V26" i="313" s="1"/>
  <c r="T47" i="336"/>
  <c r="T109" i="337"/>
  <c r="U120" i="313"/>
  <c r="P70" i="336"/>
  <c r="P63" i="337"/>
  <c r="T61" i="313"/>
  <c r="P42" i="336"/>
  <c r="P77" i="337"/>
  <c r="T73" i="313"/>
  <c r="O68" i="336"/>
  <c r="O44" i="337"/>
  <c r="P99" i="336"/>
  <c r="P99" i="337"/>
  <c r="T96" i="313"/>
  <c r="P111" i="336"/>
  <c r="P98" i="337"/>
  <c r="T95" i="313"/>
  <c r="M18" i="336"/>
  <c r="M14" i="337"/>
  <c r="O13" i="313"/>
  <c r="M19" i="336"/>
  <c r="M17" i="337"/>
  <c r="O16" i="313"/>
  <c r="M46" i="336"/>
  <c r="M93" i="337"/>
  <c r="O89" i="313"/>
  <c r="T84" i="336"/>
  <c r="T96" i="337"/>
  <c r="U93" i="313"/>
  <c r="M87" i="336"/>
  <c r="M114" i="337"/>
  <c r="O125" i="313"/>
  <c r="M50" i="336"/>
  <c r="M91" i="337"/>
  <c r="O87" i="313"/>
  <c r="M76" i="336"/>
  <c r="M75" i="337"/>
  <c r="O71" i="313"/>
  <c r="P44" i="336"/>
  <c r="P79" i="337"/>
  <c r="M76" i="313"/>
  <c r="T64" i="336"/>
  <c r="T32" i="337"/>
  <c r="U31" i="313"/>
  <c r="M52" i="336"/>
  <c r="M23" i="337"/>
  <c r="O23" i="313"/>
  <c r="P34" i="336"/>
  <c r="P55" i="337"/>
  <c r="T53" i="313"/>
  <c r="P5" i="336"/>
  <c r="P10" i="336" s="1"/>
  <c r="P21" i="337"/>
  <c r="T21" i="313"/>
  <c r="M79" i="336"/>
  <c r="M84" i="337"/>
  <c r="T30" i="336"/>
  <c r="T38" i="337"/>
  <c r="U37" i="313"/>
  <c r="U45" i="336"/>
  <c r="U80" i="337"/>
  <c r="V77" i="313"/>
  <c r="M114" i="336"/>
  <c r="M52" i="337"/>
  <c r="T12" i="336"/>
  <c r="T6" i="337"/>
  <c r="U6" i="313"/>
  <c r="O43" i="336"/>
  <c r="O78" i="337"/>
  <c r="P56" i="336"/>
  <c r="P110" i="337"/>
  <c r="T121" i="313"/>
  <c r="M21" i="336"/>
  <c r="M19" i="337"/>
  <c r="O19" i="313"/>
  <c r="P96" i="336"/>
  <c r="P27" i="337"/>
  <c r="Q5" i="44"/>
  <c r="T6" i="336"/>
  <c r="T22" i="337"/>
  <c r="U22" i="313"/>
  <c r="T15" i="336"/>
  <c r="T10" i="337"/>
  <c r="U10" i="313"/>
  <c r="P62" i="336"/>
  <c r="P63" i="336" s="1"/>
  <c r="P7" i="337"/>
  <c r="T7" i="313"/>
  <c r="M84" i="336"/>
  <c r="M96" i="337"/>
  <c r="O93" i="313"/>
  <c r="M88" i="336"/>
  <c r="M115" i="337"/>
  <c r="O126" i="313"/>
  <c r="T105" i="337"/>
  <c r="T9" i="336"/>
  <c r="U110" i="313"/>
  <c r="T48" i="336"/>
  <c r="T117" i="337"/>
  <c r="U128" i="313"/>
  <c r="T104" i="336"/>
  <c r="T30" i="337"/>
  <c r="U30" i="313"/>
  <c r="P54" i="336"/>
  <c r="P65" i="337"/>
  <c r="T125" i="313"/>
  <c r="T74" i="336"/>
  <c r="T71" i="337"/>
  <c r="U68" i="313"/>
  <c r="P27" i="336"/>
  <c r="P35" i="337"/>
  <c r="M34" i="313"/>
  <c r="O81" i="336"/>
  <c r="O88" i="337"/>
  <c r="T71" i="313"/>
  <c r="P69" i="337"/>
  <c r="T67" i="313"/>
  <c r="M64" i="336"/>
  <c r="M32" i="337"/>
  <c r="O31" i="313"/>
  <c r="T18" i="313"/>
  <c r="U18" i="313" s="1"/>
  <c r="V18" i="313" s="1"/>
  <c r="M30" i="336"/>
  <c r="M38" i="337"/>
  <c r="T50" i="313"/>
  <c r="P20" i="336"/>
  <c r="P18" i="337"/>
  <c r="T13" i="336"/>
  <c r="T8" i="337"/>
  <c r="U8" i="313"/>
  <c r="P38" i="336"/>
  <c r="P61" i="337"/>
  <c r="M59" i="313"/>
  <c r="T59" i="313" s="1"/>
  <c r="O13" i="336"/>
  <c r="O8" i="337"/>
  <c r="P33" i="336"/>
  <c r="P54" i="337"/>
  <c r="T52" i="313"/>
  <c r="T88" i="336"/>
  <c r="T115" i="337"/>
  <c r="U126" i="313"/>
  <c r="O114" i="336"/>
  <c r="O52" i="337"/>
  <c r="M72" i="337"/>
  <c r="M8" i="336"/>
  <c r="O69" i="313"/>
  <c r="P121" i="336"/>
  <c r="P100" i="337"/>
  <c r="T97" i="313"/>
  <c r="T19" i="313"/>
  <c r="T109" i="313"/>
  <c r="U109" i="313" s="1"/>
  <c r="V109" i="313" s="1"/>
  <c r="U43" i="336"/>
  <c r="U78" i="337"/>
  <c r="V75" i="313"/>
  <c r="M109" i="336"/>
  <c r="M83" i="337"/>
  <c r="O80" i="313"/>
  <c r="M6" i="336"/>
  <c r="M22" i="337"/>
  <c r="O22" i="313"/>
  <c r="M15" i="336"/>
  <c r="M10" i="337"/>
  <c r="O10" i="313"/>
  <c r="M9" i="336"/>
  <c r="M105" i="337"/>
  <c r="O110" i="313"/>
  <c r="M48" i="336"/>
  <c r="M117" i="337"/>
  <c r="O128" i="313"/>
  <c r="M104" i="336"/>
  <c r="M30" i="337"/>
  <c r="O30" i="313"/>
  <c r="M103" i="336"/>
  <c r="M29" i="337"/>
  <c r="O29" i="313"/>
  <c r="M74" i="336"/>
  <c r="M71" i="337"/>
  <c r="O68" i="313"/>
  <c r="M97" i="336"/>
  <c r="M40" i="337"/>
  <c r="O39" i="313"/>
  <c r="L112" i="336"/>
  <c r="P102" i="336"/>
  <c r="P25" i="337"/>
  <c r="T25" i="313"/>
  <c r="P82" i="336"/>
  <c r="P94" i="337"/>
  <c r="T91" i="313"/>
  <c r="M59" i="336"/>
  <c r="M62" i="337"/>
  <c r="O60" i="313"/>
  <c r="T104" i="313"/>
  <c r="U104" i="313" s="1"/>
  <c r="V104" i="313" s="1"/>
  <c r="U29" i="336"/>
  <c r="U37" i="337"/>
  <c r="V36" i="313"/>
  <c r="O30" i="336"/>
  <c r="O38" i="337"/>
  <c r="T49" i="336"/>
  <c r="T119" i="337"/>
  <c r="U130" i="313"/>
  <c r="T8" i="336"/>
  <c r="T72" i="337"/>
  <c r="U69" i="313"/>
  <c r="G129" i="336"/>
  <c r="M22" i="336"/>
  <c r="M20" i="337"/>
  <c r="O20" i="313"/>
  <c r="P85" i="336"/>
  <c r="P112" i="337"/>
  <c r="T123" i="313"/>
  <c r="T101" i="313"/>
  <c r="M32" i="336"/>
  <c r="M48" i="337"/>
  <c r="O47" i="313"/>
  <c r="T109" i="336"/>
  <c r="T83" i="337"/>
  <c r="U80" i="313"/>
  <c r="M41" i="336"/>
  <c r="M76" i="337"/>
  <c r="O72" i="313"/>
  <c r="T103" i="336"/>
  <c r="T29" i="337"/>
  <c r="U29" i="313"/>
  <c r="T107" i="313"/>
  <c r="U107" i="313" s="1"/>
  <c r="V107" i="313" s="1"/>
  <c r="N129" i="336"/>
  <c r="T97" i="336"/>
  <c r="U39" i="313"/>
  <c r="T40" i="337"/>
  <c r="M89" i="336"/>
  <c r="M116" i="337"/>
  <c r="O127" i="313"/>
  <c r="M35" i="336"/>
  <c r="M56" i="337"/>
  <c r="O54" i="313"/>
  <c r="M60" i="336"/>
  <c r="M102" i="337"/>
  <c r="O99" i="313"/>
  <c r="T59" i="336"/>
  <c r="T62" i="337"/>
  <c r="U60" i="313"/>
  <c r="M86" i="336"/>
  <c r="M113" i="337"/>
  <c r="O124" i="313"/>
  <c r="U107" i="336"/>
  <c r="U46" i="337"/>
  <c r="V45" i="313"/>
  <c r="P77" i="336"/>
  <c r="P81" i="337"/>
  <c r="O78" i="336"/>
  <c r="O82" i="337"/>
  <c r="P110" i="336"/>
  <c r="P97" i="337"/>
  <c r="M94" i="313"/>
  <c r="T94" i="313" s="1"/>
  <c r="M14" i="336"/>
  <c r="M9" i="337"/>
  <c r="O9" i="313"/>
  <c r="T124" i="336"/>
  <c r="T125" i="336" s="1"/>
  <c r="T89" i="337"/>
  <c r="U85" i="313"/>
  <c r="T120" i="336"/>
  <c r="T87" i="337"/>
  <c r="U83" i="313"/>
  <c r="U118" i="336"/>
  <c r="U123" i="336" s="1"/>
  <c r="E20" i="61" s="1"/>
  <c r="U47" i="337"/>
  <c r="V46" i="313"/>
  <c r="P36" i="336"/>
  <c r="P57" i="337"/>
  <c r="T55" i="313"/>
  <c r="P83" i="336"/>
  <c r="P95" i="337"/>
  <c r="T92" i="313"/>
  <c r="U100" i="336"/>
  <c r="U101" i="337"/>
  <c r="V98" i="313"/>
  <c r="T89" i="336"/>
  <c r="T116" i="337"/>
  <c r="U127" i="313"/>
  <c r="U39" i="336"/>
  <c r="U66" i="337"/>
  <c r="V64" i="313"/>
  <c r="T35" i="336"/>
  <c r="T56" i="337"/>
  <c r="U54" i="313"/>
  <c r="M72" i="336"/>
  <c r="M67" i="337"/>
  <c r="O65" i="313"/>
  <c r="M57" i="336"/>
  <c r="M111" i="337"/>
  <c r="O122" i="313"/>
  <c r="P103" i="337"/>
  <c r="T100" i="313"/>
  <c r="U80" i="336"/>
  <c r="U85" i="337"/>
  <c r="V82" i="313"/>
  <c r="M31" i="336"/>
  <c r="M41" i="337"/>
  <c r="O40" i="313"/>
  <c r="P55" i="336"/>
  <c r="P90" i="337"/>
  <c r="T86" i="313"/>
  <c r="P24" i="336"/>
  <c r="P28" i="337"/>
  <c r="M28" i="313"/>
  <c r="T28" i="313" s="1"/>
  <c r="M11" i="336"/>
  <c r="M5" i="337"/>
  <c r="O5" i="313"/>
  <c r="P26" i="336"/>
  <c r="P33" i="337"/>
  <c r="T32" i="313"/>
  <c r="M106" i="336"/>
  <c r="M45" i="337"/>
  <c r="O44" i="313"/>
  <c r="P116" i="336"/>
  <c r="P117" i="336" s="1"/>
  <c r="P53" i="337"/>
  <c r="T51" i="313"/>
  <c r="P91" i="336"/>
  <c r="P120" i="337"/>
  <c r="M66" i="336"/>
  <c r="M39" i="337"/>
  <c r="P105" i="336"/>
  <c r="P42" i="337"/>
  <c r="T41" i="313"/>
  <c r="M47" i="336"/>
  <c r="M109" i="337"/>
  <c r="O120" i="313"/>
  <c r="T98" i="336"/>
  <c r="T51" i="337"/>
  <c r="U49" i="313"/>
  <c r="K129" i="336"/>
  <c r="L130" i="336" s="1"/>
  <c r="M124" i="336"/>
  <c r="M125" i="336" s="1"/>
  <c r="M89" i="337"/>
  <c r="O85" i="313"/>
  <c r="M120" i="336"/>
  <c r="M87" i="337"/>
  <c r="O83" i="313"/>
  <c r="M71" i="336"/>
  <c r="M64" i="337"/>
  <c r="O62" i="313"/>
  <c r="T65" i="313"/>
  <c r="O107" i="336"/>
  <c r="O46" i="337"/>
  <c r="T122" i="313"/>
  <c r="U7" i="336"/>
  <c r="U58" i="337"/>
  <c r="V56" i="313"/>
  <c r="U68" i="336"/>
  <c r="U44" i="337"/>
  <c r="V43" i="313"/>
  <c r="P75" i="336"/>
  <c r="P73" i="337"/>
  <c r="T70" i="313"/>
  <c r="P23" i="336"/>
  <c r="P24" i="337"/>
  <c r="T24" i="313"/>
  <c r="T40" i="336"/>
  <c r="U40" i="336" s="1"/>
  <c r="W40" i="336" s="1"/>
  <c r="F61" i="336"/>
  <c r="Q129" i="336"/>
  <c r="T58" i="313"/>
  <c r="E28" i="97"/>
  <c r="E29" i="97" s="1"/>
  <c r="T44" i="313"/>
  <c r="O81" i="313"/>
  <c r="M95" i="336"/>
  <c r="M26" i="337"/>
  <c r="O26" i="313"/>
  <c r="P132" i="313"/>
  <c r="M98" i="336"/>
  <c r="M51" i="337"/>
  <c r="O49" i="313"/>
  <c r="P67" i="336"/>
  <c r="P43" i="337"/>
  <c r="M42" i="313"/>
  <c r="T42" i="313" s="1"/>
  <c r="P58" i="336"/>
  <c r="P16" i="337"/>
  <c r="M15" i="313"/>
  <c r="T15" i="313" s="1"/>
  <c r="P90" i="336"/>
  <c r="P118" i="337"/>
  <c r="T129" i="313"/>
  <c r="T62" i="313"/>
  <c r="S61" i="336"/>
  <c r="T13" i="313"/>
  <c r="T16" i="313"/>
  <c r="P51" i="336"/>
  <c r="P92" i="337"/>
  <c r="M88" i="313"/>
  <c r="T89" i="313"/>
  <c r="U78" i="336"/>
  <c r="U82" i="337"/>
  <c r="V79" i="313"/>
  <c r="T93" i="336"/>
  <c r="U93" i="336" s="1"/>
  <c r="W93" i="336" s="1"/>
  <c r="O13" i="353"/>
  <c r="T13" i="353"/>
  <c r="T8" i="353"/>
  <c r="U8" i="353" s="1"/>
  <c r="W8" i="353" s="1"/>
  <c r="B11" i="12"/>
  <c r="F17" i="353"/>
  <c r="W5" i="353"/>
  <c r="T10" i="353"/>
  <c r="U10" i="353" s="1"/>
  <c r="W10" i="353" s="1"/>
  <c r="T11" i="353"/>
  <c r="U11" i="353" s="1"/>
  <c r="W11" i="353" s="1"/>
  <c r="N17" i="370" l="1"/>
  <c r="J18" i="370"/>
  <c r="V26" i="337"/>
  <c r="V95" i="336"/>
  <c r="A17" i="352"/>
  <c r="T35" i="373"/>
  <c r="U35" i="373" s="1"/>
  <c r="O5" i="350"/>
  <c r="M65" i="350"/>
  <c r="T5" i="350"/>
  <c r="T107" i="372"/>
  <c r="U6" i="372"/>
  <c r="AO11" i="374"/>
  <c r="W11" i="374"/>
  <c r="V46" i="371"/>
  <c r="AO46" i="371"/>
  <c r="AO52" i="371"/>
  <c r="V52" i="371"/>
  <c r="AO39" i="372"/>
  <c r="V39" i="372"/>
  <c r="AO11" i="377"/>
  <c r="W11" i="377"/>
  <c r="V54" i="372"/>
  <c r="AO54" i="372"/>
  <c r="AO56" i="371"/>
  <c r="V56" i="371"/>
  <c r="U77" i="371"/>
  <c r="V19" i="372"/>
  <c r="AO19" i="372"/>
  <c r="AO13" i="378"/>
  <c r="V13" i="378"/>
  <c r="AO8" i="371"/>
  <c r="V8" i="371"/>
  <c r="T23" i="341"/>
  <c r="T74" i="371"/>
  <c r="R7" i="370" s="1"/>
  <c r="U6" i="371"/>
  <c r="T7" i="343"/>
  <c r="U5" i="343"/>
  <c r="M8" i="376"/>
  <c r="K12" i="370" s="1"/>
  <c r="O6" i="376"/>
  <c r="O8" i="376" s="1"/>
  <c r="M12" i="370" s="1"/>
  <c r="T24" i="374"/>
  <c r="R10" i="370" s="1"/>
  <c r="T16" i="375"/>
  <c r="R11" i="370" s="1"/>
  <c r="U6" i="375"/>
  <c r="AO36" i="371"/>
  <c r="V36" i="371"/>
  <c r="AO15" i="377"/>
  <c r="V15" i="377"/>
  <c r="V18" i="377" s="1"/>
  <c r="T13" i="370" s="1"/>
  <c r="V32" i="372"/>
  <c r="AO32" i="372"/>
  <c r="V58" i="371"/>
  <c r="AO58" i="371"/>
  <c r="V11" i="372"/>
  <c r="AO11" i="372"/>
  <c r="AO17" i="378"/>
  <c r="V17" i="378"/>
  <c r="U76" i="371"/>
  <c r="U78" i="371" s="1"/>
  <c r="AO68" i="371"/>
  <c r="V68" i="371"/>
  <c r="D24" i="40"/>
  <c r="J23" i="40"/>
  <c r="J24" i="40" s="1"/>
  <c r="AO20" i="379"/>
  <c r="U29" i="379"/>
  <c r="V20" i="379"/>
  <c r="V29" i="379" s="1"/>
  <c r="V10" i="372"/>
  <c r="AO10" i="372"/>
  <c r="V21" i="371"/>
  <c r="AO21" i="371"/>
  <c r="T9" i="376"/>
  <c r="V15" i="372"/>
  <c r="AO15" i="372"/>
  <c r="V7" i="376"/>
  <c r="AO7" i="376"/>
  <c r="W20" i="374"/>
  <c r="AO20" i="374"/>
  <c r="AO47" i="371"/>
  <c r="V47" i="371"/>
  <c r="V33" i="371"/>
  <c r="AO33" i="371"/>
  <c r="AO9" i="378"/>
  <c r="V9" i="378"/>
  <c r="V59" i="372"/>
  <c r="AO59" i="372"/>
  <c r="V34" i="371"/>
  <c r="AO34" i="371"/>
  <c r="V122" i="372"/>
  <c r="AO122" i="372"/>
  <c r="V22" i="372"/>
  <c r="AO22" i="372"/>
  <c r="T6" i="376"/>
  <c r="V25" i="371"/>
  <c r="AO25" i="371"/>
  <c r="M17" i="345"/>
  <c r="T18" i="345" s="1"/>
  <c r="O5" i="345"/>
  <c r="O17" i="345" s="1"/>
  <c r="AO6" i="378"/>
  <c r="U18" i="378"/>
  <c r="S14" i="370" s="1"/>
  <c r="V6" i="378"/>
  <c r="W107" i="372"/>
  <c r="W124" i="372" s="1"/>
  <c r="U8" i="370" s="1"/>
  <c r="M16" i="375"/>
  <c r="K11" i="370" s="1"/>
  <c r="O6" i="375"/>
  <c r="O16" i="375" s="1"/>
  <c r="M11" i="370" s="1"/>
  <c r="AO24" i="379"/>
  <c r="W24" i="379"/>
  <c r="AO81" i="372"/>
  <c r="V81" i="372"/>
  <c r="V15" i="371"/>
  <c r="AO15" i="371"/>
  <c r="V20" i="371"/>
  <c r="AO20" i="371"/>
  <c r="AO13" i="377"/>
  <c r="W13" i="377"/>
  <c r="V53" i="372"/>
  <c r="AO53" i="372"/>
  <c r="AO16" i="371"/>
  <c r="V16" i="371"/>
  <c r="AO6" i="377"/>
  <c r="U18" i="377"/>
  <c r="S13" i="370" s="1"/>
  <c r="W6" i="377"/>
  <c r="J26" i="40"/>
  <c r="J27" i="40" s="1"/>
  <c r="V87" i="372"/>
  <c r="AO87" i="372"/>
  <c r="AO82" i="372"/>
  <c r="V82" i="372"/>
  <c r="AO72" i="371"/>
  <c r="V72" i="371"/>
  <c r="AO29" i="372"/>
  <c r="V29" i="372"/>
  <c r="AO27" i="379"/>
  <c r="W27" i="379"/>
  <c r="V55" i="372"/>
  <c r="AO55" i="372"/>
  <c r="V21" i="372"/>
  <c r="AO21" i="372"/>
  <c r="AO21" i="374"/>
  <c r="W21" i="374"/>
  <c r="AO91" i="372"/>
  <c r="V91" i="372"/>
  <c r="AO42" i="371"/>
  <c r="V42" i="371"/>
  <c r="U110" i="372"/>
  <c r="T123" i="372"/>
  <c r="T124" i="372" s="1"/>
  <c r="R8" i="370" s="1"/>
  <c r="AO38" i="372"/>
  <c r="V38" i="372"/>
  <c r="V99" i="372"/>
  <c r="AO99" i="372"/>
  <c r="AO35" i="371"/>
  <c r="V35" i="371"/>
  <c r="V26" i="371"/>
  <c r="AO26" i="371"/>
  <c r="T5" i="345"/>
  <c r="T18" i="378"/>
  <c r="R14" i="370" s="1"/>
  <c r="AO11" i="379"/>
  <c r="V11" i="379"/>
  <c r="AO26" i="372"/>
  <c r="V26" i="372"/>
  <c r="AO70" i="371"/>
  <c r="V70" i="371"/>
  <c r="V64" i="371"/>
  <c r="AO64" i="371"/>
  <c r="AO118" i="372"/>
  <c r="V118" i="372"/>
  <c r="V9" i="372"/>
  <c r="AO9" i="372"/>
  <c r="T18" i="377"/>
  <c r="R13" i="370" s="1"/>
  <c r="A19" i="356"/>
  <c r="A129" i="352"/>
  <c r="A132" i="352" s="1"/>
  <c r="N16" i="370"/>
  <c r="M107" i="372"/>
  <c r="M124" i="372" s="1"/>
  <c r="K8" i="370" s="1"/>
  <c r="O6" i="372"/>
  <c r="O107" i="372" s="1"/>
  <c r="U16" i="379"/>
  <c r="V6" i="379"/>
  <c r="V16" i="379" s="1"/>
  <c r="AO6" i="379"/>
  <c r="V119" i="372"/>
  <c r="AO119" i="372"/>
  <c r="AO41" i="371"/>
  <c r="V41" i="371"/>
  <c r="V12" i="372"/>
  <c r="AO12" i="372"/>
  <c r="AO14" i="378"/>
  <c r="V14" i="378"/>
  <c r="V100" i="372"/>
  <c r="AO100" i="372"/>
  <c r="V13" i="372"/>
  <c r="AO13" i="372"/>
  <c r="V22" i="371"/>
  <c r="AO22" i="371"/>
  <c r="AO88" i="372"/>
  <c r="V88" i="372"/>
  <c r="V96" i="372"/>
  <c r="AO96" i="372"/>
  <c r="AO25" i="372"/>
  <c r="V25" i="372"/>
  <c r="W7" i="379"/>
  <c r="W16" i="379" s="1"/>
  <c r="AO7" i="379"/>
  <c r="AO55" i="371"/>
  <c r="V55" i="371"/>
  <c r="W5" i="341"/>
  <c r="W23" i="341" s="1"/>
  <c r="U23" i="341"/>
  <c r="AO80" i="372"/>
  <c r="V80" i="372"/>
  <c r="M7" i="343"/>
  <c r="T8" i="343" s="1"/>
  <c r="O5" i="343"/>
  <c r="O7" i="343" s="1"/>
  <c r="AO37" i="371"/>
  <c r="V37" i="371"/>
  <c r="U24" i="374"/>
  <c r="S10" i="370" s="1"/>
  <c r="AO6" i="374"/>
  <c r="AO24" i="374" s="1"/>
  <c r="AL10" i="370" s="1"/>
  <c r="W6" i="374"/>
  <c r="W24" i="374" s="1"/>
  <c r="U10" i="370" s="1"/>
  <c r="O124" i="372"/>
  <c r="M8" i="370" s="1"/>
  <c r="M16" i="370" s="1"/>
  <c r="AO7" i="377"/>
  <c r="W7" i="377"/>
  <c r="W29" i="379"/>
  <c r="W31" i="379" s="1"/>
  <c r="U15" i="370" s="1"/>
  <c r="V50" i="372"/>
  <c r="AO50" i="372"/>
  <c r="U126" i="372"/>
  <c r="U128" i="372" s="1"/>
  <c r="AO63" i="372"/>
  <c r="V63" i="372"/>
  <c r="AO9" i="371"/>
  <c r="V9" i="371"/>
  <c r="V29" i="371"/>
  <c r="AO29" i="371"/>
  <c r="AO49" i="372"/>
  <c r="V49" i="372"/>
  <c r="V28" i="371"/>
  <c r="AO28" i="371"/>
  <c r="AO101" i="373"/>
  <c r="W101" i="373"/>
  <c r="AO76" i="373"/>
  <c r="V76" i="373"/>
  <c r="W35" i="373"/>
  <c r="AO35" i="373"/>
  <c r="W85" i="373"/>
  <c r="AO85" i="373"/>
  <c r="M111" i="373"/>
  <c r="K9" i="370" s="1"/>
  <c r="AO22" i="373"/>
  <c r="W22" i="373"/>
  <c r="W60" i="373"/>
  <c r="AO60" i="373"/>
  <c r="AO75" i="373"/>
  <c r="V75" i="373"/>
  <c r="AO21" i="373"/>
  <c r="W21" i="373"/>
  <c r="W70" i="373"/>
  <c r="AO70" i="373"/>
  <c r="AO55" i="373"/>
  <c r="W55" i="373"/>
  <c r="AO50" i="373"/>
  <c r="W50" i="373"/>
  <c r="V72" i="373"/>
  <c r="AO72" i="373"/>
  <c r="N18" i="370"/>
  <c r="AO23" i="373"/>
  <c r="W23" i="373"/>
  <c r="AO19" i="373"/>
  <c r="W19" i="373"/>
  <c r="W63" i="373"/>
  <c r="AO63" i="373"/>
  <c r="U111" i="373"/>
  <c r="S9" i="370" s="1"/>
  <c r="AO59" i="373"/>
  <c r="W59" i="373"/>
  <c r="W27" i="373"/>
  <c r="AO27" i="373"/>
  <c r="V71" i="373"/>
  <c r="AO71" i="373"/>
  <c r="T111" i="373"/>
  <c r="R9" i="370" s="1"/>
  <c r="AK58" i="380"/>
  <c r="Q138" i="380"/>
  <c r="Q153" i="380" s="1"/>
  <c r="T8" i="380"/>
  <c r="R22" i="380"/>
  <c r="R132" i="380"/>
  <c r="T131" i="380"/>
  <c r="T105" i="380"/>
  <c r="R109" i="380"/>
  <c r="A128" i="357"/>
  <c r="A131" i="357" s="1"/>
  <c r="M15" i="355"/>
  <c r="T15" i="355"/>
  <c r="M20" i="357"/>
  <c r="O20" i="357"/>
  <c r="T16" i="358"/>
  <c r="U16" i="358"/>
  <c r="T7" i="353"/>
  <c r="T16" i="353" s="1"/>
  <c r="M16" i="353"/>
  <c r="N10" i="12"/>
  <c r="B17" i="12"/>
  <c r="B28" i="97" s="1"/>
  <c r="B29" i="97" s="1"/>
  <c r="I17" i="12"/>
  <c r="I28" i="97" s="1"/>
  <c r="I29" i="97" s="1"/>
  <c r="C28" i="97"/>
  <c r="C29" i="97" s="1"/>
  <c r="A117" i="313"/>
  <c r="A120" i="313" s="1"/>
  <c r="A121" i="313" s="1"/>
  <c r="A122" i="313" s="1"/>
  <c r="A123" i="313" s="1"/>
  <c r="A124" i="313" s="1"/>
  <c r="A125" i="313" s="1"/>
  <c r="A126" i="313" s="1"/>
  <c r="A127" i="313" s="1"/>
  <c r="A128" i="313" s="1"/>
  <c r="A129" i="313" s="1"/>
  <c r="A130" i="313" s="1"/>
  <c r="A131" i="313" s="1"/>
  <c r="A133" i="313" s="1"/>
  <c r="F7" i="68" s="1"/>
  <c r="T69" i="336"/>
  <c r="U48" i="313"/>
  <c r="U69" i="336" s="1"/>
  <c r="M15" i="12"/>
  <c r="T5" i="352"/>
  <c r="M17" i="352"/>
  <c r="T18" i="352" s="1"/>
  <c r="U18" i="352" s="1"/>
  <c r="O5" i="352"/>
  <c r="O17" i="352" s="1"/>
  <c r="M10" i="12" s="1"/>
  <c r="T5" i="351"/>
  <c r="M115" i="351"/>
  <c r="O5" i="351"/>
  <c r="O29" i="350"/>
  <c r="T29" i="350"/>
  <c r="H28" i="97"/>
  <c r="H29" i="97" s="1"/>
  <c r="I18" i="12"/>
  <c r="V35" i="313"/>
  <c r="V28" i="336" s="1"/>
  <c r="M117" i="313"/>
  <c r="U36" i="337"/>
  <c r="D8" i="12"/>
  <c r="D17" i="12" s="1"/>
  <c r="P133" i="313"/>
  <c r="L135" i="313"/>
  <c r="L17" i="355"/>
  <c r="U5" i="356"/>
  <c r="T19" i="356"/>
  <c r="N14" i="12"/>
  <c r="N15" i="12"/>
  <c r="P22" i="357"/>
  <c r="T5" i="357"/>
  <c r="U5" i="357" s="1"/>
  <c r="V5" i="357" s="1"/>
  <c r="U9" i="357"/>
  <c r="U8" i="355"/>
  <c r="V8" i="355" s="1"/>
  <c r="R13" i="12"/>
  <c r="O13" i="359"/>
  <c r="M16" i="12" s="1"/>
  <c r="T13" i="359"/>
  <c r="L116" i="351"/>
  <c r="P116" i="351" s="1"/>
  <c r="P117" i="351" s="1"/>
  <c r="W5" i="354"/>
  <c r="W8" i="354" s="1"/>
  <c r="O69" i="336"/>
  <c r="V6" i="358"/>
  <c r="V16" i="358" s="1"/>
  <c r="U5" i="359"/>
  <c r="P17" i="355"/>
  <c r="O15" i="355"/>
  <c r="O112" i="351"/>
  <c r="T112" i="351"/>
  <c r="N9" i="12"/>
  <c r="Q19" i="12"/>
  <c r="U6" i="351"/>
  <c r="W6" i="351" s="1"/>
  <c r="V61" i="350"/>
  <c r="U18" i="356"/>
  <c r="W13" i="356"/>
  <c r="L123" i="337"/>
  <c r="P106" i="337"/>
  <c r="P66" i="350"/>
  <c r="L67" i="350"/>
  <c r="V10" i="350"/>
  <c r="P130" i="336"/>
  <c r="K12" i="12"/>
  <c r="D9" i="354"/>
  <c r="T9" i="354"/>
  <c r="F5" i="381"/>
  <c r="S12" i="12"/>
  <c r="E29" i="39"/>
  <c r="G9" i="41" s="1"/>
  <c r="T39" i="337"/>
  <c r="U38" i="313"/>
  <c r="U39" i="337" s="1"/>
  <c r="P122" i="337"/>
  <c r="P61" i="336"/>
  <c r="P112" i="336"/>
  <c r="S129" i="336"/>
  <c r="M132" i="313"/>
  <c r="P94" i="336"/>
  <c r="T105" i="336"/>
  <c r="T42" i="337"/>
  <c r="U41" i="313"/>
  <c r="T82" i="336"/>
  <c r="T94" i="337"/>
  <c r="U91" i="313"/>
  <c r="T34" i="336"/>
  <c r="T55" i="337"/>
  <c r="U53" i="313"/>
  <c r="T75" i="336"/>
  <c r="T73" i="337"/>
  <c r="U70" i="313"/>
  <c r="T110" i="336"/>
  <c r="T97" i="337"/>
  <c r="U94" i="313"/>
  <c r="T108" i="336"/>
  <c r="T68" i="337"/>
  <c r="U66" i="313"/>
  <c r="T57" i="336"/>
  <c r="T111" i="337"/>
  <c r="U122" i="313"/>
  <c r="T36" i="336"/>
  <c r="T57" i="337"/>
  <c r="U55" i="313"/>
  <c r="M77" i="336"/>
  <c r="M81" i="337"/>
  <c r="O78" i="313"/>
  <c r="T85" i="336"/>
  <c r="T112" i="337"/>
  <c r="U123" i="313"/>
  <c r="T20" i="336"/>
  <c r="T18" i="337"/>
  <c r="M96" i="336"/>
  <c r="M27" i="337"/>
  <c r="O27" i="313"/>
  <c r="M51" i="336"/>
  <c r="M92" i="337"/>
  <c r="O88" i="313"/>
  <c r="M90" i="336"/>
  <c r="M118" i="337"/>
  <c r="O129" i="313"/>
  <c r="M67" i="336"/>
  <c r="M43" i="337"/>
  <c r="O42" i="313"/>
  <c r="T37" i="336"/>
  <c r="T60" i="337"/>
  <c r="U58" i="313"/>
  <c r="O124" i="336"/>
  <c r="O125" i="336" s="1"/>
  <c r="O89" i="337"/>
  <c r="O47" i="336"/>
  <c r="O109" i="337"/>
  <c r="T26" i="336"/>
  <c r="T33" i="337"/>
  <c r="U32" i="313"/>
  <c r="M83" i="336"/>
  <c r="M95" i="337"/>
  <c r="O92" i="313"/>
  <c r="V118" i="336"/>
  <c r="V123" i="336" s="1"/>
  <c r="V47" i="337"/>
  <c r="V107" i="336"/>
  <c r="V46" i="337"/>
  <c r="O89" i="336"/>
  <c r="O116" i="337"/>
  <c r="U103" i="336"/>
  <c r="V29" i="313"/>
  <c r="U29" i="337"/>
  <c r="O97" i="336"/>
  <c r="O40" i="337"/>
  <c r="O9" i="336"/>
  <c r="O105" i="337"/>
  <c r="T21" i="336"/>
  <c r="T19" i="337"/>
  <c r="U19" i="313"/>
  <c r="T33" i="336"/>
  <c r="T54" i="337"/>
  <c r="U52" i="313"/>
  <c r="T114" i="336"/>
  <c r="T52" i="337"/>
  <c r="U50" i="313"/>
  <c r="T69" i="337"/>
  <c r="U67" i="313"/>
  <c r="U9" i="336"/>
  <c r="U105" i="337"/>
  <c r="V110" i="313"/>
  <c r="U6" i="336"/>
  <c r="U22" i="337"/>
  <c r="V22" i="313"/>
  <c r="T5" i="336"/>
  <c r="T10" i="336" s="1"/>
  <c r="T21" i="337"/>
  <c r="U21" i="313"/>
  <c r="O17" i="337"/>
  <c r="O19" i="336"/>
  <c r="T111" i="336"/>
  <c r="T98" i="337"/>
  <c r="U95" i="313"/>
  <c r="L129" i="336"/>
  <c r="M16" i="336"/>
  <c r="M11" i="337"/>
  <c r="O11" i="313"/>
  <c r="U50" i="336"/>
  <c r="U91" i="337"/>
  <c r="V87" i="313"/>
  <c r="U52" i="336"/>
  <c r="U23" i="337"/>
  <c r="V23" i="313"/>
  <c r="O95" i="336"/>
  <c r="O26" i="337"/>
  <c r="O32" i="336"/>
  <c r="O48" i="337"/>
  <c r="T121" i="336"/>
  <c r="T100" i="337"/>
  <c r="U97" i="313"/>
  <c r="T62" i="336"/>
  <c r="T63" i="336" s="1"/>
  <c r="T7" i="337"/>
  <c r="U7" i="313"/>
  <c r="O21" i="336"/>
  <c r="O19" i="337"/>
  <c r="T42" i="336"/>
  <c r="T77" i="337"/>
  <c r="U73" i="313"/>
  <c r="U47" i="336"/>
  <c r="U109" i="337"/>
  <c r="V120" i="313"/>
  <c r="V53" i="336"/>
  <c r="V59" i="337"/>
  <c r="T16" i="336"/>
  <c r="T11" i="337"/>
  <c r="U11" i="313"/>
  <c r="O12" i="336"/>
  <c r="O6" i="337"/>
  <c r="M75" i="336"/>
  <c r="M73" i="337"/>
  <c r="O70" i="313"/>
  <c r="T83" i="336"/>
  <c r="T95" i="337"/>
  <c r="U92" i="313"/>
  <c r="U13" i="336"/>
  <c r="U8" i="337"/>
  <c r="V8" i="313"/>
  <c r="U74" i="336"/>
  <c r="U71" i="337"/>
  <c r="V68" i="313"/>
  <c r="M23" i="336"/>
  <c r="M24" i="337"/>
  <c r="O24" i="313"/>
  <c r="V7" i="336"/>
  <c r="V58" i="337"/>
  <c r="O71" i="336"/>
  <c r="O64" i="337"/>
  <c r="M91" i="336"/>
  <c r="M120" i="337"/>
  <c r="O131" i="313"/>
  <c r="T24" i="336"/>
  <c r="T28" i="337"/>
  <c r="U28" i="313"/>
  <c r="O41" i="337"/>
  <c r="O31" i="336"/>
  <c r="U89" i="336"/>
  <c r="U116" i="337"/>
  <c r="V127" i="313"/>
  <c r="U49" i="336"/>
  <c r="U119" i="337"/>
  <c r="V130" i="313"/>
  <c r="O104" i="336"/>
  <c r="O30" i="337"/>
  <c r="M121" i="336"/>
  <c r="M100" i="337"/>
  <c r="O97" i="313"/>
  <c r="T76" i="336"/>
  <c r="T75" i="337"/>
  <c r="U71" i="313"/>
  <c r="U104" i="336"/>
  <c r="U30" i="337"/>
  <c r="V30" i="313"/>
  <c r="M62" i="336"/>
  <c r="M63" i="336" s="1"/>
  <c r="M7" i="337"/>
  <c r="O7" i="313"/>
  <c r="U12" i="336"/>
  <c r="U6" i="337"/>
  <c r="V6" i="313"/>
  <c r="U30" i="336"/>
  <c r="U38" i="337"/>
  <c r="V37" i="313"/>
  <c r="U64" i="336"/>
  <c r="U32" i="337"/>
  <c r="V31" i="313"/>
  <c r="U84" i="336"/>
  <c r="U96" i="337"/>
  <c r="V93" i="313"/>
  <c r="M42" i="336"/>
  <c r="M77" i="337"/>
  <c r="O73" i="313"/>
  <c r="T65" i="336"/>
  <c r="T34" i="337"/>
  <c r="U33" i="313"/>
  <c r="U60" i="336"/>
  <c r="U102" i="337"/>
  <c r="V99" i="313"/>
  <c r="U31" i="336"/>
  <c r="U41" i="337"/>
  <c r="V40" i="313"/>
  <c r="T90" i="336"/>
  <c r="T118" i="337"/>
  <c r="U129" i="313"/>
  <c r="T72" i="336"/>
  <c r="T67" i="337"/>
  <c r="U65" i="313"/>
  <c r="O72" i="336"/>
  <c r="O67" i="337"/>
  <c r="O109" i="336"/>
  <c r="O83" i="337"/>
  <c r="V78" i="336"/>
  <c r="V82" i="337"/>
  <c r="T19" i="336"/>
  <c r="T17" i="337"/>
  <c r="U16" i="313"/>
  <c r="T131" i="313"/>
  <c r="T132" i="313" s="1"/>
  <c r="O106" i="336"/>
  <c r="O45" i="337"/>
  <c r="M24" i="336"/>
  <c r="M28" i="337"/>
  <c r="O28" i="313"/>
  <c r="M103" i="337"/>
  <c r="O100" i="313"/>
  <c r="O103" i="337" s="1"/>
  <c r="U120" i="336"/>
  <c r="U87" i="337"/>
  <c r="V83" i="313"/>
  <c r="O86" i="336"/>
  <c r="O113" i="337"/>
  <c r="O41" i="336"/>
  <c r="O76" i="337"/>
  <c r="O59" i="336"/>
  <c r="O62" i="337"/>
  <c r="M102" i="336"/>
  <c r="M25" i="337"/>
  <c r="O25" i="313"/>
  <c r="O74" i="336"/>
  <c r="O71" i="337"/>
  <c r="O15" i="336"/>
  <c r="O10" i="337"/>
  <c r="O88" i="336"/>
  <c r="O115" i="337"/>
  <c r="O18" i="336"/>
  <c r="O14" i="337"/>
  <c r="M99" i="336"/>
  <c r="M99" i="337"/>
  <c r="O96" i="313"/>
  <c r="O37" i="336"/>
  <c r="O60" i="337"/>
  <c r="M65" i="336"/>
  <c r="M34" i="337"/>
  <c r="O33" i="313"/>
  <c r="U14" i="336"/>
  <c r="U9" i="337"/>
  <c r="V9" i="313"/>
  <c r="U86" i="336"/>
  <c r="U113" i="337"/>
  <c r="V124" i="313"/>
  <c r="F129" i="336"/>
  <c r="T67" i="336"/>
  <c r="T43" i="337"/>
  <c r="U42" i="313"/>
  <c r="T23" i="336"/>
  <c r="T24" i="337"/>
  <c r="U24" i="313"/>
  <c r="O14" i="336"/>
  <c r="O9" i="337"/>
  <c r="O60" i="336"/>
  <c r="O102" i="337"/>
  <c r="O22" i="336"/>
  <c r="O20" i="337"/>
  <c r="O76" i="336"/>
  <c r="O75" i="337"/>
  <c r="T18" i="336"/>
  <c r="T14" i="337"/>
  <c r="U13" i="313"/>
  <c r="M58" i="336"/>
  <c r="M16" i="337"/>
  <c r="O15" i="313"/>
  <c r="O98" i="336"/>
  <c r="O51" i="337"/>
  <c r="O79" i="336"/>
  <c r="O84" i="337"/>
  <c r="V68" i="336"/>
  <c r="V44" i="337"/>
  <c r="T103" i="337"/>
  <c r="U100" i="313"/>
  <c r="U35" i="336"/>
  <c r="U56" i="337"/>
  <c r="V54" i="313"/>
  <c r="M36" i="336"/>
  <c r="M57" i="337"/>
  <c r="O55" i="313"/>
  <c r="T78" i="313"/>
  <c r="O35" i="336"/>
  <c r="O56" i="337"/>
  <c r="U97" i="336"/>
  <c r="U40" i="337"/>
  <c r="V39" i="313"/>
  <c r="T122" i="336"/>
  <c r="T104" i="337"/>
  <c r="U101" i="313"/>
  <c r="T102" i="336"/>
  <c r="T25" i="337"/>
  <c r="U25" i="313"/>
  <c r="V43" i="336"/>
  <c r="V78" i="337"/>
  <c r="U88" i="336"/>
  <c r="U115" i="337"/>
  <c r="V126" i="313"/>
  <c r="M20" i="336"/>
  <c r="M18" i="337"/>
  <c r="O64" i="336"/>
  <c r="O32" i="337"/>
  <c r="T87" i="336"/>
  <c r="T114" i="337"/>
  <c r="U125" i="313"/>
  <c r="R5" i="44"/>
  <c r="M56" i="336"/>
  <c r="M110" i="337"/>
  <c r="O121" i="313"/>
  <c r="M34" i="336"/>
  <c r="M55" i="337"/>
  <c r="O53" i="313"/>
  <c r="O50" i="336"/>
  <c r="O91" i="337"/>
  <c r="T99" i="336"/>
  <c r="T99" i="337"/>
  <c r="U96" i="313"/>
  <c r="V17" i="336"/>
  <c r="V13" i="337"/>
  <c r="T58" i="336"/>
  <c r="T16" i="337"/>
  <c r="U15" i="313"/>
  <c r="U98" i="336"/>
  <c r="U51" i="337"/>
  <c r="V49" i="313"/>
  <c r="O8" i="336"/>
  <c r="O72" i="337"/>
  <c r="T38" i="336"/>
  <c r="T61" i="337"/>
  <c r="U59" i="313"/>
  <c r="M27" i="336"/>
  <c r="M35" i="337"/>
  <c r="O34" i="313"/>
  <c r="M54" i="336"/>
  <c r="M65" i="337"/>
  <c r="O63" i="313"/>
  <c r="U48" i="336"/>
  <c r="U117" i="337"/>
  <c r="V128" i="313"/>
  <c r="U15" i="336"/>
  <c r="V10" i="313"/>
  <c r="U10" i="337"/>
  <c r="T56" i="336"/>
  <c r="T110" i="337"/>
  <c r="U121" i="313"/>
  <c r="M44" i="336"/>
  <c r="M79" i="337"/>
  <c r="O76" i="313"/>
  <c r="T70" i="336"/>
  <c r="T63" i="337"/>
  <c r="U61" i="313"/>
  <c r="U95" i="336"/>
  <c r="U26" i="337"/>
  <c r="W117" i="313"/>
  <c r="M108" i="336"/>
  <c r="M68" i="337"/>
  <c r="O66" i="313"/>
  <c r="U41" i="336"/>
  <c r="U76" i="337"/>
  <c r="V72" i="313"/>
  <c r="U22" i="336"/>
  <c r="U20" i="337"/>
  <c r="V20" i="313"/>
  <c r="U32" i="336"/>
  <c r="V47" i="313"/>
  <c r="U48" i="337"/>
  <c r="O48" i="336"/>
  <c r="O117" i="337"/>
  <c r="T46" i="336"/>
  <c r="T93" i="337"/>
  <c r="U89" i="313"/>
  <c r="T116" i="336"/>
  <c r="T117" i="336" s="1"/>
  <c r="T53" i="337"/>
  <c r="U51" i="313"/>
  <c r="O11" i="336"/>
  <c r="O5" i="337"/>
  <c r="M55" i="336"/>
  <c r="M90" i="337"/>
  <c r="O86" i="313"/>
  <c r="V80" i="336"/>
  <c r="V85" i="337"/>
  <c r="O57" i="336"/>
  <c r="O111" i="337"/>
  <c r="U124" i="336"/>
  <c r="U125" i="336" s="1"/>
  <c r="U89" i="337"/>
  <c r="V85" i="313"/>
  <c r="U59" i="336"/>
  <c r="U62" i="337"/>
  <c r="V60" i="313"/>
  <c r="U109" i="336"/>
  <c r="U83" i="337"/>
  <c r="V80" i="313"/>
  <c r="M85" i="336"/>
  <c r="M112" i="337"/>
  <c r="O123" i="313"/>
  <c r="U72" i="337"/>
  <c r="U8" i="336"/>
  <c r="V69" i="313"/>
  <c r="O29" i="337"/>
  <c r="O103" i="336"/>
  <c r="O6" i="336"/>
  <c r="O22" i="337"/>
  <c r="M38" i="336"/>
  <c r="M61" i="337"/>
  <c r="O59" i="313"/>
  <c r="T34" i="313"/>
  <c r="T63" i="313"/>
  <c r="O84" i="336"/>
  <c r="O96" i="337"/>
  <c r="T76" i="313"/>
  <c r="M70" i="336"/>
  <c r="M63" i="337"/>
  <c r="O61" i="313"/>
  <c r="T101" i="336"/>
  <c r="T15" i="337"/>
  <c r="U14" i="313"/>
  <c r="O49" i="336"/>
  <c r="O119" i="337"/>
  <c r="U81" i="336"/>
  <c r="U88" i="337"/>
  <c r="V84" i="313"/>
  <c r="U11" i="336"/>
  <c r="U5" i="337"/>
  <c r="V5" i="313"/>
  <c r="U79" i="336"/>
  <c r="U84" i="337"/>
  <c r="V81" i="313"/>
  <c r="T106" i="336"/>
  <c r="T45" i="337"/>
  <c r="U44" i="313"/>
  <c r="U66" i="336"/>
  <c r="O120" i="336"/>
  <c r="O87" i="337"/>
  <c r="M105" i="336"/>
  <c r="M42" i="337"/>
  <c r="O41" i="313"/>
  <c r="V100" i="336"/>
  <c r="V101" i="337"/>
  <c r="M110" i="336"/>
  <c r="M97" i="337"/>
  <c r="O94" i="313"/>
  <c r="O46" i="336"/>
  <c r="O93" i="337"/>
  <c r="T88" i="313"/>
  <c r="T71" i="336"/>
  <c r="T64" i="337"/>
  <c r="U62" i="313"/>
  <c r="U50" i="337"/>
  <c r="V48" i="313"/>
  <c r="M116" i="336"/>
  <c r="M117" i="336" s="1"/>
  <c r="M53" i="337"/>
  <c r="O51" i="313"/>
  <c r="M26" i="336"/>
  <c r="M33" i="337"/>
  <c r="O32" i="313"/>
  <c r="T55" i="336"/>
  <c r="T90" i="337"/>
  <c r="U86" i="313"/>
  <c r="V39" i="336"/>
  <c r="V66" i="337"/>
  <c r="V29" i="336"/>
  <c r="V37" i="337"/>
  <c r="M82" i="336"/>
  <c r="M94" i="337"/>
  <c r="O91" i="313"/>
  <c r="M33" i="336"/>
  <c r="M54" i="337"/>
  <c r="O52" i="313"/>
  <c r="M69" i="337"/>
  <c r="O67" i="313"/>
  <c r="O69" i="337" s="1"/>
  <c r="V45" i="336"/>
  <c r="V80" i="337"/>
  <c r="M5" i="336"/>
  <c r="M10" i="336" s="1"/>
  <c r="M21" i="337"/>
  <c r="O21" i="313"/>
  <c r="O52" i="336"/>
  <c r="O23" i="337"/>
  <c r="O87" i="336"/>
  <c r="O114" i="337"/>
  <c r="M111" i="336"/>
  <c r="M98" i="337"/>
  <c r="O95" i="313"/>
  <c r="M101" i="336"/>
  <c r="M15" i="337"/>
  <c r="O14" i="313"/>
  <c r="O122" i="336"/>
  <c r="O104" i="337"/>
  <c r="U13" i="353"/>
  <c r="J11" i="12"/>
  <c r="J17" i="12" s="1"/>
  <c r="L18" i="353"/>
  <c r="O7" i="353"/>
  <c r="AO16" i="379" l="1"/>
  <c r="V31" i="379"/>
  <c r="T15" i="370" s="1"/>
  <c r="U12" i="12"/>
  <c r="E13" i="381"/>
  <c r="U123" i="372"/>
  <c r="AO110" i="372"/>
  <c r="AO123" i="372" s="1"/>
  <c r="V110" i="372"/>
  <c r="V123" i="372" s="1"/>
  <c r="AO18" i="377"/>
  <c r="AL13" i="370" s="1"/>
  <c r="AO18" i="378"/>
  <c r="AL14" i="370" s="1"/>
  <c r="U31" i="379"/>
  <c r="S15" i="370" s="1"/>
  <c r="U16" i="375"/>
  <c r="S11" i="370" s="1"/>
  <c r="W6" i="375"/>
  <c r="W16" i="375" s="1"/>
  <c r="U11" i="370" s="1"/>
  <c r="AO6" i="375"/>
  <c r="AO16" i="375" s="1"/>
  <c r="AL11" i="370" s="1"/>
  <c r="U19" i="375"/>
  <c r="U20" i="375" s="1"/>
  <c r="V6" i="371"/>
  <c r="V74" i="371" s="1"/>
  <c r="T7" i="370" s="1"/>
  <c r="U74" i="371"/>
  <c r="S7" i="370" s="1"/>
  <c r="AO6" i="371"/>
  <c r="AO74" i="371" s="1"/>
  <c r="AL7" i="370" s="1"/>
  <c r="U107" i="372"/>
  <c r="V6" i="372"/>
  <c r="V107" i="372" s="1"/>
  <c r="AO6" i="372"/>
  <c r="AO107" i="372" s="1"/>
  <c r="O65" i="350"/>
  <c r="M7" i="12" s="1"/>
  <c r="T17" i="345"/>
  <c r="U5" i="345"/>
  <c r="U6" i="376"/>
  <c r="T8" i="376"/>
  <c r="R12" i="370" s="1"/>
  <c r="R16" i="370" s="1"/>
  <c r="AO29" i="379"/>
  <c r="AO31" i="379" s="1"/>
  <c r="AL15" i="370" s="1"/>
  <c r="AO111" i="373"/>
  <c r="AL9" i="370" s="1"/>
  <c r="K16" i="370"/>
  <c r="B18" i="370" s="1"/>
  <c r="A130" i="356"/>
  <c r="A133" i="356" s="1"/>
  <c r="F9" i="78"/>
  <c r="Z14" i="12"/>
  <c r="W18" i="377"/>
  <c r="U13" i="370" s="1"/>
  <c r="V18" i="378"/>
  <c r="T14" i="370" s="1"/>
  <c r="V5" i="343"/>
  <c r="V7" i="343" s="1"/>
  <c r="U7" i="343"/>
  <c r="U5" i="350"/>
  <c r="T65" i="350"/>
  <c r="F7" i="72"/>
  <c r="Z10" i="12"/>
  <c r="R17" i="370"/>
  <c r="V111" i="373"/>
  <c r="T9" i="370" s="1"/>
  <c r="W111" i="373"/>
  <c r="U9" i="370" s="1"/>
  <c r="U16" i="370" s="1"/>
  <c r="U22" i="370" s="1"/>
  <c r="U105" i="380"/>
  <c r="U109" i="380" s="1"/>
  <c r="T109" i="380"/>
  <c r="AK105" i="380"/>
  <c r="AK109" i="380" s="1"/>
  <c r="T132" i="380"/>
  <c r="AK131" i="380"/>
  <c r="AK132" i="380" s="1"/>
  <c r="AK138" i="380" s="1"/>
  <c r="U131" i="380"/>
  <c r="U132" i="380" s="1"/>
  <c r="R138" i="380"/>
  <c r="R153" i="380" s="1"/>
  <c r="T22" i="380"/>
  <c r="T24" i="380" s="1"/>
  <c r="U8" i="380"/>
  <c r="U22" i="380" s="1"/>
  <c r="AK8" i="380"/>
  <c r="AK22" i="380" s="1"/>
  <c r="U7" i="353"/>
  <c r="U16" i="353" s="1"/>
  <c r="U20" i="357"/>
  <c r="U15" i="355"/>
  <c r="T20" i="357"/>
  <c r="O16" i="353"/>
  <c r="M11" i="12" s="1"/>
  <c r="Z8" i="12"/>
  <c r="V38" i="313"/>
  <c r="V39" i="337" s="1"/>
  <c r="V36" i="337"/>
  <c r="A132" i="313"/>
  <c r="O117" i="313"/>
  <c r="T117" i="313"/>
  <c r="F13" i="42"/>
  <c r="O115" i="351"/>
  <c r="D116" i="351" s="1"/>
  <c r="D117" i="351" s="1"/>
  <c r="K10" i="12"/>
  <c r="D18" i="352"/>
  <c r="D19" i="352" s="1"/>
  <c r="T17" i="352"/>
  <c r="U5" i="352"/>
  <c r="T115" i="351"/>
  <c r="U5" i="351"/>
  <c r="U29" i="350"/>
  <c r="R7" i="12"/>
  <c r="D28" i="97"/>
  <c r="D29" i="97" s="1"/>
  <c r="B18" i="12"/>
  <c r="P135" i="313"/>
  <c r="N8" i="12"/>
  <c r="M133" i="313"/>
  <c r="K8" i="12" s="1"/>
  <c r="L117" i="351"/>
  <c r="W5" i="356"/>
  <c r="W19" i="356" s="1"/>
  <c r="U14" i="12" s="1"/>
  <c r="U19" i="356"/>
  <c r="V9" i="357"/>
  <c r="R15" i="12"/>
  <c r="D21" i="357"/>
  <c r="D22" i="357" s="1"/>
  <c r="K15" i="12"/>
  <c r="T21" i="357"/>
  <c r="U21" i="357" s="1"/>
  <c r="U13" i="359"/>
  <c r="K16" i="12"/>
  <c r="T14" i="359"/>
  <c r="D14" i="359"/>
  <c r="D15" i="359" s="1"/>
  <c r="V5" i="359"/>
  <c r="V15" i="355"/>
  <c r="K13" i="12"/>
  <c r="T16" i="355"/>
  <c r="P123" i="337"/>
  <c r="I19" i="12"/>
  <c r="J18" i="12"/>
  <c r="E31" i="39"/>
  <c r="G13" i="41" s="1"/>
  <c r="K9" i="12"/>
  <c r="U112" i="351"/>
  <c r="T116" i="351"/>
  <c r="U116" i="351" s="1"/>
  <c r="K7" i="12"/>
  <c r="D66" i="350"/>
  <c r="D67" i="350" s="1"/>
  <c r="V18" i="356"/>
  <c r="V19" i="356" s="1"/>
  <c r="K14" i="12"/>
  <c r="D20" i="356"/>
  <c r="D21" i="356" s="1"/>
  <c r="T20" i="356"/>
  <c r="U20" i="356" s="1"/>
  <c r="R14" i="12"/>
  <c r="T66" i="350"/>
  <c r="U66" i="350" s="1"/>
  <c r="P67" i="350"/>
  <c r="U9" i="354"/>
  <c r="M94" i="336"/>
  <c r="P129" i="336"/>
  <c r="T106" i="337"/>
  <c r="M106" i="337"/>
  <c r="J28" i="97"/>
  <c r="J29" i="97" s="1"/>
  <c r="T94" i="336"/>
  <c r="M61" i="336"/>
  <c r="M122" i="337"/>
  <c r="T61" i="336"/>
  <c r="M112" i="336"/>
  <c r="O58" i="336"/>
  <c r="O16" i="337"/>
  <c r="V6" i="336"/>
  <c r="V22" i="337"/>
  <c r="U71" i="336"/>
  <c r="U64" i="337"/>
  <c r="V62" i="313"/>
  <c r="U111" i="336"/>
  <c r="U98" i="337"/>
  <c r="V95" i="313"/>
  <c r="U114" i="336"/>
  <c r="U52" i="337"/>
  <c r="V50" i="313"/>
  <c r="O96" i="336"/>
  <c r="O27" i="337"/>
  <c r="U57" i="336"/>
  <c r="U111" i="337"/>
  <c r="V122" i="313"/>
  <c r="O111" i="336"/>
  <c r="O98" i="337"/>
  <c r="U55" i="336"/>
  <c r="U90" i="337"/>
  <c r="V86" i="313"/>
  <c r="T96" i="336"/>
  <c r="T112" i="336" s="1"/>
  <c r="T27" i="337"/>
  <c r="U27" i="313"/>
  <c r="O85" i="336"/>
  <c r="O112" i="337"/>
  <c r="O55" i="336"/>
  <c r="O90" i="337"/>
  <c r="U116" i="336"/>
  <c r="U117" i="336" s="1"/>
  <c r="E18" i="61" s="1"/>
  <c r="U53" i="337"/>
  <c r="V51" i="313"/>
  <c r="U87" i="336"/>
  <c r="U114" i="337"/>
  <c r="V125" i="313"/>
  <c r="V88" i="336"/>
  <c r="V115" i="337"/>
  <c r="U122" i="336"/>
  <c r="U104" i="337"/>
  <c r="V101" i="313"/>
  <c r="T77" i="336"/>
  <c r="T81" i="337"/>
  <c r="U78" i="313"/>
  <c r="U67" i="336"/>
  <c r="U43" i="337"/>
  <c r="V42" i="313"/>
  <c r="O99" i="336"/>
  <c r="O99" i="337"/>
  <c r="T91" i="336"/>
  <c r="T120" i="337"/>
  <c r="T122" i="337" s="1"/>
  <c r="U131" i="313"/>
  <c r="V84" i="336"/>
  <c r="V96" i="337"/>
  <c r="O23" i="336"/>
  <c r="O24" i="337"/>
  <c r="V47" i="336"/>
  <c r="V109" i="337"/>
  <c r="U62" i="336"/>
  <c r="U63" i="336" s="1"/>
  <c r="E11" i="61" s="1"/>
  <c r="U7" i="337"/>
  <c r="V7" i="313"/>
  <c r="V50" i="336"/>
  <c r="V91" i="337"/>
  <c r="O83" i="336"/>
  <c r="O95" i="337"/>
  <c r="O77" i="336"/>
  <c r="O81" i="337"/>
  <c r="U110" i="336"/>
  <c r="U97" i="337"/>
  <c r="V94" i="313"/>
  <c r="V66" i="336"/>
  <c r="V14" i="336"/>
  <c r="V9" i="337"/>
  <c r="V104" i="336"/>
  <c r="V30" i="337"/>
  <c r="O82" i="336"/>
  <c r="O94" i="337"/>
  <c r="V11" i="336"/>
  <c r="V5" i="337"/>
  <c r="V32" i="336"/>
  <c r="V48" i="337"/>
  <c r="V15" i="336"/>
  <c r="V10" i="337"/>
  <c r="O27" i="336"/>
  <c r="O35" i="337"/>
  <c r="V98" i="336"/>
  <c r="V51" i="337"/>
  <c r="U99" i="336"/>
  <c r="U99" i="337"/>
  <c r="V96" i="313"/>
  <c r="O36" i="336"/>
  <c r="O57" i="337"/>
  <c r="O24" i="336"/>
  <c r="O28" i="337"/>
  <c r="U90" i="336"/>
  <c r="U118" i="337"/>
  <c r="V129" i="313"/>
  <c r="V12" i="336"/>
  <c r="V6" i="337"/>
  <c r="U83" i="336"/>
  <c r="U95" i="337"/>
  <c r="V92" i="313"/>
  <c r="O90" i="336"/>
  <c r="O118" i="337"/>
  <c r="U82" i="336"/>
  <c r="U94" i="337"/>
  <c r="V91" i="313"/>
  <c r="O116" i="336"/>
  <c r="O117" i="336" s="1"/>
  <c r="O53" i="337"/>
  <c r="U70" i="336"/>
  <c r="U63" i="337"/>
  <c r="V61" i="313"/>
  <c r="U101" i="336"/>
  <c r="U15" i="337"/>
  <c r="V14" i="313"/>
  <c r="V124" i="336"/>
  <c r="V125" i="336" s="1"/>
  <c r="V89" i="337"/>
  <c r="O108" i="336"/>
  <c r="O68" i="337"/>
  <c r="V69" i="336"/>
  <c r="V50" i="337"/>
  <c r="T51" i="336"/>
  <c r="T92" i="337"/>
  <c r="U88" i="313"/>
  <c r="O105" i="336"/>
  <c r="O42" i="337"/>
  <c r="U106" i="336"/>
  <c r="U45" i="337"/>
  <c r="V44" i="313"/>
  <c r="O44" i="336"/>
  <c r="O79" i="337"/>
  <c r="U18" i="336"/>
  <c r="U14" i="337"/>
  <c r="V13" i="313"/>
  <c r="O65" i="336"/>
  <c r="O34" i="337"/>
  <c r="U19" i="336"/>
  <c r="U17" i="337"/>
  <c r="V16" i="313"/>
  <c r="U65" i="336"/>
  <c r="U34" i="337"/>
  <c r="V33" i="313"/>
  <c r="U76" i="336"/>
  <c r="U75" i="337"/>
  <c r="V71" i="313"/>
  <c r="V49" i="336"/>
  <c r="V119" i="337"/>
  <c r="U16" i="336"/>
  <c r="U11" i="337"/>
  <c r="V11" i="313"/>
  <c r="V9" i="336"/>
  <c r="V105" i="337"/>
  <c r="U33" i="336"/>
  <c r="U54" i="337"/>
  <c r="V52" i="313"/>
  <c r="U20" i="336"/>
  <c r="U18" i="337"/>
  <c r="T44" i="336"/>
  <c r="T79" i="337"/>
  <c r="U76" i="313"/>
  <c r="V22" i="336"/>
  <c r="V20" i="337"/>
  <c r="V74" i="336"/>
  <c r="V71" i="337"/>
  <c r="U42" i="336"/>
  <c r="U77" i="337"/>
  <c r="V73" i="313"/>
  <c r="U26" i="336"/>
  <c r="U33" i="337"/>
  <c r="V32" i="313"/>
  <c r="U37" i="336"/>
  <c r="U60" i="337"/>
  <c r="V58" i="313"/>
  <c r="U36" i="336"/>
  <c r="U57" i="337"/>
  <c r="V55" i="313"/>
  <c r="U75" i="336"/>
  <c r="U73" i="337"/>
  <c r="V70" i="313"/>
  <c r="U103" i="337"/>
  <c r="V100" i="313"/>
  <c r="V103" i="337" s="1"/>
  <c r="T54" i="336"/>
  <c r="T65" i="337"/>
  <c r="U63" i="313"/>
  <c r="E17" i="61"/>
  <c r="U46" i="336"/>
  <c r="U93" i="337"/>
  <c r="V89" i="313"/>
  <c r="U24" i="336"/>
  <c r="U28" i="337"/>
  <c r="V28" i="313"/>
  <c r="U121" i="336"/>
  <c r="U100" i="337"/>
  <c r="V97" i="313"/>
  <c r="V81" i="336"/>
  <c r="V88" i="337"/>
  <c r="T27" i="336"/>
  <c r="T35" i="337"/>
  <c r="U34" i="313"/>
  <c r="W95" i="336"/>
  <c r="W112" i="336" s="1"/>
  <c r="W26" i="337"/>
  <c r="W133" i="313"/>
  <c r="U8" i="12" s="1"/>
  <c r="U38" i="336"/>
  <c r="U61" i="337"/>
  <c r="V59" i="313"/>
  <c r="U58" i="336"/>
  <c r="U16" i="337"/>
  <c r="V15" i="313"/>
  <c r="V35" i="336"/>
  <c r="V56" i="337"/>
  <c r="V86" i="336"/>
  <c r="V113" i="337"/>
  <c r="V120" i="336"/>
  <c r="V87" i="337"/>
  <c r="V31" i="336"/>
  <c r="V41" i="337"/>
  <c r="O62" i="336"/>
  <c r="O63" i="336" s="1"/>
  <c r="O7" i="337"/>
  <c r="V52" i="336"/>
  <c r="V23" i="337"/>
  <c r="U5" i="336"/>
  <c r="U10" i="336" s="1"/>
  <c r="E21" i="61" s="1"/>
  <c r="U21" i="337"/>
  <c r="V21" i="313"/>
  <c r="O51" i="336"/>
  <c r="O92" i="337"/>
  <c r="U108" i="336"/>
  <c r="U68" i="337"/>
  <c r="V66" i="313"/>
  <c r="U105" i="336"/>
  <c r="U42" i="337"/>
  <c r="V41" i="313"/>
  <c r="O5" i="336"/>
  <c r="O10" i="336" s="1"/>
  <c r="O21" i="337"/>
  <c r="O34" i="336"/>
  <c r="O55" i="337"/>
  <c r="V60" i="336"/>
  <c r="V102" i="337"/>
  <c r="O56" i="336"/>
  <c r="O110" i="337"/>
  <c r="O102" i="336"/>
  <c r="O25" i="337"/>
  <c r="O16" i="336"/>
  <c r="O11" i="337"/>
  <c r="O101" i="336"/>
  <c r="O15" i="337"/>
  <c r="O26" i="336"/>
  <c r="O33" i="337"/>
  <c r="O70" i="336"/>
  <c r="O63" i="337"/>
  <c r="O110" i="336"/>
  <c r="O97" i="337"/>
  <c r="V79" i="336"/>
  <c r="V84" i="337"/>
  <c r="V8" i="336"/>
  <c r="V72" i="337"/>
  <c r="U56" i="336"/>
  <c r="U110" i="337"/>
  <c r="V121" i="313"/>
  <c r="O20" i="336"/>
  <c r="O18" i="337"/>
  <c r="U102" i="336"/>
  <c r="U25" i="337"/>
  <c r="V25" i="313"/>
  <c r="U23" i="336"/>
  <c r="U24" i="337"/>
  <c r="V24" i="313"/>
  <c r="O42" i="336"/>
  <c r="O77" i="337"/>
  <c r="O121" i="336"/>
  <c r="O100" i="337"/>
  <c r="O75" i="336"/>
  <c r="O73" i="337"/>
  <c r="U69" i="337"/>
  <c r="V67" i="313"/>
  <c r="V69" i="337" s="1"/>
  <c r="U21" i="336"/>
  <c r="U19" i="337"/>
  <c r="V19" i="313"/>
  <c r="V103" i="336"/>
  <c r="V29" i="337"/>
  <c r="U85" i="336"/>
  <c r="U112" i="337"/>
  <c r="V123" i="313"/>
  <c r="V109" i="336"/>
  <c r="V83" i="337"/>
  <c r="V48" i="336"/>
  <c r="V117" i="337"/>
  <c r="V97" i="336"/>
  <c r="V40" i="337"/>
  <c r="V64" i="336"/>
  <c r="V32" i="337"/>
  <c r="O33" i="336"/>
  <c r="O54" i="337"/>
  <c r="O38" i="336"/>
  <c r="O61" i="337"/>
  <c r="V59" i="336"/>
  <c r="V62" i="337"/>
  <c r="V41" i="336"/>
  <c r="V76" i="337"/>
  <c r="O54" i="336"/>
  <c r="O65" i="337"/>
  <c r="U72" i="336"/>
  <c r="U67" i="337"/>
  <c r="V65" i="313"/>
  <c r="V30" i="336"/>
  <c r="V38" i="337"/>
  <c r="V89" i="336"/>
  <c r="V116" i="337"/>
  <c r="O91" i="336"/>
  <c r="O120" i="337"/>
  <c r="V13" i="336"/>
  <c r="V8" i="337"/>
  <c r="O132" i="313"/>
  <c r="O67" i="336"/>
  <c r="O43" i="337"/>
  <c r="U34" i="336"/>
  <c r="U55" i="337"/>
  <c r="V53" i="313"/>
  <c r="V13" i="353"/>
  <c r="V16" i="353" s="1"/>
  <c r="W7" i="353"/>
  <c r="W16" i="353" s="1"/>
  <c r="N11" i="12"/>
  <c r="P18" i="353"/>
  <c r="S17" i="370" l="1"/>
  <c r="K17" i="370"/>
  <c r="AO124" i="372"/>
  <c r="AL8" i="370" s="1"/>
  <c r="AL16" i="370" s="1"/>
  <c r="R18" i="370"/>
  <c r="V5" i="350"/>
  <c r="U65" i="350"/>
  <c r="U124" i="372"/>
  <c r="S8" i="370" s="1"/>
  <c r="AO6" i="376"/>
  <c r="AO8" i="376" s="1"/>
  <c r="AL12" i="370" s="1"/>
  <c r="U8" i="376"/>
  <c r="S12" i="370" s="1"/>
  <c r="V6" i="376"/>
  <c r="V8" i="376" s="1"/>
  <c r="T12" i="370" s="1"/>
  <c r="U138" i="380"/>
  <c r="U17" i="345"/>
  <c r="V5" i="345"/>
  <c r="V17" i="345" s="1"/>
  <c r="V124" i="372"/>
  <c r="T8" i="370" s="1"/>
  <c r="T16" i="370" s="1"/>
  <c r="T138" i="380"/>
  <c r="U154" i="380"/>
  <c r="U163" i="380" s="1"/>
  <c r="T163" i="380" s="1"/>
  <c r="U153" i="380"/>
  <c r="T154" i="380"/>
  <c r="T153" i="380"/>
  <c r="V20" i="357"/>
  <c r="T15" i="12" s="1"/>
  <c r="N17" i="12"/>
  <c r="E16" i="78"/>
  <c r="O133" i="313"/>
  <c r="M8" i="12" s="1"/>
  <c r="M9" i="12"/>
  <c r="U117" i="313"/>
  <c r="E8" i="99" s="1"/>
  <c r="U17" i="352"/>
  <c r="W5" i="352"/>
  <c r="W17" i="352" s="1"/>
  <c r="R10" i="12"/>
  <c r="T19" i="352"/>
  <c r="U115" i="351"/>
  <c r="AA5" i="351"/>
  <c r="V29" i="350"/>
  <c r="U67" i="350"/>
  <c r="T134" i="313"/>
  <c r="U134" i="313" s="1"/>
  <c r="T133" i="313"/>
  <c r="T21" i="356"/>
  <c r="S15" i="12"/>
  <c r="U22" i="357"/>
  <c r="F6" i="158"/>
  <c r="T22" i="357"/>
  <c r="M13" i="12"/>
  <c r="D16" i="355"/>
  <c r="D17" i="355" s="1"/>
  <c r="R16" i="12"/>
  <c r="U14" i="359"/>
  <c r="U16" i="355"/>
  <c r="T17" i="355"/>
  <c r="T117" i="351"/>
  <c r="R9" i="12"/>
  <c r="E15" i="78"/>
  <c r="T14" i="12"/>
  <c r="S14" i="12"/>
  <c r="F7" i="78"/>
  <c r="U21" i="356"/>
  <c r="T67" i="350"/>
  <c r="J19" i="12"/>
  <c r="T123" i="337"/>
  <c r="M129" i="336"/>
  <c r="T130" i="336" s="1"/>
  <c r="N18" i="12"/>
  <c r="M123" i="337"/>
  <c r="O112" i="336"/>
  <c r="O61" i="336"/>
  <c r="O106" i="337"/>
  <c r="U61" i="336"/>
  <c r="E9" i="61" s="1"/>
  <c r="U94" i="336"/>
  <c r="E8" i="61" s="1"/>
  <c r="U106" i="337"/>
  <c r="O94" i="336"/>
  <c r="T129" i="336"/>
  <c r="O122" i="337"/>
  <c r="V72" i="336"/>
  <c r="V67" i="337"/>
  <c r="V102" i="336"/>
  <c r="V25" i="337"/>
  <c r="V42" i="336"/>
  <c r="V77" i="337"/>
  <c r="V19" i="336"/>
  <c r="V17" i="337"/>
  <c r="U51" i="336"/>
  <c r="U92" i="337"/>
  <c r="V88" i="313"/>
  <c r="U96" i="336"/>
  <c r="U112" i="336" s="1"/>
  <c r="U27" i="337"/>
  <c r="V27" i="313"/>
  <c r="V101" i="336"/>
  <c r="V15" i="337"/>
  <c r="V82" i="336"/>
  <c r="V94" i="337"/>
  <c r="V83" i="336"/>
  <c r="V95" i="337"/>
  <c r="V122" i="336"/>
  <c r="V104" i="337"/>
  <c r="V116" i="336"/>
  <c r="V117" i="336" s="1"/>
  <c r="V53" i="337"/>
  <c r="V57" i="336"/>
  <c r="V111" i="337"/>
  <c r="V21" i="336"/>
  <c r="V19" i="337"/>
  <c r="E13" i="68"/>
  <c r="V37" i="336"/>
  <c r="V60" i="337"/>
  <c r="V20" i="336"/>
  <c r="V18" i="337"/>
  <c r="V76" i="336"/>
  <c r="V75" i="337"/>
  <c r="V111" i="336"/>
  <c r="V98" i="337"/>
  <c r="V46" i="336"/>
  <c r="V93" i="337"/>
  <c r="V34" i="336"/>
  <c r="V55" i="337"/>
  <c r="V105" i="336"/>
  <c r="V42" i="337"/>
  <c r="V121" i="336"/>
  <c r="V100" i="337"/>
  <c r="V106" i="336"/>
  <c r="V45" i="337"/>
  <c r="V110" i="336"/>
  <c r="V97" i="337"/>
  <c r="V67" i="336"/>
  <c r="V43" i="337"/>
  <c r="V55" i="336"/>
  <c r="V90" i="337"/>
  <c r="V85" i="336"/>
  <c r="V112" i="337"/>
  <c r="V5" i="336"/>
  <c r="V10" i="336" s="1"/>
  <c r="V21" i="337"/>
  <c r="V58" i="336"/>
  <c r="V16" i="337"/>
  <c r="W129" i="336"/>
  <c r="V75" i="336"/>
  <c r="V73" i="337"/>
  <c r="V16" i="336"/>
  <c r="V11" i="337"/>
  <c r="V70" i="336"/>
  <c r="V63" i="337"/>
  <c r="V62" i="336"/>
  <c r="V63" i="336" s="1"/>
  <c r="V7" i="337"/>
  <c r="V56" i="336"/>
  <c r="V110" i="337"/>
  <c r="V26" i="336"/>
  <c r="V33" i="337"/>
  <c r="V18" i="336"/>
  <c r="V14" i="337"/>
  <c r="V99" i="336"/>
  <c r="V99" i="337"/>
  <c r="V71" i="336"/>
  <c r="V64" i="337"/>
  <c r="V108" i="336"/>
  <c r="V68" i="337"/>
  <c r="U27" i="336"/>
  <c r="U35" i="337"/>
  <c r="V34" i="313"/>
  <c r="V24" i="336"/>
  <c r="V28" i="337"/>
  <c r="U54" i="336"/>
  <c r="U65" i="337"/>
  <c r="V63" i="313"/>
  <c r="V90" i="336"/>
  <c r="V118" i="337"/>
  <c r="U91" i="336"/>
  <c r="U120" i="337"/>
  <c r="U122" i="337" s="1"/>
  <c r="V131" i="313"/>
  <c r="V132" i="313" s="1"/>
  <c r="U132" i="313"/>
  <c r="U77" i="336"/>
  <c r="U81" i="337"/>
  <c r="V78" i="313"/>
  <c r="V87" i="336"/>
  <c r="V114" i="337"/>
  <c r="V23" i="336"/>
  <c r="V24" i="337"/>
  <c r="V65" i="336"/>
  <c r="V34" i="337"/>
  <c r="V38" i="336"/>
  <c r="V61" i="337"/>
  <c r="V36" i="336"/>
  <c r="V57" i="337"/>
  <c r="U44" i="336"/>
  <c r="U79" i="337"/>
  <c r="V76" i="313"/>
  <c r="V33" i="336"/>
  <c r="V54" i="337"/>
  <c r="V114" i="336"/>
  <c r="V52" i="337"/>
  <c r="T11" i="12"/>
  <c r="E12" i="74"/>
  <c r="R11" i="12"/>
  <c r="K11" i="12"/>
  <c r="K17" i="12" s="1"/>
  <c r="T17" i="353"/>
  <c r="U17" i="353" s="1"/>
  <c r="D17" i="353"/>
  <c r="D18" i="353" s="1"/>
  <c r="U11" i="12"/>
  <c r="E13" i="74"/>
  <c r="T22" i="370" l="1"/>
  <c r="T17" i="370"/>
  <c r="T18" i="370" s="1"/>
  <c r="E12" i="67"/>
  <c r="E15" i="67" s="1"/>
  <c r="H12" i="67" s="1"/>
  <c r="S16" i="370"/>
  <c r="V65" i="350"/>
  <c r="M17" i="12"/>
  <c r="E18" i="78"/>
  <c r="F16" i="78" s="1"/>
  <c r="D134" i="313"/>
  <c r="D135" i="313" s="1"/>
  <c r="U133" i="313"/>
  <c r="U135" i="313" s="1"/>
  <c r="H5" i="67"/>
  <c r="S7" i="12"/>
  <c r="V117" i="313"/>
  <c r="V133" i="313" s="1"/>
  <c r="T8" i="12" s="1"/>
  <c r="E12" i="72"/>
  <c r="U10" i="12"/>
  <c r="F5" i="72"/>
  <c r="S10" i="12"/>
  <c r="U19" i="352"/>
  <c r="N6" i="44"/>
  <c r="AA115" i="351"/>
  <c r="T7" i="12"/>
  <c r="T135" i="313"/>
  <c r="R8" i="12"/>
  <c r="R17" i="12" s="1"/>
  <c r="K28" i="97"/>
  <c r="K29" i="97" s="1"/>
  <c r="F15" i="42"/>
  <c r="F16" i="42"/>
  <c r="V13" i="359"/>
  <c r="E11" i="81" s="1"/>
  <c r="E14" i="81" s="1"/>
  <c r="T13" i="12"/>
  <c r="E15" i="77"/>
  <c r="E17" i="77" s="1"/>
  <c r="F16" i="77" s="1"/>
  <c r="S16" i="12"/>
  <c r="F6" i="81"/>
  <c r="U17" i="355"/>
  <c r="F7" i="77"/>
  <c r="S13" i="12"/>
  <c r="F5" i="69"/>
  <c r="S9" i="12"/>
  <c r="U117" i="351"/>
  <c r="O123" i="337"/>
  <c r="V94" i="336"/>
  <c r="V106" i="337"/>
  <c r="V61" i="336"/>
  <c r="U123" i="337"/>
  <c r="O129" i="336"/>
  <c r="N19" i="12"/>
  <c r="N28" i="97"/>
  <c r="N29" i="97" s="1"/>
  <c r="V91" i="336"/>
  <c r="V120" i="337"/>
  <c r="V122" i="337" s="1"/>
  <c r="E10" i="61"/>
  <c r="E22" i="61" s="1"/>
  <c r="U129" i="336"/>
  <c r="V27" i="336"/>
  <c r="V35" i="337"/>
  <c r="V44" i="336"/>
  <c r="V79" i="337"/>
  <c r="V77" i="336"/>
  <c r="V81" i="337"/>
  <c r="V51" i="336"/>
  <c r="V92" i="337"/>
  <c r="V54" i="336"/>
  <c r="V65" i="337"/>
  <c r="E7" i="99"/>
  <c r="V96" i="336"/>
  <c r="V112" i="336" s="1"/>
  <c r="V27" i="337"/>
  <c r="E14" i="74"/>
  <c r="F12" i="74" s="1"/>
  <c r="E14" i="381"/>
  <c r="F12" i="381" s="1"/>
  <c r="S11" i="12"/>
  <c r="F5" i="74"/>
  <c r="U18" i="353"/>
  <c r="T18" i="353"/>
  <c r="H15" i="67" l="1"/>
  <c r="H14" i="67"/>
  <c r="H13" i="67"/>
  <c r="S22" i="370"/>
  <c r="S18" i="370"/>
  <c r="H10" i="61"/>
  <c r="F17" i="78"/>
  <c r="F15" i="78"/>
  <c r="T16" i="12"/>
  <c r="S8" i="12"/>
  <c r="S17" i="12" s="1"/>
  <c r="F8" i="42"/>
  <c r="F17" i="42"/>
  <c r="F11" i="42"/>
  <c r="E14" i="72"/>
  <c r="F13" i="72" s="1"/>
  <c r="E15" i="69"/>
  <c r="Y9" i="12"/>
  <c r="Y17" i="12" s="1"/>
  <c r="N14" i="44"/>
  <c r="F11" i="43" s="1"/>
  <c r="F12" i="43" s="1"/>
  <c r="F13" i="100" s="1"/>
  <c r="F14" i="100" s="1"/>
  <c r="O6" i="44"/>
  <c r="O14" i="44" s="1"/>
  <c r="F10" i="42"/>
  <c r="F14" i="42"/>
  <c r="F12" i="81"/>
  <c r="F13" i="81"/>
  <c r="F11" i="81"/>
  <c r="F15" i="77"/>
  <c r="F17" i="77" s="1"/>
  <c r="R18" i="12"/>
  <c r="V123" i="337"/>
  <c r="V129" i="336"/>
  <c r="E12" i="68"/>
  <c r="E18" i="68" s="1"/>
  <c r="E30" i="39"/>
  <c r="G11" i="41" s="1"/>
  <c r="F5" i="68"/>
  <c r="F13" i="74"/>
  <c r="F14" i="74" s="1"/>
  <c r="F12" i="42"/>
  <c r="F13" i="381"/>
  <c r="F14" i="381" s="1"/>
  <c r="F18" i="78" l="1"/>
  <c r="H18" i="61"/>
  <c r="H16" i="61"/>
  <c r="H13" i="61"/>
  <c r="H11" i="61"/>
  <c r="H12" i="61"/>
  <c r="H14" i="61"/>
  <c r="H21" i="61"/>
  <c r="H19" i="61"/>
  <c r="H20" i="61"/>
  <c r="H8" i="61"/>
  <c r="H17" i="61"/>
  <c r="H9" i="61"/>
  <c r="F12" i="72"/>
  <c r="F14" i="72" s="1"/>
  <c r="Y24" i="12"/>
  <c r="Y24" i="97"/>
  <c r="Y28" i="97"/>
  <c r="Y29" i="97" s="1"/>
  <c r="Q6" i="44"/>
  <c r="F14" i="81"/>
  <c r="M28" i="97"/>
  <c r="M29" i="97" s="1"/>
  <c r="B19" i="12"/>
  <c r="F12" i="68"/>
  <c r="F17" i="68"/>
  <c r="F14" i="68"/>
  <c r="F16" i="68"/>
  <c r="F15" i="68"/>
  <c r="F13" i="68"/>
  <c r="H22" i="61" l="1"/>
  <c r="R6" i="44"/>
  <c r="R14" i="44" s="1"/>
  <c r="Q14" i="44"/>
  <c r="Y25" i="97"/>
  <c r="S24" i="97"/>
  <c r="S25" i="97" s="1"/>
  <c r="S24" i="12"/>
  <c r="Y25" i="12"/>
  <c r="K18" i="12"/>
  <c r="S18" i="12"/>
  <c r="R28" i="97"/>
  <c r="R29" i="97" s="1"/>
  <c r="R19" i="12"/>
  <c r="F18" i="68"/>
  <c r="F9" i="42"/>
  <c r="F18" i="42" s="1"/>
  <c r="J12" i="42" s="1"/>
  <c r="J16" i="42" l="1"/>
  <c r="J17" i="42"/>
  <c r="J14" i="42"/>
  <c r="J13" i="42"/>
  <c r="J10" i="42"/>
  <c r="J15" i="42"/>
  <c r="J9" i="42"/>
  <c r="J8" i="42"/>
  <c r="S25" i="12"/>
  <c r="E27" i="39"/>
  <c r="G7" i="41" s="1"/>
  <c r="S28" i="97"/>
  <c r="S29" i="97" s="1"/>
  <c r="S19" i="12"/>
  <c r="J11" i="42"/>
  <c r="S42" i="12" l="1"/>
  <c r="S49" i="12" s="1"/>
  <c r="S40" i="12"/>
  <c r="J18" i="42"/>
  <c r="A115" i="351" l="1"/>
  <c r="Z13" i="12"/>
  <c r="Z9" i="12" l="1"/>
  <c r="F7" i="69"/>
  <c r="F9" i="77"/>
  <c r="W108" i="351"/>
  <c r="W109" i="351"/>
  <c r="W110" i="351"/>
  <c r="W111" i="351"/>
  <c r="W112" i="351"/>
  <c r="W113" i="351"/>
  <c r="W114" i="351"/>
  <c r="V115" i="351"/>
  <c r="E12" i="69" s="1"/>
  <c r="W115" i="351" l="1"/>
  <c r="E13" i="69" s="1"/>
  <c r="E16" i="69" s="1"/>
  <c r="T9" i="12"/>
  <c r="T17" i="12" s="1"/>
  <c r="F15" i="69" l="1"/>
  <c r="F14" i="69"/>
  <c r="U9" i="12"/>
  <c r="U17" i="12" s="1"/>
  <c r="U28" i="97" s="1"/>
  <c r="U29" i="97" s="1"/>
  <c r="F13" i="69"/>
  <c r="F12" i="69"/>
  <c r="T28" i="97"/>
  <c r="T29" i="97" s="1"/>
  <c r="T25" i="12"/>
  <c r="T18" i="12" l="1"/>
  <c r="T19" i="12" s="1"/>
  <c r="U25" i="12"/>
  <c r="F16" i="69"/>
  <c r="A10" i="350"/>
  <c r="A11" i="350" s="1"/>
  <c r="A12" i="350" l="1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A45" i="350" s="1"/>
  <c r="A46" i="350" s="1"/>
  <c r="A47" i="350" s="1"/>
  <c r="A48" i="350" s="1"/>
  <c r="A49" i="350" s="1"/>
  <c r="A50" i="350" s="1"/>
  <c r="A51" i="350" s="1"/>
  <c r="A52" i="350" s="1"/>
  <c r="A53" i="350" s="1"/>
  <c r="A54" i="350" s="1"/>
  <c r="A55" i="350" s="1"/>
  <c r="A56" i="350" s="1"/>
  <c r="A57" i="350" s="1"/>
  <c r="A58" i="350" s="1"/>
  <c r="A59" i="350" s="1"/>
  <c r="A60" i="350" s="1"/>
  <c r="A61" i="350" s="1"/>
  <c r="A62" i="350" s="1"/>
  <c r="A63" i="350" s="1"/>
  <c r="A64" i="350" s="1"/>
  <c r="A65" i="350" l="1"/>
  <c r="H7" i="67" l="1"/>
  <c r="Z7" i="12"/>
  <c r="Z17" i="12" s="1"/>
  <c r="A7" i="384" l="1"/>
  <c r="A8" i="384" s="1"/>
  <c r="A9" i="384" l="1"/>
  <c r="A10" i="384" s="1"/>
  <c r="A11" i="384" s="1"/>
  <c r="A12" i="384" s="1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9" i="384" s="1"/>
  <c r="A40" i="384" s="1"/>
  <c r="A41" i="384" s="1"/>
  <c r="A42" i="384" s="1"/>
  <c r="A43" i="384" s="1"/>
  <c r="A44" i="384" s="1"/>
  <c r="A45" i="384" s="1"/>
  <c r="A46" i="384" s="1"/>
  <c r="A47" i="384" s="1"/>
  <c r="A48" i="384" s="1"/>
  <c r="A49" i="384" s="1"/>
  <c r="A50" i="384" s="1"/>
  <c r="A51" i="384" s="1"/>
  <c r="A52" i="384" s="1"/>
  <c r="A53" i="384" s="1"/>
  <c r="A54" i="384" s="1"/>
  <c r="A55" i="384" s="1"/>
  <c r="A56" i="384" s="1"/>
  <c r="A57" i="384" s="1"/>
  <c r="A58" i="384" s="1"/>
  <c r="A59" i="384" s="1"/>
  <c r="A60" i="384" s="1"/>
  <c r="A61" i="384" s="1"/>
  <c r="A62" i="384" s="1"/>
  <c r="A63" i="384" s="1"/>
  <c r="A64" i="384" s="1"/>
  <c r="A65" i="384" s="1"/>
  <c r="A68" i="384" s="1"/>
  <c r="A71" i="384" s="1"/>
  <c r="A73" i="384" l="1"/>
  <c r="A7" i="385"/>
  <c r="A8" i="385" s="1"/>
  <c r="A9" i="385" s="1"/>
  <c r="A10" i="385" s="1"/>
  <c r="A11" i="385" s="1"/>
  <c r="A12" i="385" s="1"/>
  <c r="A15" i="385" s="1"/>
  <c r="A16" i="385" s="1"/>
  <c r="A17" i="385" s="1"/>
  <c r="A18" i="385" s="1"/>
  <c r="A19" i="385" s="1"/>
  <c r="A20" i="385" s="1"/>
  <c r="A21" i="385" s="1"/>
  <c r="A22" i="385" s="1"/>
  <c r="A23" i="385" s="1"/>
  <c r="A24" i="385" s="1"/>
  <c r="A25" i="385" s="1"/>
  <c r="A26" i="385" s="1"/>
  <c r="A27" i="385" s="1"/>
  <c r="A28" i="385" s="1"/>
  <c r="A29" i="385" s="1"/>
  <c r="A30" i="385" s="1"/>
  <c r="A31" i="385" s="1"/>
  <c r="A32" i="385" s="1"/>
  <c r="A33" i="385" s="1"/>
  <c r="A34" i="385" s="1"/>
  <c r="A35" i="385" s="1"/>
  <c r="A36" i="385" s="1"/>
  <c r="A37" i="385" s="1"/>
  <c r="A38" i="385" s="1"/>
  <c r="A39" i="385" s="1"/>
  <c r="A40" i="385" s="1"/>
  <c r="A41" i="385" s="1"/>
  <c r="A42" i="385" s="1"/>
  <c r="A43" i="385" s="1"/>
  <c r="A44" i="385" s="1"/>
  <c r="A45" i="385" s="1"/>
  <c r="A46" i="385" s="1"/>
  <c r="A47" i="385" s="1"/>
  <c r="A48" i="385" s="1"/>
  <c r="A49" i="385" s="1"/>
  <c r="A50" i="385" s="1"/>
  <c r="A51" i="385" s="1"/>
  <c r="A52" i="385" s="1"/>
  <c r="A53" i="385" s="1"/>
  <c r="A54" i="385" s="1"/>
  <c r="A55" i="385" s="1"/>
  <c r="A56" i="385" s="1"/>
  <c r="A57" i="385" s="1"/>
  <c r="A58" i="385" s="1"/>
  <c r="A59" i="385" s="1"/>
  <c r="A60" i="385" s="1"/>
  <c r="A61" i="385" s="1"/>
  <c r="A62" i="385" s="1"/>
  <c r="A63" i="385" s="1"/>
  <c r="A64" i="385" s="1"/>
  <c r="A65" i="385" s="1"/>
  <c r="A66" i="385" s="1"/>
  <c r="A67" i="385" s="1"/>
  <c r="A70" i="385" s="1"/>
  <c r="A71" i="385" s="1"/>
  <c r="A72" i="385" s="1"/>
  <c r="A75" i="385" s="1"/>
  <c r="A78" i="385" s="1"/>
  <c r="A79" i="385" s="1"/>
  <c r="A80" i="385" s="1"/>
  <c r="A81" i="385" s="1"/>
  <c r="A82" i="385" s="1"/>
  <c r="A83" i="385" s="1"/>
  <c r="A84" i="385" s="1"/>
  <c r="A85" i="385" s="1"/>
  <c r="A86" i="385" s="1"/>
  <c r="A87" i="385" s="1"/>
  <c r="A88" i="385" s="1"/>
  <c r="A89" i="385" s="1"/>
  <c r="A90" i="385" s="1"/>
  <c r="A91" i="385" s="1"/>
  <c r="A92" i="385" s="1"/>
  <c r="A93" i="385" s="1"/>
  <c r="A94" i="385" s="1"/>
  <c r="A95" i="385" s="1"/>
  <c r="A96" i="385" s="1"/>
  <c r="A97" i="385" s="1"/>
  <c r="A98" i="385" s="1"/>
  <c r="A99" i="385" s="1"/>
  <c r="A100" i="385" s="1"/>
  <c r="A101" i="385" s="1"/>
  <c r="A102" i="385" s="1"/>
  <c r="A103" i="385" s="1"/>
  <c r="A104" i="385" s="1"/>
  <c r="A105" i="385" s="1"/>
  <c r="A106" i="385" s="1"/>
  <c r="A107" i="385" s="1"/>
  <c r="A108" i="385" s="1"/>
  <c r="A109" i="385" s="1"/>
  <c r="A112" i="385" s="1"/>
  <c r="A113" i="385" s="1"/>
  <c r="A114" i="385" s="1"/>
  <c r="A115" i="385" s="1"/>
  <c r="A116" i="385" s="1"/>
  <c r="A117" i="385" s="1"/>
  <c r="A118" i="385" s="1"/>
  <c r="A119" i="385" s="1"/>
  <c r="A120" i="385" s="1"/>
  <c r="A121" i="385" s="1"/>
  <c r="A122" i="385" s="1"/>
  <c r="A123" i="385" s="1"/>
  <c r="A124" i="385" s="1"/>
  <c r="A125" i="385" s="1"/>
  <c r="A126" i="385" s="1"/>
  <c r="A127" i="385" s="1"/>
  <c r="A128" i="385" s="1"/>
  <c r="A129" i="385" s="1"/>
  <c r="A130" i="385" s="1"/>
  <c r="A133" i="385" s="1"/>
  <c r="A134" i="385" s="1"/>
  <c r="A137" i="385" s="1"/>
  <c r="A140" i="385" s="1"/>
  <c r="A141" i="385" s="1"/>
  <c r="A142" i="385" s="1"/>
  <c r="A143" i="385" s="1"/>
  <c r="A146" i="385" s="1"/>
  <c r="A149" i="385" s="1"/>
  <c r="A151" i="385" s="1"/>
  <c r="A9" i="386"/>
  <c r="A10" i="386" s="1"/>
  <c r="A11" i="386" s="1"/>
  <c r="A12" i="386" s="1"/>
  <c r="A13" i="386" s="1"/>
  <c r="A16" i="386" s="1"/>
  <c r="A19" i="386" s="1"/>
  <c r="A20" i="386" s="1"/>
  <c r="A21" i="386" s="1"/>
  <c r="A22" i="386" s="1"/>
  <c r="A23" i="386" s="1"/>
  <c r="A24" i="386" s="1"/>
  <c r="A25" i="386" s="1"/>
  <c r="A26" i="386" s="1"/>
  <c r="A27" i="386" s="1"/>
  <c r="A28" i="386" s="1"/>
  <c r="A29" i="386" s="1"/>
  <c r="A30" i="386" s="1"/>
  <c r="A31" i="386" s="1"/>
  <c r="A32" i="386" s="1"/>
  <c r="A33" i="386" s="1"/>
  <c r="A34" i="386" s="1"/>
  <c r="A35" i="386" s="1"/>
  <c r="A36" i="386" s="1"/>
  <c r="A37" i="386" s="1"/>
  <c r="A38" i="386" s="1"/>
  <c r="A39" i="386" s="1"/>
  <c r="A40" i="386" s="1"/>
  <c r="A41" i="386" s="1"/>
  <c r="A42" i="386" s="1"/>
  <c r="A45" i="386" s="1"/>
  <c r="A46" i="386" s="1"/>
  <c r="A47" i="386" s="1"/>
  <c r="A48" i="386" s="1"/>
  <c r="A49" i="386" s="1"/>
  <c r="A50" i="386" s="1"/>
  <c r="A51" i="386" s="1"/>
  <c r="A52" i="386" s="1"/>
  <c r="A53" i="386" s="1"/>
  <c r="A54" i="386" s="1"/>
  <c r="A55" i="386" s="1"/>
  <c r="A56" i="386" s="1"/>
  <c r="A57" i="386" s="1"/>
  <c r="A58" i="386" s="1"/>
  <c r="A59" i="386" s="1"/>
  <c r="A60" i="386" s="1"/>
  <c r="A63" i="386" s="1"/>
  <c r="A66" i="386" s="1"/>
  <c r="A69" i="386" s="1"/>
  <c r="A70" i="386" s="1"/>
  <c r="A71" i="386" s="1"/>
  <c r="A72" i="386" s="1"/>
  <c r="A73" i="386" s="1"/>
  <c r="A74" i="386" s="1"/>
  <c r="A75" i="386" s="1"/>
  <c r="A76" i="386" s="1"/>
  <c r="A77" i="386" s="1"/>
  <c r="A78" i="386" s="1"/>
  <c r="A79" i="386" s="1"/>
  <c r="A80" i="386" s="1"/>
  <c r="A81" i="386" s="1"/>
  <c r="A82" i="386" s="1"/>
  <c r="A83" i="386" s="1"/>
  <c r="A84" i="386" s="1"/>
  <c r="A85" i="386" s="1"/>
  <c r="A86" i="386" s="1"/>
  <c r="A87" i="386" s="1"/>
  <c r="A88" i="386" s="1"/>
  <c r="A89" i="386" s="1"/>
  <c r="A90" i="386" s="1"/>
  <c r="A91" i="386" s="1"/>
  <c r="A92" i="386" s="1"/>
  <c r="A93" i="386" s="1"/>
  <c r="A94" i="386" s="1"/>
  <c r="A95" i="386" s="1"/>
  <c r="A96" i="386" s="1"/>
  <c r="A97" i="386" s="1"/>
  <c r="A98" i="386" s="1"/>
  <c r="A99" i="386" s="1"/>
  <c r="A100" i="386" s="1"/>
  <c r="A103" i="386" s="1"/>
  <c r="A104" i="386" s="1"/>
  <c r="A105" i="386" s="1"/>
  <c r="A106" i="386" s="1"/>
  <c r="A107" i="386" s="1"/>
  <c r="A108" i="386" s="1"/>
  <c r="A109" i="386" s="1"/>
  <c r="A110" i="386" s="1"/>
  <c r="A111" i="386" s="1"/>
  <c r="A114" i="386" s="1"/>
  <c r="A115" i="386" s="1"/>
  <c r="A116" i="386" s="1"/>
  <c r="A117" i="386" s="1"/>
  <c r="A120" i="386" s="1"/>
  <c r="A121" i="386" s="1"/>
  <c r="A124" i="386" s="1"/>
  <c r="A125" i="386" s="1"/>
  <c r="A126" i="386" s="1"/>
  <c r="A127" i="386" s="1"/>
  <c r="A128" i="386" s="1"/>
  <c r="A131" i="386" s="1"/>
  <c r="A132" i="386" s="1"/>
  <c r="A133" i="386" s="1"/>
  <c r="A134" i="386" s="1"/>
  <c r="A135" i="386" s="1"/>
  <c r="A136" i="386" s="1"/>
  <c r="A137" i="386" s="1"/>
  <c r="A138" i="386" s="1"/>
  <c r="A139" i="386" s="1"/>
  <c r="A141" i="386" l="1"/>
  <c r="A8" i="390"/>
  <c r="A9" i="390"/>
  <c r="A12" i="390" s="1"/>
  <c r="A7" i="391"/>
  <c r="A8" i="391" s="1"/>
  <c r="A11" i="391" s="1"/>
  <c r="A14" i="391" s="1"/>
  <c r="A17" i="391" s="1"/>
  <c r="A18" i="391" s="1"/>
  <c r="A19" i="391" s="1"/>
  <c r="A20" i="391" s="1"/>
  <c r="A21" i="391" s="1"/>
  <c r="A22" i="391" s="1"/>
  <c r="A25" i="391" s="1"/>
  <c r="A26" i="391" s="1"/>
  <c r="A27" i="391" s="1"/>
  <c r="A13" i="390" l="1"/>
  <c r="A16" i="390" s="1"/>
  <c r="A19" i="390" s="1"/>
  <c r="A22" i="390" s="1"/>
  <c r="A23" i="390" s="1"/>
  <c r="A25" i="390"/>
  <c r="A135" i="390" s="1"/>
  <c r="A138" i="390" s="1"/>
  <c r="A29" i="391"/>
  <c r="A140" i="391" s="1"/>
  <c r="A143" i="391" s="1"/>
  <c r="A8" i="393"/>
  <c r="A11" i="393" s="1"/>
  <c r="A9" i="394"/>
  <c r="A10" i="394" s="1"/>
  <c r="A11" i="394" s="1"/>
  <c r="A12" i="394" s="1"/>
  <c r="A13" i="394" s="1"/>
  <c r="A16" i="394" s="1"/>
  <c r="A17" i="394" s="1"/>
  <c r="A20" i="394" s="1"/>
  <c r="A23" i="394" s="1"/>
  <c r="A24" i="394" s="1"/>
  <c r="A20" i="393" l="1"/>
  <c r="A135" i="393" s="1"/>
  <c r="A138" i="393" s="1"/>
  <c r="A14" i="393"/>
  <c r="A15" i="393" s="1"/>
  <c r="A16" i="393" s="1"/>
  <c r="A17" i="393" s="1"/>
  <c r="A18" i="393" s="1"/>
  <c r="A26" i="394"/>
  <c r="A139" i="394" s="1"/>
  <c r="A142" i="394" s="1"/>
</calcChain>
</file>

<file path=xl/comments1.xml><?xml version="1.0" encoding="utf-8"?>
<comments xmlns="http://schemas.openxmlformats.org/spreadsheetml/2006/main">
  <authors>
    <author>Gizbarut-Orna Goldfriend</author>
    <author>Eng-Karin Kaldron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29.2.24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29.2.24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AN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י.פ.1.1.24 ועדכון אומדן 2024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.3.3.24</t>
        </r>
      </text>
    </comment>
    <comment ref="J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3.3.24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 בניוכ הזמנות 2024</t>
        </r>
      </text>
    </comment>
    <comment ref="AN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יתרה 1.1.24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5.3.24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5.3.24</t>
        </r>
      </text>
    </comment>
    <comment ref="AN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יתרות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5.3.24</t>
        </r>
      </text>
    </comment>
    <comment ref="AN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יתרות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14.2.24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AL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</t>
        </r>
      </text>
    </comment>
    <comment ref="G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I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17.3.24. חוזה 20001 נסגר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3.3.24</t>
        </r>
      </text>
    </comment>
    <comment ref="AL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</t>
        </r>
      </text>
    </comment>
    <comment ref="AN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סגירת חוזה 20001 בתאריך 17.3.24</t>
        </r>
      </text>
    </comment>
    <comment ref="J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הזמנה מ - 2024 לא נלקחה בחשבון</t>
        </r>
      </text>
    </comment>
    <comment ref="AN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ניצול בהזמנה ב - 2024</t>
        </r>
      </text>
    </comment>
    <comment ref="I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סגירת חוזים 8149 8159 12.2.24</t>
        </r>
      </text>
    </comment>
    <comment ref="J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
</t>
        </r>
      </text>
    </comment>
    <comment ref="H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14.2.24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AL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 ועדכון ביצוע 2024</t>
        </r>
      </text>
    </comment>
    <comment ref="P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9.1.24</t>
        </r>
      </text>
    </comment>
    <comment ref="H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AN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יתרות תקציביות</t>
        </r>
      </text>
    </comment>
    <comment ref="H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AL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 והפחתה</t>
        </r>
      </text>
    </comment>
    <comment ref="H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3.3.24</t>
        </r>
      </text>
    </comment>
    <comment ref="AL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  והקטנה של 50 אלשח </t>
        </r>
      </text>
    </comment>
    <comment ref="J3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AL3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נתונים יתרת תקציב</t>
        </r>
      </text>
    </comment>
    <comment ref="J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מהמערכת.  50795 אינה קשורה לתב"ר סטטוס 105. לא נלקח בחשבון. נדרשת הבהרה מהנדסה. עודכן הזמנה ב - 2024  מס' 56448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14.2.24</t>
        </r>
      </text>
    </comment>
    <comment ref="AL4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</t>
        </r>
      </text>
    </comment>
    <comment ref="G4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</t>
        </r>
      </text>
    </comment>
    <comment ref="H4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J4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9.1.24</t>
        </r>
      </text>
    </comment>
    <comment ref="J4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</t>
        </r>
      </text>
    </comment>
    <comment ref="AN4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יתרות</t>
        </r>
      </text>
    </comment>
    <comment ref="H5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5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3.3.24
</t>
        </r>
      </text>
    </comment>
    <comment ref="K5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AA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התחבורההרשאה 1001274978 סכום המהווה 70%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</t>
        </r>
      </text>
    </comment>
    <comment ref="AN5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יתרת תקציב</t>
        </r>
      </text>
    </comment>
    <comment ref="H5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J5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AA57" authorId="1" shapeId="0">
      <text>
        <r>
          <rPr>
            <b/>
            <sz val="9"/>
            <color indexed="81"/>
            <rFont val="Tahoma"/>
            <family val="2"/>
          </rPr>
          <t>Eng-Karin Kaldron:</t>
        </r>
        <r>
          <rPr>
            <sz val="9"/>
            <color indexed="81"/>
            <rFont val="Tahoma"/>
            <family val="2"/>
          </rPr>
          <t xml:space="preserve">
התחייבות מ.תחבורה 1001569815</t>
        </r>
      </text>
    </comment>
    <comment ref="H6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14.2.24</t>
        </r>
      </text>
    </comment>
    <comment ref="J6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  שריון בניכוי הזמנות 2024 והזמנה 41593 שצריך לסגור</t>
        </r>
      </text>
    </comment>
    <comment ref="H6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14.2.24</t>
        </r>
      </text>
    </comment>
    <comment ref="AA7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 'הרשאה מס 1001566632 פרק א</t>
        </r>
      </text>
    </comment>
  </commentList>
</comments>
</file>

<file path=xl/comments10.xml><?xml version="1.0" encoding="utf-8"?>
<comments xmlns="http://schemas.openxmlformats.org/spreadsheetml/2006/main">
  <authors>
    <author>Gizbarut-Orna Goldfriend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עודכן. לא ינוצל הסכום יתפנה עם קבלת חשבון ב - 2024.</t>
        </r>
      </text>
    </comment>
    <comment ref="AA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התרבות והספורט. בקשת המימון לא אושרה.</t>
        </r>
      </text>
    </comment>
  </commentList>
</comments>
</file>

<file path=xl/comments11.xml><?xml version="1.0" encoding="utf-8"?>
<comments xmlns="http://schemas.openxmlformats.org/spreadsheetml/2006/main">
  <authors>
    <author>Gizbarut-Orna Goldfriend</author>
  </authors>
  <commentList>
    <comment ref="AA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א"ד 5 ו -6 הרשאה רמ"י</t>
        </r>
      </text>
    </comment>
  </commentList>
</comments>
</file>

<file path=xl/comments12.xml><?xml version="1.0" encoding="utf-8"?>
<comments xmlns="http://schemas.openxmlformats.org/spreadsheetml/2006/main">
  <authors>
    <author>Gizbarut-Orna Goldfriend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בברור ליטל חריגה תקציבית 81 ₪. 2.10.23
</t>
        </r>
      </text>
    </comment>
    <comment ref="AA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הפיס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 1 מלחשח שריון לאחר תקצוב 11/2023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מענק מ. הפיס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הפייס</t>
        </r>
      </text>
    </comment>
  </commentList>
</comments>
</file>

<file path=xl/comments13.xml><?xml version="1.0" encoding="utf-8"?>
<comments xmlns="http://schemas.openxmlformats.org/spreadsheetml/2006/main">
  <authors>
    <author>Gizbarut-Orna Goldfriend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11/2023</t>
        </r>
      </text>
    </comment>
  </commentList>
</comments>
</file>

<file path=xl/comments14.xml><?xml version="1.0" encoding="utf-8"?>
<comments xmlns="http://schemas.openxmlformats.org/spreadsheetml/2006/main">
  <authors>
    <author>Gizbarut-Orna Goldfriend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AA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קרן הועדה החקלאית</t>
        </r>
      </text>
    </comment>
    <comment ref="AA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הסביבה. בהתאם לסיכום .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AA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 התחייבות מס' 10000224538</t>
        </r>
      </text>
    </comment>
    <comment ref="AA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התחייבות מ. הגנת הסביבה מס' 10000227329</t>
        </r>
      </text>
    </comment>
  </commentList>
</comments>
</file>

<file path=xl/comments15.xml><?xml version="1.0" encoding="utf-8"?>
<comments xmlns="http://schemas.openxmlformats.org/spreadsheetml/2006/main">
  <authors>
    <author>Gizbarut-Orna Goldfriend</author>
  </authors>
  <commentList>
    <comment ref="AA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</t>
        </r>
      </text>
    </comment>
    <comment ref="AA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קרן הועדה החקלאית</t>
        </r>
      </text>
    </comment>
  </commentList>
</comments>
</file>

<file path=xl/comments16.xml><?xml version="1.0" encoding="utf-8"?>
<comments xmlns="http://schemas.openxmlformats.org/spreadsheetml/2006/main">
  <authors>
    <author>Gizbarut-Orna Goldfriend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
</t>
        </r>
      </text>
    </comment>
    <comment ref="H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4.3.24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4.3.24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Q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בשל מצב המלחמה ואי הבהירות לגבי תקציב 2024.</t>
        </r>
      </text>
    </comment>
  </commentList>
</comments>
</file>

<file path=xl/comments2.xml><?xml version="1.0" encoding="utf-8"?>
<comments xmlns="http://schemas.openxmlformats.org/spreadsheetml/2006/main">
  <authors>
    <author>Gizbarut-Orna Goldfriend</author>
  </authors>
  <commentList>
    <comment ref="AA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הפיס</t>
        </r>
      </text>
    </comment>
    <comment ref="AA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תוספת הרשאה 16% מסכום 12,931,964 ₪ ו
תוספת בגין אישור הריסה</t>
        </r>
      </text>
    </comment>
    <comment ref="AA5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תוספת  הרשאה לפי חישוב של 16 % על סכום של 17,829,390 ש,ח.
 </t>
        </r>
      </text>
    </comment>
    <comment ref="AA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קרן שלם 1.5 מלשח וביטוח לאומי 2.2 מלשח</t>
        </r>
      </text>
    </comment>
    <comment ref="AA6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מ. הפנים</t>
        </r>
      </text>
    </comment>
    <comment ref="AA7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מ. החינוך</t>
        </r>
      </text>
    </comment>
    <comment ref="AA8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1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</t>
        </r>
      </text>
    </comment>
    <comment ref="AA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</t>
        </r>
      </text>
    </comment>
    <comment ref="AA1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 הסטת הרשאה. ראה תבר 1908,1911. מ. החינוך הרשאה תיכון</t>
        </r>
      </text>
    </comment>
  </commentList>
</comments>
</file>

<file path=xl/comments3.xml><?xml version="1.0" encoding="utf-8"?>
<comments xmlns="http://schemas.openxmlformats.org/spreadsheetml/2006/main">
  <authors>
    <author>Gizbarut-Orna Goldfriend</author>
  </authors>
  <commentList>
    <comment ref="Q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מותנה במפעל הפיס</t>
        </r>
      </text>
    </comment>
    <comment ref="AA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הפיס</t>
        </r>
      </text>
    </comment>
    <comment ref="R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2.10.22</t>
        </r>
      </text>
    </comment>
    <comment ref="AA5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</t>
        </r>
      </text>
    </comment>
    <comment ref="AA6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תוספת הרשאה 16% מסכום 12,931,964 ₪ ו
תוספת בגין אישור הריסה</t>
        </r>
      </text>
    </comment>
    <comment ref="AA6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תוספת  הרשאה לפי חישוב של 16 % על סכום של 17,829,390 ש,ח.
 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כולל 2 הרשאות מ. החינוך. ללא הצטיידות ועד גובה מסגרת תקציב 2022.</t>
        </r>
      </text>
    </comment>
    <comment ref="AA7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7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</rPr>
          <t>Gizbarut-Orna Goldfriend:תוספת תקציב 2022 סכום של 327 אלשח מ. החינוך קדם מימון</t>
        </r>
      </text>
    </comment>
    <comment ref="AA8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</t>
        </r>
      </text>
    </comment>
    <comment ref="AA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</t>
        </r>
      </text>
    </comment>
    <comment ref="AA8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רמ"י מבני ציבור רשות הסטת הרשאה. ראה תבר 1908,1911. מ. החינוך הרשאה תיכון</t>
        </r>
      </text>
    </comment>
    <comment ref="N10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תוקצב 2022</t>
        </r>
      </text>
    </comment>
    <comment ref="AA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קרן שלם 1.5 מלשח וביטוח לאומי 2.2 מלשח</t>
        </r>
      </text>
    </comment>
  </commentList>
</comments>
</file>

<file path=xl/comments4.xml><?xml version="1.0" encoding="utf-8"?>
<comments xmlns="http://schemas.openxmlformats.org/spreadsheetml/2006/main">
  <authors>
    <author>Gizbarut-Orna Goldfriend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M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בסיכום דיון עמי 20.2.24
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מ12.2.24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הגנת הסביבה פרק ב. הרשאה תקציבית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Q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250 אלשח תוקצב. מימון מ. הפיס תוקצב 25.12.23</t>
        </r>
      </text>
    </comment>
    <comment ref="AA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שצ"פים מכרז  בית קורקס וגליל ים ג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תוקצב 100 אלשח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שצ"פים מכרז  גליל ים ג כולל יח"ד להשכרה</t>
        </r>
      </text>
    </comment>
    <comment ref="H2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 הזמנה הנדסה הועברה ל -2024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הרשאה 4502260372 ישן מול חדש מכרז הבריגדה. הרשאה לקבל ישן מול חדש מכרז קרית השחקים וגליל ים ג</t>
        </r>
      </text>
    </comment>
    <comment ref="H3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3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4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4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4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4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4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5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5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5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הסכם מימון נ.ת.ע</t>
        </r>
      </text>
    </comment>
    <comment ref="AA5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הרשאה שצפים הרשאה 4502260417 מכרז הבריגדה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19.11.23
התחייבות רמי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5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שצפ מכרז ג. ים ג</t>
        </r>
      </text>
    </comment>
    <comment ref="J5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6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מעודכן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I6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6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6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H7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24.2.24</t>
        </r>
      </text>
    </comment>
    <comment ref="J7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24.2.24</t>
        </r>
      </text>
    </comment>
    <comment ref="H7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7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7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7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7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7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הקבורה</t>
        </r>
      </text>
    </comment>
    <comment ref="H7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7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Q7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וקעפ</t>
        </r>
      </text>
    </comment>
    <comment ref="AA7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תוספת הרשאה שטרם אושרה</t>
        </r>
      </text>
    </comment>
    <comment ref="H7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7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8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8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8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8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8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 החינוך הצטיידות השלמת הרשאה 2023/02/018 כולל תוספת הרשאה שטרם אושרה</t>
        </r>
      </text>
    </comment>
    <comment ref="H8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8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8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הצטיידות והשלמת הרשאה2022/07/242 כולל תוספת הרשאה שטרם אושרה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8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8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ראה קובץ תבר מ. החינוך</t>
        </r>
      </text>
    </comment>
    <comment ref="H8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8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8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8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Q8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אין הרשאה תקציבית מ. החינוך</t>
        </r>
      </text>
    </comment>
    <comment ref="H9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9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Q9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סכום ההרשאות שהתקבלו מ. החינוך</t>
        </r>
      </text>
    </comment>
    <comment ref="H9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9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9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9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Q9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קעפ. אין הרשאה מ. החינוך</t>
        </r>
      </text>
    </comment>
    <comment ref="H9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9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O9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450 אלשח עדכון שיחה עמי 12.3.24</t>
        </r>
      </text>
    </comment>
    <comment ref="H9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9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9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הרשאה מס'  כולל תוספת הרשאה שטרם אושרה2023/02/207. 1.5 מלשח קרן שלם. 1.6 מלשח ביטוח לאומי</t>
        </r>
      </text>
    </comment>
    <comment ref="H9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9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R9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שינוי מימון וע. 11/2023</t>
        </r>
      </text>
    </comment>
    <comment ref="H9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9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9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0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 בקשת מימון 3 יבילים</t>
        </r>
      </text>
    </comment>
    <comment ref="H10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0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0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השלמת הרשאות .ראה קובץ התבר מ. החינוך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בסיכום דיום עם עמי 20.2.24
</t>
        </r>
      </text>
    </comment>
    <comment ref="H10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0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H10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0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0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החינוך. ראה קובץ תב,ר מ החינוך השלמת הרשאות</t>
        </r>
      </text>
    </comment>
    <comment ref="H10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0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H10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0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0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ראה קובץ תבר מ. החינוך ואפ"י</t>
        </r>
      </text>
    </comment>
    <comment ref="H10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0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0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מימון מ. החינוך הרשאה וכולל תוספות שטרם אושרו 2023/02/188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מעודכן</t>
        </r>
      </text>
    </comment>
    <comment ref="H1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1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רמי הרשאה מס 4502260352 מוס"צ מכרז הבריגדה</t>
        </r>
      </text>
    </comment>
    <comment ref="H1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1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מכרז קרית השחקים רמי מוס"צ ויחד השכרה ג.ים ג</t>
        </r>
      </text>
    </comment>
    <comment ref="H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AA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מכרז רמי גליל ים ג מוס"צ ובית קורקס</t>
        </r>
      </text>
    </comment>
    <comment ref="H1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11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התרבות 1.5 מלשח  מ. הפיס 10 מלשח</t>
        </r>
      </text>
    </comment>
    <comment ref="H1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1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24.2.24</t>
        </r>
      </text>
    </comment>
    <comment ref="H1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2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2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R12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שינוי מימון וע. 11/2023</t>
        </r>
      </text>
    </comment>
    <comment ref="H1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1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1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E1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מעודכן</t>
        </r>
      </text>
    </comment>
    <comment ref="H1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עדכון 25.2.24. הזמנה בוטלה . לא נדרש</t>
        </r>
      </text>
    </comment>
    <comment ref="AM12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בסיכום דיון עמי 20.2.24</t>
        </r>
      </text>
    </comment>
    <comment ref="H1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AA1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הרשאה תקציבית מ. הספורט חלק מ 1001682165</t>
        </r>
      </text>
    </comment>
    <comment ref="H13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3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3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3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J1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20.2.24</t>
        </r>
      </text>
    </comment>
    <comment ref="H14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4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14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12.2.24</t>
        </r>
      </text>
    </comment>
    <comment ref="J14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H14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J14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25.2.24</t>
        </r>
      </text>
    </comment>
    <comment ref="H14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4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14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תאגיד התרבות</t>
        </r>
      </text>
    </comment>
  </commentList>
</comments>
</file>

<file path=xl/comments5.xml><?xml version="1.0" encoding="utf-8"?>
<comments xmlns="http://schemas.openxmlformats.org/spreadsheetml/2006/main">
  <authors>
    <author>Gizbarut-Orna Goldfriend</author>
  </authors>
  <commentList>
    <comment ref="AA3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 2 הרשאות מעלית 496 אלשח ובניה ללא הצטיידות </t>
        </r>
      </text>
    </comment>
    <comment ref="AA7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</t>
        </r>
      </text>
    </comment>
    <comment ref="AA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 הרשאות מ. הספורט</t>
        </r>
      </text>
    </comment>
    <comment ref="AA8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הפיס</t>
        </r>
      </text>
    </comment>
    <comment ref="AA10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אישור עקרוני . אין עדיין התחייבות.</t>
        </r>
      </text>
    </comment>
    <comment ref="AA10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אישור עקרוני . אין עדיין התחייבות.</t>
        </r>
      </text>
    </comment>
  </commentList>
</comments>
</file>

<file path=xl/comments6.xml><?xml version="1.0" encoding="utf-8"?>
<comments xmlns="http://schemas.openxmlformats.org/spreadsheetml/2006/main">
  <authors>
    <author>Logistic-Tali Sherpsky</author>
    <author>Gizbarut-Orna Goldfriend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Logistic-Tali Sherpsky:</t>
        </r>
        <r>
          <rPr>
            <sz val="9"/>
            <color indexed="81"/>
            <rFont val="Tahoma"/>
            <family val="2"/>
          </rPr>
          <t xml:space="preserve">
תלוי בהרשאה ממשרד התחבורה</t>
        </r>
      </text>
    </comment>
    <comment ref="AA9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התחבורה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Logistic-Tali Sherpsky:</t>
        </r>
        <r>
          <rPr>
            <sz val="9"/>
            <color indexed="81"/>
            <rFont val="Tahoma"/>
            <family val="2"/>
          </rPr>
          <t xml:space="preserve">
נדחה ל- 2023</t>
        </r>
      </text>
    </comment>
    <comment ref="AA54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אישור עקרוני . אין עדיין התחייבות.</t>
        </r>
      </text>
    </comment>
    <comment ref="AA55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אישור עקרוני . אין עדיין התחייבות.</t>
        </r>
      </text>
    </comment>
    <comment ref="AA70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 2 הרשאות מעלית 496 אלשח ובניה ללא הצטיידות </t>
        </r>
      </text>
    </comment>
    <comment ref="AA95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הפיס</t>
        </r>
      </text>
    </comment>
    <comment ref="AA98" authorId="1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2 הרשאות מ. הספורט</t>
        </r>
      </text>
    </comment>
  </commentList>
</comments>
</file>

<file path=xl/comments7.xml><?xml version="1.0" encoding="utf-8"?>
<comments xmlns="http://schemas.openxmlformats.org/spreadsheetml/2006/main">
  <authors>
    <author>Gizbarut-Orna Goldfriend</author>
    <author>Logistic-Tali Sherpsky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 כולל הזמנה 54466 שהועברה ל - 2024</t>
        </r>
      </text>
    </comment>
    <comment ref="AA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נתיבי איילון. יתרת תקציב שלא תתקבל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P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לפני הקצאת תקציב 11/2023</t>
        </r>
      </text>
    </comment>
    <comment ref="AA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1032-2023-000738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אישורמועצה מיוחד 2.2024</t>
        </r>
      </text>
    </comment>
    <comment ref="H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 בניכוי הזמנות 2024</t>
        </r>
      </text>
    </comment>
    <comment ref="R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11/2023</t>
        </r>
      </text>
    </comment>
    <comment ref="H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AL1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איחוד עפ תב"ר 1130</t>
        </r>
      </text>
    </comment>
    <comment ref="H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6.3.24. ראה הערה בתב"ר 1560.  סכום של 15 אלשח לא עודכן.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26.2.24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26.2.24</t>
        </r>
      </text>
    </comment>
    <comment ref="H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לא נדרש בוטל  27.9.23</t>
        </r>
      </text>
    </comment>
    <comment ref="J2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 7.3.24</t>
        </r>
      </text>
    </comment>
    <comment ref="J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AP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השלמה לסכום עגול של 4 מלשח.</t>
        </r>
      </text>
    </comment>
    <comment ref="H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
</t>
        </r>
      </text>
    </comment>
    <comment ref="AA3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האנרגיה מס' 1001084564</t>
        </r>
      </text>
    </comment>
    <comment ref="H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3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
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 בניכוי הזמנות 2024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20.11.23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 בניכוי הזמנות 2024</t>
        </r>
      </text>
    </comment>
    <comment ref="H3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6.3.24.  בוצעה פקודת יומן סטורנו 15 אלשח חיוב סעיף זה זיכוי תבר 1848. . נתון זה לא עודכן</t>
        </r>
      </text>
    </comment>
    <comment ref="J3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AE4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לוודא עם הילה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נתוני ביצוע נושריון אלרי עדכון תקצב נוסף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AA5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התחייבות מס' 1001693661</t>
        </r>
      </text>
    </comment>
    <comment ref="AA5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מס' 1001693219</t>
        </r>
      </text>
    </comment>
    <comment ref="AA6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הפנים מס' 1001693750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מהמערכת.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7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7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G7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</t>
        </r>
      </text>
    </comment>
    <comment ref="H7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H7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7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האומדן עודכן לפי 35 משלח בשנת תקציב 2024  ו 2025 ואילך</t>
        </r>
      </text>
    </comment>
    <comment ref="AA7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הרשאה תקציבית  2022/02/081 בניכוי 100 אלפשח הרשאה נגיושת שתוקצבה ולא ניתן לבצעה.</t>
        </r>
      </text>
    </comment>
    <comment ref="H7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הסכום באומדן 2,361 אלשח בניכוי הזמנה מס' 51387 ב - 6.9.23 בסכום של 1,555 אלשח</t>
        </r>
      </text>
    </comment>
    <comment ref="AA8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8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3 הרשאות נוף ים, שמואל הנגיד, שזר 80 אלפי ₪ כל הרשאה</t>
        </r>
      </text>
    </comment>
    <comment ref="AA8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J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
</t>
        </r>
      </text>
    </comment>
    <comment ref="N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18.3.24</t>
        </r>
      </text>
    </comment>
    <comment ref="AP8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18.3.24</t>
        </r>
      </text>
    </comment>
    <comment ref="H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R8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11/2023</t>
        </r>
      </text>
    </comment>
    <comment ref="AA89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9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H9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P9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יתרת תקציב בספרים  25.12.23לאחר הקצאה  של 1.5 מלשח מגיעה ל 1.1 מלשח</t>
        </r>
      </text>
    </comment>
    <comment ref="AA9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40% מ -90 אלשח מרכיבי בטחון מס' 1001668818
שיפוצי קייץ תקבולים תשפ"ג ועל חשבון תשפד. 
117 אלשח יתרת הסכום עבור תשפד שתתקבל ב - 2024</t>
        </r>
      </text>
    </comment>
    <comment ref="H10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עודכן מהמערכת.</t>
        </r>
      </text>
    </comment>
    <comment ref="J10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10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0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5.3.24</t>
        </r>
      </text>
    </comment>
    <comment ref="AA1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הספורט הרשאה 1001682165</t>
        </r>
      </text>
    </comment>
    <comment ref="H1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1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1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 בניכוע הזמנות 2024</t>
        </r>
      </text>
    </comment>
    <comment ref="H1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הדתות</t>
        </r>
      </text>
    </comment>
    <comment ref="H1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R12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11/2023</t>
        </r>
      </text>
    </comment>
    <comment ref="AA126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הארנרגיה</t>
        </r>
      </text>
    </comment>
    <comment ref="H1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12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H1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J1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נתונים 25.12.23 לאחר עדכון תקציב נוסף 470 אלשח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וע. 11/2023</t>
        </r>
      </text>
    </comment>
    <comment ref="AP13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הפועל 24 ומסגרת עבודות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6.3.24</t>
        </r>
      </text>
    </comment>
    <comment ref="P132" authorId="1" shapeId="0">
      <text>
        <r>
          <rPr>
            <b/>
            <sz val="9"/>
            <color indexed="81"/>
            <rFont val="Tahoma"/>
            <family val="2"/>
          </rPr>
          <t>Logistic-Tali Sherpsky:</t>
        </r>
        <r>
          <rPr>
            <sz val="9"/>
            <color indexed="81"/>
            <rFont val="Tahoma"/>
            <family val="2"/>
          </rPr>
          <t xml:space="preserve">
יתרה לרכישת רכב ה +עמדות טעינה יתרת התקציב עודכנה מהמערכת 26.9.23</t>
        </r>
      </text>
    </comment>
    <comment ref="H13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7.3.24</t>
        </r>
      </text>
    </comment>
    <comment ref="J13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20.11.23
</t>
        </r>
      </text>
    </comment>
  </commentList>
</comments>
</file>

<file path=xl/comments8.xml><?xml version="1.0" encoding="utf-8"?>
<comments xmlns="http://schemas.openxmlformats.org/spreadsheetml/2006/main">
  <authors>
    <author>Gizbarut-Orna Goldfriend</author>
  </authors>
  <commentList>
    <comment ref="AA10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</t>
        </r>
      </text>
    </comment>
    <comment ref="AA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המדע</t>
        </r>
      </text>
    </comment>
    <comment ref="AA2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n/ vjhbul vratv 2022/01/090 ' 2022/01/089</t>
        </r>
      </text>
    </comment>
  </commentList>
</comments>
</file>

<file path=xl/comments9.xml><?xml version="1.0" encoding="utf-8"?>
<comments xmlns="http://schemas.openxmlformats.org/spreadsheetml/2006/main">
  <authors>
    <author>Gizbarut-Orna Goldfriend</author>
  </authors>
  <commentList>
    <comment ref="H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AF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ניתן מענה לכלי נגינה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8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המדע</t>
        </r>
      </text>
    </comment>
    <comment ref="H11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18.3.24</t>
        </r>
      </text>
    </comment>
    <comment ref="H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21.2.24</t>
        </r>
      </text>
    </comment>
    <comment ref="AA13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מ. החינוך הרשאה  2020/08/983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עדכון 10.3.24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Gizbarut-Orna Goldfriend:</t>
        </r>
        <r>
          <rPr>
            <sz val="9"/>
            <color indexed="81"/>
            <rFont val="Tahoma"/>
            <family val="2"/>
          </rPr>
          <t xml:space="preserve">
שינוי מימון וע. 11/2023</t>
        </r>
      </text>
    </comment>
  </commentList>
</comments>
</file>

<file path=xl/sharedStrings.xml><?xml version="1.0" encoding="utf-8"?>
<sst xmlns="http://schemas.openxmlformats.org/spreadsheetml/2006/main" count="6107" uniqueCount="1651">
  <si>
    <t>מס' סידורי</t>
  </si>
  <si>
    <t>מס' תב"ר</t>
  </si>
  <si>
    <t>שם תב"ר</t>
  </si>
  <si>
    <t>אומדן כולל לפרוקט</t>
  </si>
  <si>
    <t>אומדן מאושר במועצה</t>
  </si>
  <si>
    <t>תוספת לאומדן לאישור המועצה</t>
  </si>
  <si>
    <t xml:space="preserve">תקציב מאושר </t>
  </si>
  <si>
    <t>ביצוע בפועל</t>
  </si>
  <si>
    <t>שריון מערך הרכש</t>
  </si>
  <si>
    <t>שריון מערך חוזים</t>
  </si>
  <si>
    <t>סה"כ שריון התחייבויות</t>
  </si>
  <si>
    <t>סה"כ ביצוע</t>
  </si>
  <si>
    <t>יתרת תקציב</t>
  </si>
  <si>
    <t>קרן עבודות פיתוח</t>
  </si>
  <si>
    <t>קרן עודפי תקציב רגיל</t>
  </si>
  <si>
    <t>קרן רכוש</t>
  </si>
  <si>
    <t>פרק תב"ר</t>
  </si>
  <si>
    <t>תכנון מתחם הר' 2200</t>
  </si>
  <si>
    <t>תב"עות קטנות</t>
  </si>
  <si>
    <t>תמ"א 38</t>
  </si>
  <si>
    <t>תכנון פרויקטים פינוי בינוי</t>
  </si>
  <si>
    <t>פינוי בינוי מעונות שרה</t>
  </si>
  <si>
    <t>מתחם הבריגדה מתחם הר' 1960</t>
  </si>
  <si>
    <t>מחלף הרב מכר</t>
  </si>
  <si>
    <t>פיתוח מתחם אלוני ים הר' 2030</t>
  </si>
  <si>
    <t>רח' ז'בוטינסקי אלתרמן הבריגדה</t>
  </si>
  <si>
    <t>פיתוח מתחם "מרינה לי"</t>
  </si>
  <si>
    <t>מרכז תחבורה חדש</t>
  </si>
  <si>
    <t>יעודי קרקע -מפת בסיס</t>
  </si>
  <si>
    <t>עבודות ניקוז בעיר</t>
  </si>
  <si>
    <t>עבודות פיתוח ותשתיות קטנות</t>
  </si>
  <si>
    <t>פרויקטים תחבורתיים בעיר</t>
  </si>
  <si>
    <t>תכנונים כלליים</t>
  </si>
  <si>
    <t>מתחם נוף ים פיתוח</t>
  </si>
  <si>
    <t>ליווי תשתיות לאומיות</t>
  </si>
  <si>
    <t>העתקות פרויקטים שונים</t>
  </si>
  <si>
    <t>חיבור גשר הולכי רגל כביש 20</t>
  </si>
  <si>
    <t>מערכת בקרת רמזורים</t>
  </si>
  <si>
    <t>החלפת מדרכות</t>
  </si>
  <si>
    <t>רח' גבעת החלומות פיתוח</t>
  </si>
  <si>
    <t>ספורטק שלב ג'</t>
  </si>
  <si>
    <t>הוצאות בקשר עם תביעות סעיף 197</t>
  </si>
  <si>
    <t>הוצאות אכיפה-דירות נופש במרינה</t>
  </si>
  <si>
    <t>תכנון ייעוץ הנדסי "סל"</t>
  </si>
  <si>
    <t>שיפוץ מבני דת ציבוריים</t>
  </si>
  <si>
    <t>עבודות שונות בפארק הרצליה</t>
  </si>
  <si>
    <t>שדרוג מקלטים ציבוריים</t>
  </si>
  <si>
    <t>גידור שיפוץ גדרות מ.ספורט</t>
  </si>
  <si>
    <t>הצטידות כיתות חדשות בי"ס</t>
  </si>
  <si>
    <t>מדידות נכסים לחיוב היטלי פיתוח</t>
  </si>
  <si>
    <t>בדיקות חיוב להיטלי פיתוח</t>
  </si>
  <si>
    <t>הפרשה בגין תביעות תלויות</t>
  </si>
  <si>
    <t>הלוואה לטובת אוצר המדינה</t>
  </si>
  <si>
    <t>יער עירוני וגינות קהילתיות</t>
  </si>
  <si>
    <t>הטמעת עקרונות הקיימות בחינוך</t>
  </si>
  <si>
    <t>שדרוג מערכות הליבה</t>
  </si>
  <si>
    <t>שיפוץ דירות עמידר</t>
  </si>
  <si>
    <t>חזיתות בתים שיפוץ</t>
  </si>
  <si>
    <t>פצוי והפקעה ב-6525/6 הר' 1704</t>
  </si>
  <si>
    <t>בית הרמלין-חלקה 92-גוש 6592</t>
  </si>
  <si>
    <t>פיצויי הפקעה - פארק הבאסה</t>
  </si>
  <si>
    <t>עלויות רכישת מקרקעין</t>
  </si>
  <si>
    <t>פיצויי הפקעה הר'1941 פארק הבאסה</t>
  </si>
  <si>
    <t>תביעה פינוי גוש 6521 רחמים</t>
  </si>
  <si>
    <t>הקמת גינות לכלבים</t>
  </si>
  <si>
    <t>סככות הצללה לגני משחקים</t>
  </si>
  <si>
    <t>נטיעת עצים ברחבי העיר</t>
  </si>
  <si>
    <t>סקר עצים מסוכנים ברחבי העיר</t>
  </si>
  <si>
    <t>פיתוח מתחם המסילה ודב הוז</t>
  </si>
  <si>
    <t>בית העלמין החדש</t>
  </si>
  <si>
    <t>עבודות פיתוח קטנות</t>
  </si>
  <si>
    <t>מתחם זרובבל</t>
  </si>
  <si>
    <t>סה"כ החברה לפיתוח הרצליה</t>
  </si>
  <si>
    <t>תב"ע חוף הים</t>
  </si>
  <si>
    <t>קע"פ</t>
  </si>
  <si>
    <t>אחרים</t>
  </si>
  <si>
    <t>חופים</t>
  </si>
  <si>
    <t>איכות הסביבה</t>
  </si>
  <si>
    <t>מרכיבי העלות</t>
  </si>
  <si>
    <t>מקורות מימון לפרויקט</t>
  </si>
  <si>
    <t>אומדן כולל לפרויקט</t>
  </si>
  <si>
    <t>תוספת לאומדן  לאישור מועצה</t>
  </si>
  <si>
    <t xml:space="preserve">יתרת תקציב 
</t>
  </si>
  <si>
    <t>החברה לפיתוח התיירות</t>
  </si>
  <si>
    <t>סה"כ</t>
  </si>
  <si>
    <t>קרן עודפי ת.ר.</t>
  </si>
  <si>
    <t xml:space="preserve">יתרת מקורות מימון </t>
  </si>
  <si>
    <t>הפרש עודף (חוסר)</t>
  </si>
  <si>
    <t xml:space="preserve">תקציב מאושר  </t>
  </si>
  <si>
    <t>פיתוח מתחם המכללות הר' 1920/1</t>
  </si>
  <si>
    <t>פתוח מתחם הר' 1972 תחנה מרכזית</t>
  </si>
  <si>
    <t>שיקום האגם בפארק</t>
  </si>
  <si>
    <t>החברה לפיתוח התיירות הרצליה</t>
  </si>
  <si>
    <t>שיפוץ ובינוי נכסים עירוניים כולל תשתיות</t>
  </si>
  <si>
    <t>שביל אופניים הרצליה-ת"א הפקעות</t>
  </si>
  <si>
    <t>הקמת גינות בי"ס קהילתיות</t>
  </si>
  <si>
    <t>מתנ"ס נווה ישראל</t>
  </si>
  <si>
    <t>פינוי בינוי מול התחנה</t>
  </si>
  <si>
    <t>פיתוח מתחם הר' 1903</t>
  </si>
  <si>
    <t>שימור אתרים</t>
  </si>
  <si>
    <t xml:space="preserve">פינוי בינוי צומת כדורי </t>
  </si>
  <si>
    <t>שצ"פ מערב קיר אקוסטי גליל ים ב'</t>
  </si>
  <si>
    <t>אולם ספורט חטיבת זאב</t>
  </si>
  <si>
    <t>חניונים הר'1900 -שינוי תב"ע</t>
  </si>
  <si>
    <t>פיתוח גליל ים ב'</t>
  </si>
  <si>
    <t>עבודות הרחבה התאמה איצטדיון</t>
  </si>
  <si>
    <t>שיפוץ ותוספת בניה בי"ס בר אילן</t>
  </si>
  <si>
    <t>שיפוץ בי"ס מפתן ארז</t>
  </si>
  <si>
    <t>התקנת מעלית בי"ס שז"ר</t>
  </si>
  <si>
    <t>מע. תאורה LED ברחבי העיר</t>
  </si>
  <si>
    <t>הצטיידות גנ"י חדשים ח"ר,ח"מ</t>
  </si>
  <si>
    <t>תב"ע מרינה</t>
  </si>
  <si>
    <t>תוכנית שיווק והפרדת פסולת</t>
  </si>
  <si>
    <t>פרויקט תכסיות וניתוח מרחבי</t>
  </si>
  <si>
    <t>גן 3 כיתות 401 גליל ים ב'</t>
  </si>
  <si>
    <t>כיתות מעון וגן שטח 303 גליל ים א'</t>
  </si>
  <si>
    <t>נגישות לאנשים עם מוגבלויות</t>
  </si>
  <si>
    <t>התאמות נגישות מוסדות חינוך</t>
  </si>
  <si>
    <t>רכישת מיכלי אצירה לפסולת ומיחזור</t>
  </si>
  <si>
    <t>שילוט ברחבי העיר</t>
  </si>
  <si>
    <t>פיצויי הפקעה פטריאלי 6524/21,22</t>
  </si>
  <si>
    <t>גשר מעל כביש 20</t>
  </si>
  <si>
    <t>גשר הולכי רגל מעל שבעת הכוכבים</t>
  </si>
  <si>
    <t xml:space="preserve">שיפוצים שונים מוס"ח </t>
  </si>
  <si>
    <t>מתחם גליל ים</t>
  </si>
  <si>
    <t>שריון מערך רכש</t>
  </si>
  <si>
    <t>בניית בי"ס ברחוב משה (ירוק)</t>
  </si>
  <si>
    <t>ציפוי מגרשי ספורט</t>
  </si>
  <si>
    <t>בניה עצמית ליד המתחם הבינתחומי</t>
  </si>
  <si>
    <t>ü</t>
  </si>
  <si>
    <t>הצבת קולרים ברחבי העיר</t>
  </si>
  <si>
    <t>סככות צל חוף הכוכבים 2017</t>
  </si>
  <si>
    <t>הכשרת חניון העוגן</t>
  </si>
  <si>
    <t>3.6</t>
  </si>
  <si>
    <t>קרנות הרשות - צפי תנועה באלפי ₪</t>
  </si>
  <si>
    <t>תאור</t>
  </si>
  <si>
    <t>מקורות</t>
  </si>
  <si>
    <t>יתרה צפויה 1.1</t>
  </si>
  <si>
    <t xml:space="preserve">היטלי השבחה ופיתוח שנה שוטפת </t>
  </si>
  <si>
    <t xml:space="preserve">העמקת גביה מהיטלי פיתוח שנה שוטפת </t>
  </si>
  <si>
    <t>סה"כ מקורות</t>
  </si>
  <si>
    <t>שימושים</t>
  </si>
  <si>
    <t>השתתפות בשכ"ע הנדסה לפיתוח ותכנון</t>
  </si>
  <si>
    <t>מימון תקציב בלתי רגיל</t>
  </si>
  <si>
    <t>סה"כ שימושים</t>
  </si>
  <si>
    <t>1.</t>
  </si>
  <si>
    <t>מבוא</t>
  </si>
  <si>
    <t xml:space="preserve">רקע : </t>
  </si>
  <si>
    <t xml:space="preserve">התקציב הבלתי רגיל (תב"ר) מהווה מסגרת תקציבית שנועדה בעיקר לביצוע פרויקטים  של עבודות  </t>
  </si>
  <si>
    <t>מקורות המימון לתב"ר הינם :</t>
  </si>
  <si>
    <t>מענקים ממקורות שלטוניים ובעיקר ממשרדי ממשלה.</t>
  </si>
  <si>
    <t xml:space="preserve">מקורות עצמיים של הרשות הכוללים היטלי השבחה , היטלי פיתוח , העברות מתקציב רגיל, </t>
  </si>
  <si>
    <t>תרומות, מימוש נכסים.</t>
  </si>
  <si>
    <t>הלוואות לזמן ארוך.</t>
  </si>
  <si>
    <t xml:space="preserve">אישור התקציב הבלתי רגיל : </t>
  </si>
  <si>
    <t xml:space="preserve">על פי הוראות משרד הפנים ,לכל פרויקט יש לקבוע את היקף ההשקעה ומקורות המימון. </t>
  </si>
  <si>
    <t>ב – 16.3.2014 הכריז משרד הפנים על עיריית הרצליה כעל עירייה איתנה.</t>
  </si>
  <si>
    <t>חברי וועדת הכספים/מועצת העיר מתבקשים לאשר בזאת :</t>
  </si>
  <si>
    <t xml:space="preserve">באלפי ₪ </t>
  </si>
  <si>
    <t>מתוך אומדן כולל של הפרויקטים בסכום של</t>
  </si>
  <si>
    <t>2.</t>
  </si>
  <si>
    <t>מקורות המימון באלפי ₪ היו כדלקמן -</t>
  </si>
  <si>
    <t>קרן מכירת רכוש</t>
  </si>
  <si>
    <t>משרדי ממשלה ואחרים</t>
  </si>
  <si>
    <t>סה"כ תקציב</t>
  </si>
  <si>
    <t xml:space="preserve">משרדי ממשלה ואחרים </t>
  </si>
  <si>
    <t>אחוז ביצוע</t>
  </si>
  <si>
    <t xml:space="preserve">סה"כ </t>
  </si>
  <si>
    <t>הצעת התקציב הבלתי רגיל מסתכמת בהשקעה של</t>
  </si>
  <si>
    <t>3.</t>
  </si>
  <si>
    <t>שם פרק</t>
  </si>
  <si>
    <t>החברה לפיתוח הרצליה</t>
  </si>
  <si>
    <t>אומדן מקורות המימון  באלפי ₪  מפורט להלן -</t>
  </si>
  <si>
    <t>מקור</t>
  </si>
  <si>
    <t>קרן לעבודות פיתוח</t>
  </si>
  <si>
    <t>סה"כ משרדי ממשלה ואחרים</t>
  </si>
  <si>
    <t>סעיף מימון משרדי ממשלה ואחרים מפורט בטבלה להלן – באלפי ₪ (*)</t>
  </si>
  <si>
    <t>משרד התחבורה</t>
  </si>
  <si>
    <t>משרד החינוך</t>
  </si>
  <si>
    <t>משרד הבינוי והשיכון</t>
  </si>
  <si>
    <t>רשות מינהל מקרקעי ישראל</t>
  </si>
  <si>
    <t>מפעל הפייס</t>
  </si>
  <si>
    <t>הכנסות בעד עבודות</t>
  </si>
  <si>
    <t>(*)</t>
  </si>
  <si>
    <t xml:space="preserve"> תקצוב הפרויקטים נשוא מימון משרדי ממשלה ואחרים כמפורט לעיל מותנה בקבלת מסמך </t>
  </si>
  <si>
    <t>התחייבות כספית חתום על ידי מורשי חתימה של הגורם המממן.</t>
  </si>
  <si>
    <t>פרויקטים בביצוע החברה לפיתוח</t>
  </si>
  <si>
    <t xml:space="preserve">בהתאם לתוספת להסכם מסגרת לביצוע פרויקטים הנדסיים בין העירייה לחברה לפיתוח הרצליה </t>
  </si>
  <si>
    <t xml:space="preserve">מיום 10.4.2005, יש לאשר במועצת העיר את ביצוע הפרויקטים  שהיקפם עולה על ערך הסף.  </t>
  </si>
  <si>
    <t>מקורות מימון אחרים - פרוט</t>
  </si>
  <si>
    <t>אגף/מחלקה</t>
  </si>
  <si>
    <t>המשרד להגנת הסביבה</t>
  </si>
  <si>
    <t xml:space="preserve">הכנסות בעד עבודות </t>
  </si>
  <si>
    <t xml:space="preserve">החברה לפיתוח הרצליה </t>
  </si>
  <si>
    <t>רשות  מקרקעי ישראל</t>
  </si>
  <si>
    <t>תוכן</t>
  </si>
  <si>
    <t>עמודים</t>
  </si>
  <si>
    <t>ריכוזים ודברי הסבר</t>
  </si>
  <si>
    <t>מימוש תקציב</t>
  </si>
  <si>
    <t>נכסים ציבוריים</t>
  </si>
  <si>
    <t>נכסים</t>
  </si>
  <si>
    <t>תכנון בנין עיר</t>
  </si>
  <si>
    <t>מינהל כללי</t>
  </si>
  <si>
    <t>שרותים עירוניים שונים</t>
  </si>
  <si>
    <t>מבני דת ציבוריים</t>
  </si>
  <si>
    <t>עלויות</t>
  </si>
  <si>
    <t>תקציב</t>
  </si>
  <si>
    <t>ועדת כספים</t>
  </si>
  <si>
    <t>מועצה</t>
  </si>
  <si>
    <t>אומדן כולל לפרויקט
מעודכן</t>
  </si>
  <si>
    <t>אומדן מאושר בתוכנית הפיתוח</t>
  </si>
  <si>
    <t>תוספת אומדן לאישור המועצה מעבר לתוכנית הפיתוח</t>
  </si>
  <si>
    <t>סה"כ החברה לתיירות</t>
  </si>
  <si>
    <t>שיפוץ אולם ספורט היובל</t>
  </si>
  <si>
    <t>קרן ייעודית</t>
  </si>
  <si>
    <t>סמטת ניסנוב</t>
  </si>
  <si>
    <t>ריכוז</t>
  </si>
  <si>
    <t xml:space="preserve">החברה לפיתוח התיירות הרצליה     </t>
  </si>
  <si>
    <t xml:space="preserve">אגף תקשוב ומערכות מידע     </t>
  </si>
  <si>
    <t>מקורות מימון לפרויקטים :</t>
  </si>
  <si>
    <t>מקורות מימון</t>
  </si>
  <si>
    <t>סכום</t>
  </si>
  <si>
    <t>אחוז</t>
  </si>
  <si>
    <t>פרויקט</t>
  </si>
  <si>
    <t xml:space="preserve">מתחם גליל ים </t>
  </si>
  <si>
    <t xml:space="preserve">פרויקטים שונים </t>
  </si>
  <si>
    <t xml:space="preserve">מתוכם העיקריים : </t>
  </si>
  <si>
    <t>אגף חינוך</t>
  </si>
  <si>
    <t>החברה לפיתוח התיירות בהרצליה</t>
  </si>
  <si>
    <t>וסכומי התקציב, הנדרש, אם בכלל, אינם ידועים מראש ותלויים לעיתים בהליכים משפטיים.</t>
  </si>
  <si>
    <t>אגף תקשוב  ומערכות מידע</t>
  </si>
  <si>
    <t>תיכון ראשונים</t>
  </si>
  <si>
    <t>ריכוז לפי פרקים</t>
  </si>
  <si>
    <t>העברה מעודפי תקציב רגיל שנים קודמות</t>
  </si>
  <si>
    <t xml:space="preserve">התקנת מערך שליטה ובקרה מצלמות מוסדות חינוך ומבני ציבור, פריסת תשתיות </t>
  </si>
  <si>
    <t>פרק</t>
  </si>
  <si>
    <t>פרויקטים לביצוע ע"י החברה לפיתוח הרצליה</t>
  </si>
  <si>
    <t>מדידת נכסים בעת ביצוע עב' פיתוח לצורך חיוב הנכסים עפ"י שטחם בפועל.</t>
  </si>
  <si>
    <t>בדיקת תשלומי היטלי פיתוח בגין נכסים בעת ביצוע עב' פיתוח.</t>
  </si>
  <si>
    <t>עלויות כלליות בקשר עם רכישת מקרקעין.</t>
  </si>
  <si>
    <t>פיצויי הפקעה נכס גוש 6524/21,22 פטריאלי.</t>
  </si>
  <si>
    <t>קרן ייעודית מתחם גליל ים</t>
  </si>
  <si>
    <t>תאור הפרויקט</t>
  </si>
  <si>
    <t>סל עבודות ניקוז ברחבי העיר .</t>
  </si>
  <si>
    <t>תב"ע הר' 2394 (לשעבר הר  2159 )</t>
  </si>
  <si>
    <t>חיבור פארק שלב ב' עם שכונת המסילה בגשר הולכי רגל מעל כביש 20.</t>
  </si>
  <si>
    <t>שדרות ה - 93 הבאר</t>
  </si>
  <si>
    <t>נילי - עבודות פיתוח והסדרת תנועה</t>
  </si>
  <si>
    <t>רחוב הפרטיזנים</t>
  </si>
  <si>
    <t>שיכון דרום הר' 2312</t>
  </si>
  <si>
    <t>הר מירון בר כוכבא הר' 2266</t>
  </si>
  <si>
    <t>ביצוע הריסות עפ"י צווים</t>
  </si>
  <si>
    <t>תוכנית מתאר איזור התעסוקה הר/2440</t>
  </si>
  <si>
    <t>שצ"פ דליה רביקוביץ בשכונת אלתרמן (הר/1920)</t>
  </si>
  <si>
    <t>שביל מתחם העצמאות הרב גורן הבנים</t>
  </si>
  <si>
    <t>עבודות פיתוח מערך שבילים בין הרחובות העצמאות הרב גורן ורחוב הבנים.</t>
  </si>
  <si>
    <t>סל עבודות קטנות עפ"י דרישה.</t>
  </si>
  <si>
    <t>סל עבודות תכנון עפ"י דרישה.</t>
  </si>
  <si>
    <t>מתחם קמפוס הרצליה (יד גיורא)</t>
  </si>
  <si>
    <t>החלפת עמודי תאורה באיזור תעשיה</t>
  </si>
  <si>
    <t>גנ"י מרכז ויצמן תמר תאנה</t>
  </si>
  <si>
    <t>עבודות פיתוח בכנ"ס אברהם אבינו</t>
  </si>
  <si>
    <t>בית ספר בן גוריון</t>
  </si>
  <si>
    <t>סינמטק בבנין עיריה חדש</t>
  </si>
  <si>
    <t xml:space="preserve">כיתות מעון 5 יום 5 כיתות גן-. 404 גליל ים ב' </t>
  </si>
  <si>
    <t>גן 3 כיתות 402 גליל ים ב'(כולל חניון)</t>
  </si>
  <si>
    <t>בית ספר יסודי 18 כיתות מגרש 304 גלילי ים א'</t>
  </si>
  <si>
    <t>סה"כ פרויקטים מתחם גליל ים</t>
  </si>
  <si>
    <t>שדרוג כבישים מדרכות תשתיות</t>
  </si>
  <si>
    <t>עבודות שיקום לשיפור איכות ומראה המים באגם.</t>
  </si>
  <si>
    <t>שיפוץ מעבדת רובוטיקה בהנדסאים</t>
  </si>
  <si>
    <t>תוספת כיתות /חדרי ספח ברנדיס</t>
  </si>
  <si>
    <t>ספירת מלאי וסימון הרכוש העירוני</t>
  </si>
  <si>
    <t>הצטיידות בר אילן לאחר שיפוץ</t>
  </si>
  <si>
    <t>הצטיידות בי"ס יצחק נבון אלתרמן</t>
  </si>
  <si>
    <t>נגישות אקוסטית מ.החינוך 2017</t>
  </si>
  <si>
    <t>סדנת רובוטיקה בהנדסאים</t>
  </si>
  <si>
    <t>מרחבי למידה</t>
  </si>
  <si>
    <t>עבודות שונות,שיפוצים, ציוד בספריות, מרכזים קהילתיים, מוזיאונים.לפי פרוט.</t>
  </si>
  <si>
    <t>הצטיידות מבנה תרבות מערב העיר</t>
  </si>
  <si>
    <t xml:space="preserve">שיקום שדרוג,הקמה ונגישות גינות ציבוריות </t>
  </si>
  <si>
    <t>ספורטק חידוש מתחם מתקני משחק</t>
  </si>
  <si>
    <t>סקר טבע עירוני</t>
  </si>
  <si>
    <t>תחנת הצלה חוף הכוכבים 2017</t>
  </si>
  <si>
    <t>תשתיות תקשורת אלחוטית וסיבים אופטיים לעיר חכמה במוס"ח וברחבי העיר בהתאם לתוכנית רב שנתית.</t>
  </si>
  <si>
    <t xml:space="preserve">תשתיות פס רחב מוס"ח </t>
  </si>
  <si>
    <t>פיצויי הפקעה הר' 1940 6664/105</t>
  </si>
  <si>
    <t>סה"כ אגף חינוך</t>
  </si>
  <si>
    <t>פיצויי הפקעה בגוש 6525/6 הר/ 1704. טרם שולמו הפיצויים ליתרת בעלי המקרקעין.</t>
  </si>
  <si>
    <t>עלויות בקשר עם תביעה של פינוי נכס גוש 6521 חלק' 21-23, 67-68. משפחת רחמים. טרם הסתיים ההליך המשפטי.</t>
  </si>
  <si>
    <t>פרויקט בניה עצמית בו לעיריה 3 יח"ד בבית מגורים משותף.</t>
  </si>
  <si>
    <t>אגף  נכסים וביטוח</t>
  </si>
  <si>
    <t>אגף ת.נ.ו.ס</t>
  </si>
  <si>
    <t xml:space="preserve">שדרוג המרחב הציבורי באיזור התעשיה </t>
  </si>
  <si>
    <t>עבודות פיתוח ביכנ"ס "אברהם אבינו" בשכונת יד התשעה.</t>
  </si>
  <si>
    <t>מספר פרויקטים</t>
  </si>
  <si>
    <t>סה"כ אגף נכסים וביטוח</t>
  </si>
  <si>
    <t>תוכנית הצטיידות  מיחשוב מוס"ח</t>
  </si>
  <si>
    <t>אגף תקשוב ומע. מידע</t>
  </si>
  <si>
    <t>סה"כ מינהל כללי</t>
  </si>
  <si>
    <t>אגף נכסים וביטוח</t>
  </si>
  <si>
    <t>אגף תקשוב ומערכות מידע</t>
  </si>
  <si>
    <t>פרויקט המושתת על מערכת GIS: שדרוג, הרחבת שרתים,תוספות לאפליקציות חדשות.</t>
  </si>
  <si>
    <t>סל הוצאות בקשר עם תביעות סעיף 197.</t>
  </si>
  <si>
    <t>תב"ע תוכנית שיקום המסילה המתפנה הר '2435</t>
  </si>
  <si>
    <t>פרויקטים דחופים בצ"מ 2019/2020</t>
  </si>
  <si>
    <t>הפרשה לתביעות תלויות בעקבות הנחיית אגף הביקורת של משה"פ במסגרת הדוחות הכספיים.</t>
  </si>
  <si>
    <t>במסגרת סיכום עקרונות בין משרד האוצר לשלטון המקומי  מ - 12.5.2013.</t>
  </si>
  <si>
    <t>טרם הסתיים הליך רישום הנכס ע"ש העיריה בפנקסי הרישום.</t>
  </si>
  <si>
    <t>פיצויי הפקעה בפארק.</t>
  </si>
  <si>
    <t>פיצויי הפקעה בפארק תוכנית הר' 1941.</t>
  </si>
  <si>
    <t>תשלום פיצויי הפקעה בקשר עם תוכנית  הר' 1940 6664/105.</t>
  </si>
  <si>
    <t>הכנת תוכנית לצרכי רישום מתחם מלון דניאל.</t>
  </si>
  <si>
    <t>סה"כ אגף תקשוב ומערכות מידע</t>
  </si>
  <si>
    <t>שדרוג תשתיות אינטרנט במוס"ח.</t>
  </si>
  <si>
    <t>סה"כ מינהל הנדסה</t>
  </si>
  <si>
    <t xml:space="preserve">מינהל  הנדסה </t>
  </si>
  <si>
    <t>מינהל הנדסה</t>
  </si>
  <si>
    <t>סל עבודות פיתוח קטנות מזדמנות הנדרשות במהלך השנה.</t>
  </si>
  <si>
    <t>עלויות אכיפה צווי בית משפט במרינה.</t>
  </si>
  <si>
    <t>סה"כ אגף ת.נ.ו.ס</t>
  </si>
  <si>
    <t>הארכת דרך ירושלים והתחברות אליה</t>
  </si>
  <si>
    <t>צומת הבריגדה היהודית -מנחם בגין- בטיחות</t>
  </si>
  <si>
    <t>תקשורת ברחבי העיר ומוסדות חינוך, תוכנית הצטיידות מיחשוב מוסדות חינוך.</t>
  </si>
  <si>
    <t>תב"ע משולש המנהרה הר' 2350</t>
  </si>
  <si>
    <t>לאור החלטת בימ"ש שהעיריה תבצע שינויים גיאומטרים וקיר.</t>
  </si>
  <si>
    <t>תכנון צומת השרון בר אילן  עקב ריבוי תאונות דרכים עפ"י נתוני הרלב"ד. מימון מ. התחבורה.</t>
  </si>
  <si>
    <t xml:space="preserve">שיפוץ אולם ספורט היובל כולל פיתוח המבואה והמתחם. </t>
  </si>
  <si>
    <t>עבודות פיתוח. מימון רמ"י במסגרת הסכם "הגג".</t>
  </si>
  <si>
    <t>הקמת בריכה ומרכז לאומנויות לחימה</t>
  </si>
  <si>
    <t>פיתוח מתחם מתנ"ס נווה עמל ומגרשי טניס</t>
  </si>
  <si>
    <t>קירוי והצללה מגרשי ספורט עירוניים</t>
  </si>
  <si>
    <t>מימון רמ"י במסגרת הסכם "הגג".</t>
  </si>
  <si>
    <t>פרויקט לווינים - ישראל 70</t>
  </si>
  <si>
    <t>הקמה שיפוץ רצפות פרקט אולמות ספורט</t>
  </si>
  <si>
    <t>עבודות התאמה לתקן חדש מגרשי ספורט</t>
  </si>
  <si>
    <t>עבודות שיפוץ במתקנים במגרשי הספורט בהתאם לדוחות מכון התקנים.</t>
  </si>
  <si>
    <t>פריסת תשתיות תקשורת ברחבי העיר ומוס"ח</t>
  </si>
  <si>
    <t>הקמת אתר עירוני חדש מתקדם , ידידותי ומותאם לכלל הצרכים העירוניים כולל מימשקים לתושבים ומימשקים למערכות התפעוליות . האתר יהיה רספונסיבי  בנוסף מתן מענה לפורטל האירגוני על בסיס אותה תשתית.</t>
  </si>
  <si>
    <t>הכנת תצ"ר רישום זכויות תבע 574א</t>
  </si>
  <si>
    <t>מינהל כללי (61)</t>
  </si>
  <si>
    <t>תכנון ובנין עיר (73)</t>
  </si>
  <si>
    <t>נכסים ציבוריים (74)</t>
  </si>
  <si>
    <t>חופים (747)</t>
  </si>
  <si>
    <t>חינוך (81)</t>
  </si>
  <si>
    <t>מבני דת ציבוריים (85)</t>
  </si>
  <si>
    <t>איכות הסביבה (87)</t>
  </si>
  <si>
    <t>מס' פרק</t>
  </si>
  <si>
    <t>רווחה (84)</t>
  </si>
  <si>
    <t>נכסים (93)</t>
  </si>
  <si>
    <t>תשלומים בלתי רגילים (99)</t>
  </si>
  <si>
    <t>טיפול במרחב ציבורי (848)</t>
  </si>
  <si>
    <t>טיפול במרחב ציבורי</t>
  </si>
  <si>
    <t xml:space="preserve">תרבות הדיור </t>
  </si>
  <si>
    <t xml:space="preserve">ראה פרוט נוסף בעמוד 15 </t>
  </si>
  <si>
    <t xml:space="preserve">אגף נכסים וביטוח </t>
  </si>
  <si>
    <t xml:space="preserve">אגף תקשוב ומערכות מידע </t>
  </si>
  <si>
    <t>תרבות הדיור (764)</t>
  </si>
  <si>
    <t xml:space="preserve">אגף נכסים וביטוח         </t>
  </si>
  <si>
    <t>מרבית הפרויקטים של האגף הינם פיצויי הפקעה. פרויקטים אלו נמשכים זמן רב</t>
  </si>
  <si>
    <t>פיתוח מתחם רזיאל מע' תב"ע 1706</t>
  </si>
  <si>
    <t>אוצר הצמחים ,הראשונים ואבן אודם</t>
  </si>
  <si>
    <t>צומת הרב גורן מוהליבר - בטיחות</t>
  </si>
  <si>
    <t>צומת השרון בר אילן -בטיחות</t>
  </si>
  <si>
    <t>סקר חריגות בניה ברחבי העיר</t>
  </si>
  <si>
    <t>פיתוח רח' צ.ה.ל</t>
  </si>
  <si>
    <r>
      <t>מערכת כבישים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  <charset val="177"/>
      </rPr>
      <t xml:space="preserve">  באזור תעשייה מערבי </t>
    </r>
  </si>
  <si>
    <t>עבודות נגישות לאנשים עם מוגבלויות, מדידות נכסים ובדיקות נכסים לצורך גביית היטלי פיתוח,</t>
  </si>
  <si>
    <t xml:space="preserve">חינוך </t>
  </si>
  <si>
    <t xml:space="preserve">תרבות וספורט </t>
  </si>
  <si>
    <t xml:space="preserve">רווחה </t>
  </si>
  <si>
    <r>
      <t xml:space="preserve">שיפוץ מבני </t>
    </r>
    <r>
      <rPr>
        <sz val="11"/>
        <rFont val="David"/>
        <family val="2"/>
      </rPr>
      <t xml:space="preserve"> תרבות ונוער </t>
    </r>
  </si>
  <si>
    <r>
      <t xml:space="preserve">הקמת פינות מיחזור </t>
    </r>
    <r>
      <rPr>
        <sz val="11"/>
        <rFont val="David"/>
        <family val="2"/>
      </rPr>
      <t>וגזם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  <charset val="177"/>
      </rPr>
      <t xml:space="preserve">ברחבי העיר </t>
    </r>
  </si>
  <si>
    <t>הבקשה/תאור</t>
  </si>
  <si>
    <t>כיכר העוגן השונית</t>
  </si>
  <si>
    <t>הגנה על מצוקי הים</t>
  </si>
  <si>
    <t>רכישת רכבים</t>
  </si>
  <si>
    <t>חידוש ריהוט בי"ס</t>
  </si>
  <si>
    <t>ציוד הצלה ובטיחות 2019</t>
  </si>
  <si>
    <t>סה"כ מצטבר</t>
  </si>
  <si>
    <t>מסגרת ביצוע  עבודות מדרכות לאחר השלמת עבודות בניה כתוצאה מהיתרים.</t>
  </si>
  <si>
    <t>תשלומי פיצויים להפקעות לביצוע שביל אופניים זמני ע"י משרד התחבורה.</t>
  </si>
  <si>
    <t>עיצוב חצר לימודית בי"ס גורדון</t>
  </si>
  <si>
    <t>פיתוח מתחם גליל ים הר' 1985 א'</t>
  </si>
  <si>
    <r>
      <t>פארק גליל ים</t>
    </r>
    <r>
      <rPr>
        <b/>
        <sz val="11"/>
        <rFont val="David"/>
        <family val="2"/>
      </rPr>
      <t xml:space="preserve"> </t>
    </r>
  </si>
  <si>
    <r>
      <t>קיריית החינוך ( מגרש 406)-</t>
    </r>
    <r>
      <rPr>
        <sz val="11"/>
        <rFont val="David"/>
        <family val="2"/>
      </rPr>
      <t>ספריה, מרכז קהילתי</t>
    </r>
    <r>
      <rPr>
        <b/>
        <sz val="11"/>
        <rFont val="David"/>
        <family val="2"/>
      </rPr>
      <t xml:space="preserve"> </t>
    </r>
  </si>
  <si>
    <t>מתחם בזק</t>
  </si>
  <si>
    <t>בית ספר בן צבי</t>
  </si>
  <si>
    <t>מימון מ. החינוך. ממתין לתקבול סופי.</t>
  </si>
  <si>
    <t>עבודות חיפוי חיצוני עפ"י דרישת מינהל הנדסה.</t>
  </si>
  <si>
    <t>הקמת יחידת חילוץ הצטיידות</t>
  </si>
  <si>
    <t xml:space="preserve">עיצוב חדשני של כיתות האם </t>
  </si>
  <si>
    <t>הקמת מרחבי למידה חדשניים בשכבת כיתות ז' בחט"ב רעות הכולל ריהוט ועיצוב פנים.</t>
  </si>
  <si>
    <t>קידום אמנת ברית ערים כתוכנית המשך לתוכנית להפחתת פליטות של פורום ה-15.</t>
  </si>
  <si>
    <r>
      <t>שדרוג</t>
    </r>
    <r>
      <rPr>
        <sz val="11"/>
        <rFont val="David"/>
        <family val="2"/>
        <charset val="177"/>
      </rPr>
      <t xml:space="preserve"> וטיפול המרחב הציבורי</t>
    </r>
  </si>
  <si>
    <t>נטיעת עצים ברחבי העיר לרבות פתיחת ריצוף קיים במדרכה,  והתקנת מגן סביב העץ במקרה הצורך. בהמשך להצעת החוק בנושא הצללת המרחב הציבורי, יאותרו שטחים נוספים לנטיעת עצים ברחבי העיר.</t>
  </si>
  <si>
    <r>
      <t xml:space="preserve">הסדרת שטחי </t>
    </r>
    <r>
      <rPr>
        <sz val="11"/>
        <rFont val="David"/>
        <family val="2"/>
      </rPr>
      <t>מוס"ח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ברחב</t>
    </r>
    <r>
      <rPr>
        <sz val="11"/>
        <rFont val="David"/>
        <family val="2"/>
        <charset val="177"/>
      </rPr>
      <t xml:space="preserve">י העיר </t>
    </r>
  </si>
  <si>
    <t>שדרוג מתחם המשקל העירוני</t>
  </si>
  <si>
    <t>עבודות במתחם המשקל העירוני להסדרת נושא הבטיחות.</t>
  </si>
  <si>
    <t>שדרוג רחוב בן גוריון</t>
  </si>
  <si>
    <t>הקמת סככות המתנה לאוטובוס כולל תשתיות</t>
  </si>
  <si>
    <t>קידום ושימור הטבע העירוני בעיר</t>
  </si>
  <si>
    <r>
      <t>פיתוח חופי רחצה</t>
    </r>
    <r>
      <rPr>
        <strike/>
        <sz val="11"/>
        <rFont val="David"/>
        <family val="2"/>
      </rPr>
      <t/>
    </r>
  </si>
  <si>
    <t xml:space="preserve">מיזמים קהילתיים </t>
  </si>
  <si>
    <t>.</t>
  </si>
  <si>
    <t>פיתוח רח' הארז והחרוב</t>
  </si>
  <si>
    <t>סקר תשתיות קיימות</t>
  </si>
  <si>
    <t>תיקון ליקויים סקר כיבוי אש מוס"ח  ועיריה</t>
  </si>
  <si>
    <t>תוכנת ניהול ותאום תשתיות</t>
  </si>
  <si>
    <t>הקמת ארנה</t>
  </si>
  <si>
    <t xml:space="preserve">פיתוח רחוב גבעת החלומות לרבות עבודות ניקוז ותאורה. עדכון תכנון וביצוע . </t>
  </si>
  <si>
    <r>
      <t xml:space="preserve">מסגרת </t>
    </r>
    <r>
      <rPr>
        <sz val="11"/>
        <rFont val="David"/>
        <family val="2"/>
        <charset val="177"/>
      </rPr>
      <t>עבודות של החלפת עמודי תאורה באיזור התעשיה.</t>
    </r>
  </si>
  <si>
    <r>
      <t>שטח 408 גליל ים ב'</t>
    </r>
    <r>
      <rPr>
        <sz val="11"/>
        <rFont val="David"/>
        <family val="2"/>
      </rPr>
      <t>-גנ"י, בי"ס, ספריה</t>
    </r>
    <r>
      <rPr>
        <b/>
        <sz val="11"/>
        <rFont val="David"/>
        <family val="2"/>
      </rPr>
      <t xml:space="preserve"> </t>
    </r>
  </si>
  <si>
    <t xml:space="preserve">מס' תב"ר </t>
  </si>
  <si>
    <t>שיפוץ חזיתות בתים כולל: פיתוח חצרות, חדרי מדרגות, מעלית (רכוש משותף). בשיתוף האגודה לתרבות הדיור.</t>
  </si>
  <si>
    <t>חינוך לקיימות. קול קורא לשנים 2018-2020. מימון מ. להגנת הסביבה.</t>
  </si>
  <si>
    <t xml:space="preserve">המשך הסדרת שטחי בי"ס ,תוספת הסדרת שטחי גנ"י כולל: עצי הצללה, דשא סינטטי, מערכות השקייה חסכוניות במים והסדרת שטחים מוזנחים. עפ"י תוכנית עבודה שתאושר ע"י הנהלת עיר. </t>
  </si>
  <si>
    <t>התקנת חיבורים חיצוניים לגנרטורים  במבני חינוך וציבור לשימוש בעת הצורך.</t>
  </si>
  <si>
    <t>חסכון,התייע' אנרגטית מוסח/ציבור</t>
  </si>
  <si>
    <t xml:space="preserve">תכנון וביצוע  תוכנית אב לשבילי אופניים </t>
  </si>
  <si>
    <t xml:space="preserve">בניית אתר הנדסי לתשתיות וסנכרון בין עבודות התשתית השונות ברחבי העיר. </t>
  </si>
  <si>
    <t xml:space="preserve">פיתוח והקמת מתנ"סים. </t>
  </si>
  <si>
    <t xml:space="preserve">ב – 10.2.2014 אושר במליאת הכנסת חוק רשויות איתנות על פיו ניתנו לרשויות איתנות המתנהלות </t>
  </si>
  <si>
    <t xml:space="preserve">בהתאם לקריטריונים שנקבעו , הקלות מבחינת האסדרה של משרד הפנים , בין היתר בתחום התקציב. </t>
  </si>
  <si>
    <t>לתקופה של שנת תקציב.</t>
  </si>
  <si>
    <t xml:space="preserve">פיתוח ותשתיות, שיפוץ ובניה , בהיקף תקציבי נכבד המבוצעות במשך תקופה ארוכה ואינם מוגבלים </t>
  </si>
  <si>
    <t>גנ"י דוד השמעוני</t>
  </si>
  <si>
    <t>ליווי פרויקטים פינוי בינוי</t>
  </si>
  <si>
    <t>תכנון שב"צ דן שומרון בי"ס על יסודי</t>
  </si>
  <si>
    <t>תוספת 6 כיתות לימוד בי"ס שז"ר</t>
  </si>
  <si>
    <t>נגישות אקוסטית 2019 מ. החינוך</t>
  </si>
  <si>
    <t>חסכון, התיעלות אנרגטית מוסח/ציבור 2020</t>
  </si>
  <si>
    <t>התקנת חיבורים חיצוניים לגנרטורים מוסח/ציבור</t>
  </si>
  <si>
    <t>תיכון היובל</t>
  </si>
  <si>
    <t>טיפול במפגעי בטיחות במצוק</t>
  </si>
  <si>
    <t>סה"כ החברה לפיתוח</t>
  </si>
  <si>
    <r>
      <t xml:space="preserve">מסמכי מדיניות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ותוכניות אסטרטגיות</t>
    </r>
    <r>
      <rPr>
        <sz val="11"/>
        <rFont val="David"/>
        <family val="2"/>
        <charset val="177"/>
      </rPr>
      <t xml:space="preserve"> להתחדשות עירונית בשכונות</t>
    </r>
    <r>
      <rPr>
        <b/>
        <sz val="11"/>
        <rFont val="David"/>
        <family val="2"/>
      </rPr>
      <t xml:space="preserve"> </t>
    </r>
  </si>
  <si>
    <r>
      <t xml:space="preserve">מעון לאנשים עם מוגבלויות - </t>
    </r>
    <r>
      <rPr>
        <strike/>
        <sz val="11"/>
        <rFont val="David"/>
        <family val="2"/>
      </rPr>
      <t xml:space="preserve"> </t>
    </r>
    <r>
      <rPr>
        <sz val="11"/>
        <rFont val="David"/>
        <family val="2"/>
      </rPr>
      <t>ביד התשעה</t>
    </r>
    <r>
      <rPr>
        <b/>
        <sz val="11"/>
        <rFont val="David"/>
        <family val="2"/>
      </rPr>
      <t xml:space="preserve"> </t>
    </r>
  </si>
  <si>
    <t xml:space="preserve">תיכון היובל </t>
  </si>
  <si>
    <t>חלוקת ההשקעה בתקציב  באלפי ₪ על פי מינהל/אגף/יחידה מפורטת להלן -</t>
  </si>
  <si>
    <t>שם מינהל/אגף/יחידה</t>
  </si>
  <si>
    <t>המשך הצטיידות עפ"י התוכנית המקורית.</t>
  </si>
  <si>
    <t>פינוי דיירים מוגנים גוש 6558 חלקה 151</t>
  </si>
  <si>
    <t>פינוי  2 דיירים מוגנים מרכז מסחרי כצלנסון גוש 6558 חלקה 151.</t>
  </si>
  <si>
    <r>
      <t>הצללות בי"ס וגנ"י</t>
    </r>
    <r>
      <rPr>
        <b/>
        <sz val="11"/>
        <rFont val="David"/>
        <family val="2"/>
        <charset val="177"/>
      </rPr>
      <t xml:space="preserve">  </t>
    </r>
    <r>
      <rPr>
        <sz val="11"/>
        <rFont val="David"/>
        <family val="2"/>
        <charset val="177"/>
      </rPr>
      <t xml:space="preserve">ומתנס"ים </t>
    </r>
  </si>
  <si>
    <t>משטחי בטיחות, מתקני חצר,גינון, דשא סינטטי.</t>
  </si>
  <si>
    <t>בי"ס חלופי בפארק הרצליה</t>
  </si>
  <si>
    <t>השלמת תכנון וביצוע הקמת בי"ס חלופי בפארק.</t>
  </si>
  <si>
    <t xml:space="preserve">מימון מ. החינוך. </t>
  </si>
  <si>
    <t>הקמת מערכות pv מעל גגות מבני ציבור בהרצליה</t>
  </si>
  <si>
    <t>נגישות אקוסטית 2020 מ. החינוך</t>
  </si>
  <si>
    <t>נגישות אקוסטית גנ"י וכיתות בי"ס . מימון מ.החינוך.</t>
  </si>
  <si>
    <t xml:space="preserve"> הקמת מערכת ניטור קולי התראות לפיקוח במסגרת עיר חכמה. הכל בשיתוף פעולה עם מרכז היזמות העירוני. פרויקט השקייה חכמה , מערכת לניהול פדגוגי בניהול אפליקציה ייעודית לגננות , ניהול דאטה בענן, מיזם לחיסכון אנרגיה.</t>
  </si>
  <si>
    <t>שיקום מבנה החינוך הימי במרינה</t>
  </si>
  <si>
    <t>שיקום המבנה גג המבנה, שרותים ועבודות פיתוח.</t>
  </si>
  <si>
    <t xml:space="preserve">הצללת אזורים של מתקני משחקים לנוחות הציבור. נחקק חוק חדש שאושר בוועדת הפנים המחייב את הרשויות להקים הצללות בגני משחקים. </t>
  </si>
  <si>
    <t xml:space="preserve">ביצוע סקר מקיף של כל העצים בעיר ע"י אגרונומים. זאת עפ"י דרישה מ. החקלאות עקב שינויי אקלים והזדקנות העצים במרחב הציבורי. </t>
  </si>
  <si>
    <t>ייסגר עם קבלת תקבולים מ. הגנת הסביבה.</t>
  </si>
  <si>
    <t>ביצוע עבודות לטיפול במפגעי בטיחות במצוק. מימון מ. הפנים.</t>
  </si>
  <si>
    <t>גן יניב - פיתוח והקמת מתקני כושר</t>
  </si>
  <si>
    <t>ציוד הצלה ובטיחות 2020</t>
  </si>
  <si>
    <t>מימון מ. הפנים.</t>
  </si>
  <si>
    <t>עיצוב מרחבי למידה מוס"ח מ.חינוך</t>
  </si>
  <si>
    <t>מימון מ. החינוך.</t>
  </si>
  <si>
    <t>הצטיידות בית ספר חלופי</t>
  </si>
  <si>
    <t>הצטיידות בי"ס דמוקרטי</t>
  </si>
  <si>
    <t xml:space="preserve">עבודות השלמת שצ"פים וגינת כלבים. </t>
  </si>
  <si>
    <t>המשך פיתוח רחוב צ.ה.ל .</t>
  </si>
  <si>
    <t>הסדרת הסמטה  המקשרת בין רח' אליעזר קפלן במזרח לרח' וינגייט  במערב.</t>
  </si>
  <si>
    <t>הקמת מתנ"ס ברחוב המסילה.</t>
  </si>
  <si>
    <r>
      <t>עבודות הקמת אולם ספורט בנגיד  כולל הריסת אולמות ומקלט קיימים.</t>
    </r>
    <r>
      <rPr>
        <b/>
        <sz val="11"/>
        <rFont val="David"/>
        <family val="2"/>
      </rPr>
      <t xml:space="preserve"> </t>
    </r>
  </si>
  <si>
    <t xml:space="preserve">ביצוע שצ"פ בקטע רח' דליה רביקוביץ פינת אסתר רהב. </t>
  </si>
  <si>
    <t>המשך תכנון ראשוני הקמת ארנה באיזור האיצטדיון.</t>
  </si>
  <si>
    <t>ליווי פרויקטים של פינוי בינוי הכולל הכנת אומדנים ומפרטים ופיקוח על היתרים וביצוע בפועל.</t>
  </si>
  <si>
    <t xml:space="preserve">עבודות פיתוח. מימון רמ"י במסגרת הסכם "הגג". </t>
  </si>
  <si>
    <t>גשר מחבר בין הפארק לבין שבעת הכוכבים.</t>
  </si>
  <si>
    <t>מתחם בי"ס הנדיב</t>
  </si>
  <si>
    <t>בי"ס דמוקרטי</t>
  </si>
  <si>
    <t>חט"ב באלתרמן</t>
  </si>
  <si>
    <t>מקווה גליל ים</t>
  </si>
  <si>
    <t>בית ספר ברנר (תוספת 6 כיתות)</t>
  </si>
  <si>
    <t>ליווי תוכנית הקו הירוק , קו המטרו , מהיר לעיר ואחרים המבוצעים ע"י מ. התחבורה. יועצי תנועה, מפקחים, יועצי בטיחות.</t>
  </si>
  <si>
    <t>פיתוח סימטה שהפכה לדרך במסגרת תב"ע 2029 בנווה עמל. העבודות כוללות החלפת תשתיות תת קרקעיות,הריסת מבנה והתחברות לרח' כצלנסון.</t>
  </si>
  <si>
    <t xml:space="preserve">הכנת חוו"ד תכנונית והערכות להתנגדות לתוכנית שמקדם מינהל התכנון והועדה המחוזית לכל צפון הרצליה ללא שיתוף העירייה. </t>
  </si>
  <si>
    <t xml:space="preserve">תכנון פיתוח מתחם "ניצבא" כולל פיתוח רחוב העצמאות מבן גוריון עד קהילת ציון. </t>
  </si>
  <si>
    <t xml:space="preserve">תכנון תב"ע לשכונה חדשה בהרצליה הצעירה. שטח בגודל של כ - 50 דונם , כ - 300 יח"ד. </t>
  </si>
  <si>
    <t>שינוי תוכנית גליל ים א' ב' (=ט')</t>
  </si>
  <si>
    <t xml:space="preserve">שינוי לתוכנית הר' 1985 ב' עקב ריבוי יח"ד והצורך לספק שטחים ציבוריים בגינם. </t>
  </si>
  <si>
    <t xml:space="preserve">תכנון צומת הרב גורן מוהליבר עקב ריבוי תאונות דרכים עפ"י נתוני הרלב"ד. מימון מ. התחבורה. </t>
  </si>
  <si>
    <t>תכנון הסדרת צומת אשל- בזל</t>
  </si>
  <si>
    <t>תכנון צומת אשל בזל . פרויקט בטיחותי. מימון מ. התחבורה.</t>
  </si>
  <si>
    <t>עבודות ניקוז רחוב סוקולוב</t>
  </si>
  <si>
    <t>הפרדה בין מי נגר למערכת ביוב עירונית</t>
  </si>
  <si>
    <t>תוכנית תפעולית במסגרת "מהיר לעיר"</t>
  </si>
  <si>
    <t xml:space="preserve">עבודות ניקוז  רחוב רבינו תם </t>
  </si>
  <si>
    <t xml:space="preserve">תוכנית אב לביופילטרים ברחבי העיר   </t>
  </si>
  <si>
    <t xml:space="preserve">עבודות ניקוז   רחוב הרב גורן </t>
  </si>
  <si>
    <t xml:space="preserve">עבודות ניקוז   רחוב רוחמה ושבטי ישראל </t>
  </si>
  <si>
    <t>פיתוח דרך מזרחית מקבילה לקיבוץ גלויות</t>
  </si>
  <si>
    <t>ליווי תוכניות ארציות</t>
  </si>
  <si>
    <t>פיתוח קיימות סביבה וחדשנות</t>
  </si>
  <si>
    <t>משרד הפנים</t>
  </si>
  <si>
    <t>הלוואות</t>
  </si>
  <si>
    <t>סל תכנון של תב"עות הנדרשות במהלך השנה כולל  תוכניות גגות מרתפים מבנים ציבוריים.</t>
  </si>
  <si>
    <t xml:space="preserve">הכנת תוכנית מתאר כוללנית על מנת לאפשר לעיריה לתכנן תוכניות בסמכות וועדה מקומית. </t>
  </si>
  <si>
    <t>תב"ע בשיתוף מועצת כפר שמריהו לתכנון קישוריות שביל אופניים ופארק בתחום המסילה המתפנה ובחינת חיבור תחבורתי נוסף להרצליה ב'.</t>
  </si>
  <si>
    <t>עבודות לאיתור ליקויים עקב כמות עצומה של מי הנגר החודרים למערכת הביוב והגורמים להצפות ועבודות לתיקונם.</t>
  </si>
  <si>
    <t>הצטיידות חדשה: כיתות חדשות בעקבות גידול עפ"י צפי במס' תלמידים ופתיחת כיתות במקום החדש , שיפוץ כיתות קיימות בביצוע אגף תבל. סל מסגרת.</t>
  </si>
  <si>
    <t xml:space="preserve">הצבת מתקני שתייה מקוררים כולל תשתיות ברחבי העיר לרווחת התושבים. </t>
  </si>
  <si>
    <t>ביצוע תשתיות רח' הנשיא מחיבורו לשער הים עד הצומת רח' הפועל התאנה כולל הטמנת רשת חשמל.</t>
  </si>
  <si>
    <t>הצטיידות ריהוט ומיחשוב 40 מרחבי למידה כולל 20  כיתות אם . מימון מ. הפיס.</t>
  </si>
  <si>
    <t xml:space="preserve">בניית מרחבי למידה  ב - 14 בי"ס . מימון מ. החינוך. </t>
  </si>
  <si>
    <t xml:space="preserve">סל לשדרוג כבישים במקביל לעבודת תאגיד המים ומדרכות ברחבי העיר עפ"י תוכנית עבודה שתאושר ע"י הנהלת העיר. </t>
  </si>
  <si>
    <t>סל להקמת ושדרוג תשתיות כולל עמודי תאורה והתקנת גופי תאורה בטכנולוגיה מתקדמת עפ"י תוכנית רב שנתית. מימון מ. הכלכלה והתעשיה.</t>
  </si>
  <si>
    <t xml:space="preserve">תוספת כיתות וחדרי ספח בקומת המסד בבי"ס ברנדיס. </t>
  </si>
  <si>
    <t xml:space="preserve">ספירת רכוש במוסדות חינוך ויחידות עירוניות וסימון הרכוש העירוני. </t>
  </si>
  <si>
    <t xml:space="preserve">שיקום חזיתות בנין דיור לקשיש ברח' שמאי. שלב א' חזית דרומית בביצוע. </t>
  </si>
  <si>
    <t>הקמת גינות קהילתיות בית ספריות. מימון קרן הועדה החקלאית.</t>
  </si>
  <si>
    <t xml:space="preserve">החלפת מתחם ישן ורעוע עשוי מלוחות עץ נרקבים שעומד שעומד לפני פסילת מכון התקנים. </t>
  </si>
  <si>
    <t>פיתוח מתחם הרחובות אוצר הצמחים, אבן אודם, הראשונים.</t>
  </si>
  <si>
    <t xml:space="preserve">תכנון פיתוח הרחובות הר מירון בר כוכבא בעקבות אישור תוכנית התחדשות עירונית. </t>
  </si>
  <si>
    <t xml:space="preserve">מימון מ. התחבורה. </t>
  </si>
  <si>
    <t xml:space="preserve">הקמת תיכון 30 כיתות בשב"צ דן שומרון גוש 656 חל' 991. </t>
  </si>
  <si>
    <t xml:space="preserve">עדכון שם תב"ר : מסומן (*) </t>
  </si>
  <si>
    <t>מערכת כבישים באיזור תעשיה מערבי</t>
  </si>
  <si>
    <t>סה"כ פרק 73</t>
  </si>
  <si>
    <t>סה"כ פרק 74</t>
  </si>
  <si>
    <t>סה"כ פרק 76</t>
  </si>
  <si>
    <t>סה"כ פרק 747</t>
  </si>
  <si>
    <t>סה"כ פרק 81</t>
  </si>
  <si>
    <t>סה"כ פרק 82</t>
  </si>
  <si>
    <t>סה"כ פרק 84</t>
  </si>
  <si>
    <t>סה"כ פרק 85</t>
  </si>
  <si>
    <t>סה"כ פרק 87</t>
  </si>
  <si>
    <t>סה"כ פרק 93</t>
  </si>
  <si>
    <t>סה"כ פרק 61</t>
  </si>
  <si>
    <t>סה"כ פרק 72</t>
  </si>
  <si>
    <t>סה"כ פרק 848</t>
  </si>
  <si>
    <t>סה"כ פרק 99</t>
  </si>
  <si>
    <t>הקמת חניון "מרינה לי".</t>
  </si>
  <si>
    <t>סל העתקות אור של תוכניות הפרויקטים השונים.</t>
  </si>
  <si>
    <t xml:space="preserve">תוכנית מתארית ומפורטת חלקית לאורך רחוב המנהרה ועד פארק הואדי. התוכנית כוללת מתחם לשימור. יש עתירה לבימ"ש של בעלי קרקע פרטיים. </t>
  </si>
  <si>
    <t>ביצוע סקר חריגות בנייה עפ"י תיקון לחוק הרשויות.</t>
  </si>
  <si>
    <t xml:space="preserve"> ביצוע צווים שיפוטיים וביצוע הריסות במקרים בהם לא בוצעו, ככל שיידרש בהמשך לסקר חריגות הבניה.</t>
  </si>
  <si>
    <t>הקמת תחנות אוטובוס , תחנות קצה ותשתיות בהתאם לצורך, במסגרת התוכנית התפעולית של "מהיר לעיר".</t>
  </si>
  <si>
    <t>הכנת תוכנית אב לביופילטרים ברחבי העיר והקמת 2 ביופילטרים. מתקנים לסינון מים מזוהמים ומניעת בזבוז מי נגר עירוני .</t>
  </si>
  <si>
    <t xml:space="preserve">יועצי סביבה וקיימות בהיבטים תכנוניים. גיבוש מדיניות של תכנון מיטבי של שטחי החוץ בבי"ס. </t>
  </si>
  <si>
    <t>תכנון במסגרת שינוי תב"ע חניונים הר' 1900. חניונים: משכית (תכנון מפורט), גלגלי הפלדה.</t>
  </si>
  <si>
    <t xml:space="preserve">הקמת החניון מתחת לשצ"פ במתחם המרינה לי. </t>
  </si>
  <si>
    <r>
      <t xml:space="preserve">תכנון פיתוח רחוב הפרטיזנים. </t>
    </r>
    <r>
      <rPr>
        <sz val="11"/>
        <rFont val="David"/>
        <family val="2"/>
      </rPr>
      <t xml:space="preserve">מדרכה מזרחית/דרומית, עבודות ניקוז. </t>
    </r>
  </si>
  <si>
    <t xml:space="preserve">עיצוב חצר לימודית בי"ס גורדון. מימון חלקי מ. החינוך. </t>
  </si>
  <si>
    <t>תכנון מקווה במתחם גליל ים.</t>
  </si>
  <si>
    <r>
      <t xml:space="preserve">החלפת מזגנים והחלפת תאורה ללדים במוס"ח. מימון מ. הכלכלה והתעשיה. </t>
    </r>
    <r>
      <rPr>
        <b/>
        <sz val="11"/>
        <rFont val="David"/>
        <family val="2"/>
      </rPr>
      <t xml:space="preserve"> </t>
    </r>
  </si>
  <si>
    <t xml:space="preserve">הצטיידות מעבדה בהנדסאים . </t>
  </si>
  <si>
    <t>מימון מ. הפנים. עבור רכישת 2 סככות נוספות הצללה לחוף הכוכבים.</t>
  </si>
  <si>
    <t>החלפה והוספת ציוד הצלה ובטיחות. מימון מ. הפנים.</t>
  </si>
  <si>
    <t xml:space="preserve">רכישת אופנוע ים כולל זיווד. מימון מ. הפנים. </t>
  </si>
  <si>
    <t xml:space="preserve">החלפה והוספת ציוד הצלה ובטיחות. מימון מ. הפנים. </t>
  </si>
  <si>
    <t xml:space="preserve">קיריית החינוך ( מגרש 406)-ספריה, מרכז קהילתי </t>
  </si>
  <si>
    <t>מענקים ממוסדות שאינם שלטוניים כגון : מפעל הפייס , השתתפויות של תאגידים .</t>
  </si>
  <si>
    <t xml:space="preserve">חלוקת ההשקעה בתקציב  באלפי ₪ על פי פרקים עיקריים מפורטת להלן –  </t>
  </si>
  <si>
    <t>מינהל/אגף/
יחידה</t>
  </si>
  <si>
    <t>ריכוז לפי מינהל/אגפים/יחידות</t>
  </si>
  <si>
    <t>משרד הכלכלה והתעשיה</t>
  </si>
  <si>
    <t>הקמת חניון "מרינה לי"</t>
  </si>
  <si>
    <t>הכשרת סינמטק בבניין העיריה החדש. מימון מ. הפיס.</t>
  </si>
  <si>
    <t xml:space="preserve">תכנון פיתוח מתחם שיכון דרום. תכנון בין רח' בן גוריון-רבי עקיבא-בן יהודה. </t>
  </si>
  <si>
    <t xml:space="preserve">החלפת מערכות צ'לרים באולמות הספורט מימון מ. הכלכלה והתעשיה. </t>
  </si>
  <si>
    <t xml:space="preserve">התקנת מעליות, שרותים ,רמפות בבי"ס עפ"י תוכנית רב שנתית. מימון מ. החינוך. </t>
  </si>
  <si>
    <t>שיפוץ חדר מורים תיכון הנדסאים</t>
  </si>
  <si>
    <t>מיול וזיווד חופים 2020 מ.הפנים</t>
  </si>
  <si>
    <r>
      <t xml:space="preserve">הקמת </t>
    </r>
    <r>
      <rPr>
        <sz val="11"/>
        <rFont val="David"/>
        <family val="2"/>
        <charset val="177"/>
      </rPr>
      <t xml:space="preserve">חניון מרינה לי </t>
    </r>
  </si>
  <si>
    <r>
      <t xml:space="preserve"> </t>
    </r>
    <r>
      <rPr>
        <sz val="11"/>
        <rFont val="David"/>
        <family val="2"/>
      </rPr>
      <t>מרכז מדעים וקהילה</t>
    </r>
    <r>
      <rPr>
        <b/>
        <sz val="11"/>
        <rFont val="David"/>
        <family val="2"/>
      </rPr>
      <t xml:space="preserve"> </t>
    </r>
  </si>
  <si>
    <r>
      <t xml:space="preserve">הקמת </t>
    </r>
    <r>
      <rPr>
        <sz val="11"/>
        <rFont val="David"/>
        <family val="2"/>
        <charset val="177"/>
      </rPr>
      <t xml:space="preserve">מתנ"ס רחוב המסילה </t>
    </r>
  </si>
  <si>
    <r>
      <t xml:space="preserve">הקמת אולם ספורט הנגיד </t>
    </r>
    <r>
      <rPr>
        <b/>
        <sz val="11"/>
        <rFont val="David"/>
        <family val="2"/>
      </rPr>
      <t/>
    </r>
  </si>
  <si>
    <r>
      <t>בי"ס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  <charset val="177"/>
      </rPr>
      <t xml:space="preserve">ואולם ספורט ויצמן  </t>
    </r>
    <r>
      <rPr>
        <strike/>
        <sz val="11"/>
        <rFont val="David"/>
        <family val="2"/>
      </rPr>
      <t/>
    </r>
  </si>
  <si>
    <r>
      <t>שצ"פים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  <charset val="177"/>
      </rPr>
      <t>במתחם הר 1960</t>
    </r>
    <r>
      <rPr>
        <b/>
        <sz val="11"/>
        <rFont val="David"/>
        <family val="2"/>
      </rPr>
      <t xml:space="preserve"> </t>
    </r>
  </si>
  <si>
    <r>
      <t>תוכ. אב רב שנתית שיפוצים מוס"ח</t>
    </r>
    <r>
      <rPr>
        <sz val="11"/>
        <rFont val="David"/>
        <family val="2"/>
      </rPr>
      <t xml:space="preserve"> 2021  ואילך.</t>
    </r>
  </si>
  <si>
    <t>החלפת קו ניקוז רח' שלווה</t>
  </si>
  <si>
    <t>החלפת קו ניקוז רח' בזל</t>
  </si>
  <si>
    <t>נגישות אקוסטית 2021 מ.החינוך</t>
  </si>
  <si>
    <t>הקמת מבנים יבילים חדשים באיצטדיון</t>
  </si>
  <si>
    <t>נגישות אקוסטית 9 כיתות. מימון מ. החינוך.</t>
  </si>
  <si>
    <t xml:space="preserve"> הקמת 3 מבנים יבילים  באיצטדיון כולל תשתיות ופיתוח דרכי גישה.</t>
  </si>
  <si>
    <t>שיפוץ והצטיידות תיכון הנדסאים. מ. החינוך.</t>
  </si>
  <si>
    <r>
      <t>התחדשות עירונית יד  התשעה</t>
    </r>
    <r>
      <rPr>
        <b/>
        <sz val="11"/>
        <rFont val="David"/>
        <family val="2"/>
      </rPr>
      <t xml:space="preserve"> </t>
    </r>
  </si>
  <si>
    <t xml:space="preserve">הליך התנעה לתכנון מתחם לפינוי בינוי למרכז עירוני-עסקי ומגורים ברחוב בן גוריון. </t>
  </si>
  <si>
    <t>תכנית מתאר להתחדשות עירונית</t>
  </si>
  <si>
    <t>שדרוג מובל ניקוז בנעמי שמר</t>
  </si>
  <si>
    <t xml:space="preserve">שצפ הואדי והמנהרה הרומית </t>
  </si>
  <si>
    <t>שצפ שבט מנשה</t>
  </si>
  <si>
    <t>עבודות פיתוח, גינון , השקייה, חשמל ותאורה ברחוב שבט מנשה.</t>
  </si>
  <si>
    <t>גינת צוקרמן</t>
  </si>
  <si>
    <t>עבודות פיתוח, גינון , השקייה, חשמל ותאורה רחוב בר כוכבא.</t>
  </si>
  <si>
    <t>המדרון 15 שצ"פ</t>
  </si>
  <si>
    <t>פיתוח רחוב המדרון. רחוב ללא מוצא.</t>
  </si>
  <si>
    <t>תכנון כולל הרצליה פיתוח</t>
  </si>
  <si>
    <t>בחינת הגדלת זכויות בנייה ובדיקה פרוגרמטית הרצליה פיתוח.</t>
  </si>
  <si>
    <t>מינהל תפעול</t>
  </si>
  <si>
    <t xml:space="preserve">סל לייעוץ וקידום תכנון הנדסי. </t>
  </si>
  <si>
    <t>סל עבודות איטום מקלטים  עפ"י תוכנית ומערכת שליטה והגנה על מיקלטים בעיר.</t>
  </si>
  <si>
    <t>סל לביצוע עבודות פרויקטים קטנים הנדרשים ע"י המינהל מעת לעת.</t>
  </si>
  <si>
    <t>מסגרת עבודות במרחב הציבורי. בביצוע שרותים ציבוריים בבית קינן. לאחר מכן ייסגר.</t>
  </si>
  <si>
    <t>הצטיידות חד פעמית בהקמת  יחידת חילוץ מתנדבים שעברו הכשרה בפיקוד העורף לתפקוד במצבי חרום .</t>
  </si>
  <si>
    <t>שדרוג רחוב וינגייט</t>
  </si>
  <si>
    <t>הקמת קירות תמך ברחבי העיר</t>
  </si>
  <si>
    <t>הגנת מצוקי הים</t>
  </si>
  <si>
    <t>מתיחת פנים בנווה עמל</t>
  </si>
  <si>
    <t>מערכת מבוססת מצלמות לאכיפת חניה ונתצים</t>
  </si>
  <si>
    <t>תוכנית הערכות לשינויי האקלים</t>
  </si>
  <si>
    <t>סל למערכות וצרכי בטחון</t>
  </si>
  <si>
    <t>שדרוג רחוב אלי לנדאו</t>
  </si>
  <si>
    <t>שדרוג רחוב אלי לנדאו כולל: כבישים, מפרצי חנייה, מדרכות, גינון, תאורה, שילוט וריהוט רחוב.</t>
  </si>
  <si>
    <t>רכישת טרקטור לחוף הים</t>
  </si>
  <si>
    <t>רכישת נפת חול לחופי הרחצה</t>
  </si>
  <si>
    <t>רכישת אופנוע ים 2021</t>
  </si>
  <si>
    <t>שדרוג וחידוש רהוט רחוב ברחבי העיר</t>
  </si>
  <si>
    <t>שיפוצי מוס"ח ע"פ סקרים והערכות לפתיחת שנה"ל</t>
  </si>
  <si>
    <t>שדרוג תאורה במגרשי אימונים באיצטדיון</t>
  </si>
  <si>
    <t>בית ליצירה אומנותית - מועדון הנוער</t>
  </si>
  <si>
    <t>הסבת מעון יום בנווה ישראל</t>
  </si>
  <si>
    <t>שיפוץ הקונסרבטוריון יד התשעה</t>
  </si>
  <si>
    <t>עבודות שיקום בטונים ביציע המערבי בעקבות דוח קונסטרוקטור להשמשת האיצטדיון.</t>
  </si>
  <si>
    <t>מס"ד</t>
  </si>
  <si>
    <t>ביצוע רח' רח' משכית, השלמת תכנון וביצוע כניסה נוספת רח' שנקר, תכנון וביצוע רח' שנקר, המנופים,יוחנן הסנדלר ויד חרוצים.</t>
  </si>
  <si>
    <t>עבודות מבנה מועדון פטנג. בספורטק.</t>
  </si>
  <si>
    <t>ביצוע פיתוח ותשתית במתחם "מרינה לי". ביצוע שלב ב'.</t>
  </si>
  <si>
    <r>
      <t xml:space="preserve">בניית 3 גנ"י בנווה עמל. חלקות בבעלות רמ"י. </t>
    </r>
    <r>
      <rPr>
        <sz val="11"/>
        <rFont val="David"/>
        <family val="2"/>
      </rPr>
      <t xml:space="preserve">נדחה עד הכרת מ. החינוך </t>
    </r>
    <r>
      <rPr>
        <sz val="11"/>
        <rFont val="David"/>
        <family val="2"/>
        <charset val="177"/>
      </rPr>
      <t>והסכם חכירה רמ"י.</t>
    </r>
  </si>
  <si>
    <t>סל עבודות לשדרוג במרחב הציבורי קירצוף וריבוד באיזור התעשיה.</t>
  </si>
  <si>
    <r>
      <t>הפיכת תוכנית אסטרטגית  לתוכנית סטטוטורית, לתוכנית מתאר בועדה המחוזית בהתאם ליו"ר הועדה המחוזית.</t>
    </r>
    <r>
      <rPr>
        <sz val="11"/>
        <rFont val="David"/>
        <family val="2"/>
      </rPr>
      <t xml:space="preserve"> </t>
    </r>
  </si>
  <si>
    <t>הריסת מבני ספח והקמת מבנה חדש.תכנון ראשוני בי"ס בן צבי. תוספת 6 כיתות הרחבה ל - 24 כיתות.</t>
  </si>
  <si>
    <t>תכנון וביצוע ניקוז ברחוב סוקולוב בשיתוף עם תאגיד המים. במסגרת תוכ. אב לניקוז.</t>
  </si>
  <si>
    <t>תכנון וביצוע ניקוז ברחוב רבנו תם בשיתוף עם תאגיד המים. במסגרת תוכ. אב לניקוז.</t>
  </si>
  <si>
    <t>תכנון וביצוע ניקוז ברחוב הרב גורן בשיתוף עם תאגיד המים. במסגרת תוכ. אב לניקוז.</t>
  </si>
  <si>
    <t xml:space="preserve">בדיקת היתכנות להקמת בי"ס יסודי 18 כיתות. </t>
  </si>
  <si>
    <t>גנ"י אחד העם</t>
  </si>
  <si>
    <t>גנ"י חנה רובינא</t>
  </si>
  <si>
    <t>מועדון קרמבו ים</t>
  </si>
  <si>
    <t>פרוייקט חינוכי של גנ"י שהוסמכו להיות "גנים ירוקים" .שילוב למידה בטבע ובחורשות מס' ימים בשבוע. עבודות התאמת החורשות לשהיית ילדים : ריהוט גן- ספסלים, אשפתונים ושולחנות פיקניק, ברזיות , פחי מיחזור , תשתית השקייה, נטיעת עצים נוספים וצמחייה לימודית. הסבת חצרות גנ"י (חינוך). מסגרת תקציב.</t>
  </si>
  <si>
    <t>הצטיידות ריהוט ומיחשוב מבנה  בי"ס דמוקרטי בפארק.</t>
  </si>
  <si>
    <t>שיפוץ פינות חי נוף ים</t>
  </si>
  <si>
    <t>שיפוץ ובינוי כולל עיצוב והצטיידות  פינת חי בבי"ס נוף ים.</t>
  </si>
  <si>
    <t>הצטיידות בי"ס יסודי מגרש 406</t>
  </si>
  <si>
    <t>הצטיידות בי"ס יסודי מגרש 408</t>
  </si>
  <si>
    <t>בריכה באפולוניה - הצטיידות</t>
  </si>
  <si>
    <t>ארבע מאוורי תקרה גדולים לבריכה וציוד כושר עבור חדר כושר</t>
  </si>
  <si>
    <t xml:space="preserve">הכנת תב"ע . מימון רמ"י. </t>
  </si>
  <si>
    <t xml:space="preserve">עבודות הנגשה של מרחב ציבורי ומבני ציבור כנדרש עפ"י החוק עפ"י תוכנית רב שנתית. </t>
  </si>
  <si>
    <t>מינהל התפעול</t>
  </si>
  <si>
    <t>פער</t>
  </si>
  <si>
    <t xml:space="preserve">גדר בגובה 4 מ' סביב מגרשי אימונים במתחם האצטדיון מול משרדי תבל . </t>
  </si>
  <si>
    <t>אגף נכסים</t>
  </si>
  <si>
    <t>סה"כ אגף נכסים</t>
  </si>
  <si>
    <t>רחוב אזר ההסתדרות</t>
  </si>
  <si>
    <t>תכנון וביצוע של עבודות שדרוג פנימי של המובל בנעמי שמר להגדלת כושר ההולכה.</t>
  </si>
  <si>
    <t>תכנון קמפוס גני ילדים בחנה רובינא.</t>
  </si>
  <si>
    <t>תכנון 4 גנ"י ומעונות יום במתחם המסילה.</t>
  </si>
  <si>
    <t>תכנון תב"ע מתחם הנופש "אקספורט"</t>
  </si>
  <si>
    <t>תכנון וביצוע הקמת מתקני כושר ופיתוח בשטח הגבול בין גינת הכלבים וחיבור לגן הציבורי בשטח של 1.3 דונם.</t>
  </si>
  <si>
    <t xml:space="preserve">עבודות במרחב הציבורי בשטחים ציבוריים בשכונות השונות ברחבי העיר כולל ריהוט רחוב ופינוי אסבסט עפ"י תוכנית עבודה שתאושר ע"י הנהלת העיר. </t>
  </si>
  <si>
    <t>פרוייקט התאמת חורשות וחצרות גנ"י פרויקט EACH</t>
  </si>
  <si>
    <t xml:space="preserve">הקמת מרכז תרבות עם קונספט אקלימי חדשני בו יהיו גם פעילויות חינוכית, פיתוח עסקי, חברתי ותיירותי בתחום. </t>
  </si>
  <si>
    <t>מוזיאון הרצליה - הרחבה ושיפוץ</t>
  </si>
  <si>
    <t>תוספת קומה כ - 300 מ"ר , עבודות שיפוץ ופיתוח רחבת המוזיאון.</t>
  </si>
  <si>
    <t>מרכז תרבות בנושא האקלים ברחוב בן גוריון</t>
  </si>
  <si>
    <t>הריסה ובניה  חדשה של מועדון צופי ים.</t>
  </si>
  <si>
    <t>תרבות וספורט (82)</t>
  </si>
  <si>
    <t>סה"כ פרק 764</t>
  </si>
  <si>
    <t>סה"כ מינהל תפעול</t>
  </si>
  <si>
    <t>ליווי של יועצים ,מתכננים , אגרונום למגוון תוכניות ארציות (תמ"א,תמ"ל).</t>
  </si>
  <si>
    <t xml:space="preserve">עבודות הרחבת והכשרת חלקות נוספות מס' 3 , 5, בבית העלמין החדש. </t>
  </si>
  <si>
    <t xml:space="preserve"> הקמת מבנה טניס חדש, שיפוץ מבני מתנ"ס קיים קירוי 2 מגרשי טניס ופיתוח סביבתי למתחם .</t>
  </si>
  <si>
    <t>פיתוח רחוב חדש המזרחי ביותר בנווה עמל.  תכנון.</t>
  </si>
  <si>
    <t xml:space="preserve">תכנון וביצוע 2 גנ"י. </t>
  </si>
  <si>
    <t xml:space="preserve">רכישת מיכלי אצירה מפלסטיק ומתכת לפסולת ומיחזור. </t>
  </si>
  <si>
    <t>התקנת מעלית . מימון חלקי של משרד החינוך.</t>
  </si>
  <si>
    <t>עבודות שדרוג ושיקום שטחי הגינון  לצידי הרחוב במקטעים שטרם שודרגו.  (כניסה מרמת השרון).</t>
  </si>
  <si>
    <t>סל עבודות במוס"ח לרבות שיפוצים יסודיים , התאמת מבנים ושדרוג גנ"י .</t>
  </si>
  <si>
    <t>שדרוג שכונת נווה עמל כולל: כבישים, מפרצי חנייה, מדרכות, גינון, תאורה, שילוט וריהוט רחוב.</t>
  </si>
  <si>
    <t xml:space="preserve">רכישת טרקטור "קטן" מתאים לעבודות בחופים חלופה לטרקטור גדול קיים לא יעיל בשימוש. </t>
  </si>
  <si>
    <t>רכישת נפת חול לסינון וניקוי החול בחופי הרחצה לתמיכה בטיפול בארוע זיהום הים בזפת. מימון מ. הגנת הסביבה.</t>
  </si>
  <si>
    <t>פרויקט החלפת ריהוט המותאם למאה ה - 21  בכל ביה"ס. תוכנית רב שנתית.</t>
  </si>
  <si>
    <t>עב' פיתוח דחופות בלתי צפויות, מימוני ביניים, שיתעוררו במהלך השנה ויבוצעו עפ"י החלטות הנהלת העיר. שנים 2019/2020. חן סופיים.</t>
  </si>
  <si>
    <t>ריכוז אגפים</t>
  </si>
  <si>
    <t>76 , 72</t>
  </si>
  <si>
    <t>משרד נייד (רכב)  הכולל : מרכז תקשורת רב ערוצית ,תורן תקשורת טלסקופי,עמדת מחשב,קיר תדרוך,עזרים שונים , בלון תאורה להארה של זירת ארוע ,מיזוג אויר, תאורה,מרכז אנרגיה.</t>
  </si>
  <si>
    <t>שדרוג וטיפול המרחב הציבורי</t>
  </si>
  <si>
    <t>פיתוח חופי רחצה</t>
  </si>
  <si>
    <t>הצטיידות אולמות ספורט, הקמה ושיפוץ רצפות פרקט באולמות הספורט, מתקני ספורט.</t>
  </si>
  <si>
    <t>עבודות עפר,בטיחות וגידור לטיפול במצוקים בחופי הים</t>
  </si>
  <si>
    <t>עבודות של כבישים ותשתיות איזור תעשיה מערבי.</t>
  </si>
  <si>
    <t>תכנון וביצוע מערך שבילי אופניים ברחבי העיר.</t>
  </si>
  <si>
    <t>השקעה במוסדות חינוך ,מבני ציבור ועבודות פיתוח תשתיות במתחם גליל ים.</t>
  </si>
  <si>
    <t xml:space="preserve">השקעות בבניה חדשה כולל שדרוגים של מוסדות חינוך ברחבי העיר. </t>
  </si>
  <si>
    <t>שרותים עירוניים שונים (76,72)</t>
  </si>
  <si>
    <r>
      <t>בחינת התכנות</t>
    </r>
    <r>
      <rPr>
        <sz val="11"/>
        <rFont val="David"/>
        <family val="2"/>
        <charset val="177"/>
      </rPr>
      <t xml:space="preserve"> לגנ"י חדשים</t>
    </r>
    <r>
      <rPr>
        <sz val="11"/>
        <rFont val="David"/>
        <family val="2"/>
      </rPr>
      <t xml:space="preserve"> במתחמים שונים</t>
    </r>
  </si>
  <si>
    <r>
      <t>תכנון וביצוע הקמת 5 כיתות גן במתחם השמעוני.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 xml:space="preserve">מימון מ. החינוך. </t>
    </r>
  </si>
  <si>
    <t>הכנת תוכנית היערכות לשינויי האקלים הכוללת יועצים.</t>
  </si>
  <si>
    <t>התאמת מבנים בפארק לבי"ס דמוקרטי.</t>
  </si>
  <si>
    <t>התקנת מערכות שו"ב מצלמות מוס"ח מבני ציבור</t>
  </si>
  <si>
    <t xml:space="preserve">בדיקת התכנות לבניית גנ"י במתחמים שונים ברחבי העיר בהתאם לצרכים העירוניים מעת לעת. </t>
  </si>
  <si>
    <r>
      <t xml:space="preserve">בניית בי"ס יסודי 18 כיתות , 5 כיתות גן , מועדון תנועת נוער, אולם ספורט בינוני , מגרש ספורט משולב, חניון תתקרקעי 2 מפלסים. </t>
    </r>
    <r>
      <rPr>
        <sz val="11"/>
        <rFont val="David"/>
        <family val="2"/>
      </rPr>
      <t xml:space="preserve"> מימון מ. החינוך בי"ס,גנ"י.</t>
    </r>
  </si>
  <si>
    <t>סל עבודות פיתוח גידור,שדרוג והיערכות לקראת פתיחת עונת הרחצה ובמהלכה. עפ"י תוכנית שתאושר ע"י הנהלת העיר.</t>
  </si>
  <si>
    <t>מערכת מבוססת מצלמות לאכיפת החנייה והנת"צים ברחבי העיר. מימון מ. התחבורה.</t>
  </si>
  <si>
    <t>הקמת תחנות הצלה חוף אכדיה צפון וחוף סידני עלי</t>
  </si>
  <si>
    <t>הפיכת מחסנים למשרדים של הנהלת מטה התפעול , מטה הכספים ואגף הדרכים כולל מע. מולטימדיה למשל"ט במינהל התפעול.</t>
  </si>
  <si>
    <t>נגישות אקוסטית כיתות בי"ס . מימון מ.החינוך.</t>
  </si>
  <si>
    <t>יתרה לביצוע צפוי עד 31.12.2022</t>
  </si>
  <si>
    <t>אומדן לביצוע שנת 2023</t>
  </si>
  <si>
    <t>אומדן לביצוע שנת 2024 ואילך</t>
  </si>
  <si>
    <t>תקציב נוסף נדרש במסגרת תוכנית עבודה 2022</t>
  </si>
  <si>
    <t>תקציב נוסף נדרש מעבר לתוכנית עבודה 2022</t>
  </si>
  <si>
    <t>סה"כ תקציב נוסף נדרש 2022</t>
  </si>
  <si>
    <t>יתרת תקציב פנויה 31.12.2022</t>
  </si>
  <si>
    <t>תקציב נדרש 2023</t>
  </si>
  <si>
    <t>נגישות אקוסטית 2021</t>
  </si>
  <si>
    <t>שדרוג סוקולוב בקטע שבין הנדיב עד פינסקר</t>
  </si>
  <si>
    <t>בניית כיתת חינוך מיוחד</t>
  </si>
  <si>
    <r>
      <t xml:space="preserve">פיתוח </t>
    </r>
    <r>
      <rPr>
        <b/>
        <sz val="11"/>
        <rFont val="David"/>
        <family val="2"/>
      </rPr>
      <t xml:space="preserve">  </t>
    </r>
    <r>
      <rPr>
        <sz val="11"/>
        <rFont val="David"/>
        <family val="2"/>
      </rPr>
      <t xml:space="preserve">פארק רבין </t>
    </r>
  </si>
  <si>
    <r>
      <t xml:space="preserve">אולם ספורט בי"ס יוחנני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ובניית כיתות וגנ"י</t>
    </r>
  </si>
  <si>
    <r>
      <t xml:space="preserve">פרויקטים קטנים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 xml:space="preserve">מינהל התפעול </t>
    </r>
  </si>
  <si>
    <r>
      <t>פיר מעלית ומעלית בנין המועצה הדתית</t>
    </r>
    <r>
      <rPr>
        <b/>
        <sz val="11"/>
        <rFont val="David"/>
        <family val="2"/>
        <charset val="177"/>
      </rPr>
      <t xml:space="preserve">  </t>
    </r>
    <r>
      <rPr>
        <sz val="11"/>
        <rFont val="David"/>
        <family val="2"/>
      </rPr>
      <t>כולל שיפוץ המרפסת ומדרגות</t>
    </r>
  </si>
  <si>
    <r>
      <t xml:space="preserve">בי"ס דמוקרטי- התאמת מבנה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בפארק</t>
    </r>
    <r>
      <rPr>
        <sz val="11"/>
        <rFont val="David"/>
        <family val="2"/>
        <charset val="177"/>
      </rPr>
      <t xml:space="preserve">  </t>
    </r>
    <r>
      <rPr>
        <b/>
        <sz val="11"/>
        <rFont val="David"/>
        <family val="2"/>
      </rPr>
      <t/>
    </r>
  </si>
  <si>
    <r>
      <t>הצטיידות גנ"י ילדים גליל ים מגרשים  406 ,404,302 303,</t>
    </r>
    <r>
      <rPr>
        <sz val="11"/>
        <rFont val="David"/>
        <family val="2"/>
      </rPr>
      <t>408</t>
    </r>
  </si>
  <si>
    <t>פרויקט ממשלתי המתוקצב ע"י המדינה במקביל לרשות. הביצוע העירוני מתעכב עקב הקפאת רמ"י.</t>
  </si>
  <si>
    <t>סל תכנון של תוכניות ופרויקטים, מדידות ותכנון ראשוני.</t>
  </si>
  <si>
    <t>העצמת הזכויות הנוספות לבנינים לצורך הגברת הכדאיות של ביצוע חיזוק מבנים. בדיקת מבנים קיימים להיתכנות תמ"א.</t>
  </si>
  <si>
    <t>הקמת צומת מרמזור- בן גוריון בר אילן</t>
  </si>
  <si>
    <t>תכנון וביצוע רמזור בצומת.</t>
  </si>
  <si>
    <t>ליווי תהליכי שימור בעיר</t>
  </si>
  <si>
    <t>שדרוג שצ"פ ברחוב בארי</t>
  </si>
  <si>
    <t>תכנון וביצוע עבודות פיתוח גינון והשקיה ועבודות חשמל ותאורה. הפיתוח עקב בעיות ניקוז.</t>
  </si>
  <si>
    <t>תיקון תכנית הר 2029 - נווה עמל</t>
  </si>
  <si>
    <t xml:space="preserve">המשך עבודות פיתוח שצ"פ ("מערכות") במתחם אלוני ים הר' 2030 . </t>
  </si>
  <si>
    <t>מתנ"ס קהילתי  בשטח של כ-4000 מ"ר הכולל גלריה מקומית, ספרייה חדשה,  חדרי חוגים, מועדון לגמלאים ובית קפה כולל הצטיידות.</t>
  </si>
  <si>
    <r>
      <t xml:space="preserve">גנ"י נווה עמל ציפורן </t>
    </r>
    <r>
      <rPr>
        <sz val="11"/>
        <rFont val="David"/>
        <family val="2"/>
      </rPr>
      <t xml:space="preserve">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וחמניה</t>
    </r>
  </si>
  <si>
    <t>גנ"י ומעונות יום רח' הזמר העברי מתחם המסילה</t>
  </si>
  <si>
    <r>
      <t xml:space="preserve">ביכנ"ס  </t>
    </r>
    <r>
      <rPr>
        <sz val="11"/>
        <rFont val="David"/>
        <family val="2"/>
      </rPr>
      <t xml:space="preserve">הרצליה הירוקה  </t>
    </r>
    <r>
      <rPr>
        <sz val="11"/>
        <rFont val="David"/>
        <family val="2"/>
        <charset val="177"/>
      </rPr>
      <t xml:space="preserve">באלתרמן </t>
    </r>
  </si>
  <si>
    <t xml:space="preserve">עבודות שדרוג ושיקום -גינון השקייה ופיתוח ברחוב וינגייט - בקטע שבין קדושי השואה ועד כיכר דה שליט. </t>
  </si>
  <si>
    <t>שיפוץ משרדי לב העיר כולל מע"ש</t>
  </si>
  <si>
    <t>מתנס נוף ים</t>
  </si>
  <si>
    <t>שדרוג עמודי תאורה</t>
  </si>
  <si>
    <t>ציוד הצלה ובטיחות 2022</t>
  </si>
  <si>
    <t>החלפת תאורה לתאורת לד באולמות הספורט</t>
  </si>
  <si>
    <t>מינהל חינוך</t>
  </si>
  <si>
    <t>פרויקט שיגור 70 לווינים בשיתוף עם 70 ערים ומועצות עירוניות. מימון מ. המדע. החזר סכום עודף.</t>
  </si>
  <si>
    <t>הצטיידות ריהוט ומיחשוב 40 מרחבי למידה כולל 20  כיתות אם . מומן חלקית מ. הפיס.</t>
  </si>
  <si>
    <t>סה"כ מינהל חינוך</t>
  </si>
  <si>
    <t>המשך חידוש ציפוי מגרשי הספורט: זאב - מגרש תחתון, ויצמן, דור, יד התשעה, תיכון חדש. לפי סדרי עדיפויות.</t>
  </si>
  <si>
    <t>שיקום איצטדיון גורדון</t>
  </si>
  <si>
    <t>הצטיידות מרכז המוסיקה ביד התשעה</t>
  </si>
  <si>
    <t>הצטיידות ריהוט, ציוד נגינה ואביזרי הוראה במרכז המוסיקה לאחר שיפוץ והתאמת מבנה ביד התשעה . ראה תב"ר 20037 מינהל תפעול.</t>
  </si>
  <si>
    <t>אומדן כולל לפרוייקט</t>
  </si>
  <si>
    <t>מערכות מתקדמות לעיר חכמה כולל שו"ב מצלמות , ציוד נלווה ותשתיות מיחשוב.  2023 : צמתים בדרום העיר ,צמתים בתוואי הנדיב ובזבוטינסקי , גינות ציבוריות.</t>
  </si>
  <si>
    <t xml:space="preserve">פרוייקט אבטחת מידע וסייבר </t>
  </si>
  <si>
    <t>סה"כ מיחשוב ומע. מידע</t>
  </si>
  <si>
    <t>טיפול בפסולת אורגנית</t>
  </si>
  <si>
    <t>סה"כ איכות הסביבה</t>
  </si>
  <si>
    <t>הצטיידות 3 מבני גן ו-2 מעונות יום בגליל ים.</t>
  </si>
  <si>
    <t xml:space="preserve">תוספות שינויים ושיפורים שדרוג מערכות הליבה הח.לאוטומציה וציוד חומרה. בהתאם לבקשות מעת לעת. ב - 2023: השדרוג כולל בין היתר,  וואן קליק  , פיתוחים נוספים תהליכים באגף החינוך, מערכות חדשות בגני ילדים דיווחי גננות . </t>
  </si>
  <si>
    <t>רכש חד פעמי לתשתיות מיחשוב הכולל מדפי אחסון, שרתים , להבים  ועוד.</t>
  </si>
  <si>
    <t xml:space="preserve">הקמת תשתיות מחשוב </t>
  </si>
  <si>
    <t>שלב ב' של עבודות שיפוצים יסודיים כולל עבודות הנגשה, פיר מעלית ומעלית.</t>
  </si>
  <si>
    <t>תב"ר מסגרת.  גיבוש תוכנית לאיתור שטחים להקמת גינות כלבים ברחבי העיר בהתאם לבקשות תושבי העיר והקמתן.</t>
  </si>
  <si>
    <t>תוכנית אב לשילוט של כל סוגי השילוט בעיר ,החלפת עמודי שלטים לשלטים מחזירי אור ברחבי העיר  ושילוט במוס"ח.</t>
  </si>
  <si>
    <t>שדרוג תאורה במגרשי האצטדיון-הארת המגרשים בעוצמה טובה יותר החלפה לתאורת לד ,החלפת עמודים בחלק מהמקומות ומערכת בקרה לשליטה מרחוק. מימון מ. הספורט.</t>
  </si>
  <si>
    <t>פעילות חד פעמית בעקבות ממצאי סקר טבע עירוני. הפעילות כוללת: הקמה שיקום תמיכה בבע"ח וצמחיה וליווי אקולוגי לביצוע.</t>
  </si>
  <si>
    <t>עבודות שיפוץ במועדון הנוער (דידה) יוסף נבו 18 הכוללות : תקרות, רצפות, שרותים, שיפוץ בית הקפה, מערכות סאונד, הצטיידויות. מ. הפיס.</t>
  </si>
  <si>
    <t>משרד התרבות והספורט</t>
  </si>
  <si>
    <t>משרד  המדע</t>
  </si>
  <si>
    <t>העברה מתקציב רגיל 2022</t>
  </si>
  <si>
    <t>שנת 2023</t>
  </si>
  <si>
    <t>שנת  2023</t>
  </si>
  <si>
    <r>
      <t>בדיקת התכנות מתחמי פינוי בינוי ותכנון פרויקטים להתחדשות עירונית ופינוי בינוי.</t>
    </r>
    <r>
      <rPr>
        <sz val="11"/>
        <rFont val="David"/>
        <family val="2"/>
      </rPr>
      <t xml:space="preserve"> איחוד עם תב"ר 1674. לווי ובקרת העיריה ליוזמות ותכניות שמקודמות ע"י חברות פרטיות.</t>
    </r>
  </si>
  <si>
    <r>
      <t xml:space="preserve">תכנון מתחם צומת כדורי לפינוי ובינוי.בשלב הנעת התכנון לשלב סטטוטורי. </t>
    </r>
    <r>
      <rPr>
        <sz val="11"/>
        <rFont val="David"/>
        <family val="2"/>
      </rPr>
      <t>מימון מ. הבינוי.</t>
    </r>
  </si>
  <si>
    <t>פיתוח מתחם "בזק" בו ייבנה בניין משרדים שבין היתר יאוכלס אגף הרווחה. כולל הריסת מבנה בזק.</t>
  </si>
  <si>
    <t>תוכנית הצטיידות למיחשוב כל מוס"ח .החלפת מחשבים ראוטרים וציוד מיחשוב. מימון מפעל הפיס.</t>
  </si>
  <si>
    <t>סל הצטיידות מיחשוב היקפי לקידום למידה דיגיטלית מרחוק בבי"ס. ציוד מיחשוב מחודש. מימון מ. החינוך.</t>
  </si>
  <si>
    <t>תקציב מאושר</t>
  </si>
  <si>
    <t>תכנון ביצוע תוכנית אב שבילי אופניים</t>
  </si>
  <si>
    <t>בי"ס בן גוריון</t>
  </si>
  <si>
    <t xml:space="preserve">תוספת. </t>
  </si>
  <si>
    <t>סקר מבנים מסוכנים</t>
  </si>
  <si>
    <t>תב"עות פרויקטים מניבים</t>
  </si>
  <si>
    <t>פיתוח  סופי ברח' זאב במתחם והתחברות כביש סלילה ליהודה הנשיא. לקראת סיום.</t>
  </si>
  <si>
    <t>סל תכנון הכנת תב"עות לשימור אתרים, תיקי תיעוד. השלמת תנאים למתן תוקף. התב"ר לסגירה.</t>
  </si>
  <si>
    <r>
      <t xml:space="preserve">תכנון כולל לסוגיית חיזוק הקשר בין מזרח העיר למערבה באמצעות תוספות של גשרים להולכי רגל ורכב דו גלגלי. </t>
    </r>
    <r>
      <rPr>
        <sz val="11"/>
        <rFont val="David"/>
        <family val="2"/>
      </rPr>
      <t>הגשרים מהווים תנאים לקידום העצמת זכויות באיזור התעסוקה.</t>
    </r>
  </si>
  <si>
    <t>ליווי ותכ' יועץ רמזורים לעדכון מע.בקרת רמזורים בעיר עקב צמתים ורמזורים חדשים.</t>
  </si>
  <si>
    <t xml:space="preserve">תכנון וביצוע צומת הבריגדה היהודית -מנחם בגין עקב ריבוי תאונות דרכים עפ"י נתוני הרלב"ד. </t>
  </si>
  <si>
    <t>פיתוח רחובות הארז והחרוב. תכנון וביצוע. לקראת סיום.</t>
  </si>
  <si>
    <t xml:space="preserve">ראה תבר בניה בחברה לפיתוח הרצליה. </t>
  </si>
  <si>
    <t>שדרוג המרחב הציבורי (בית קינן)</t>
  </si>
  <si>
    <t>התקנת מערכות תאורה led בעיר</t>
  </si>
  <si>
    <t>מימון מ. החינוך.  ביטול הרשאה גן השקמים.</t>
  </si>
  <si>
    <r>
      <t xml:space="preserve">המשך הצטיידות ומיחשוב בי"ס החדש  יצחק נבון כולל בגין </t>
    </r>
    <r>
      <rPr>
        <sz val="11"/>
        <rFont val="David"/>
        <family val="2"/>
      </rPr>
      <t>תוספת 6 כיתות . מימון מ.הפיס.</t>
    </r>
  </si>
  <si>
    <r>
      <t>הצטיידות  גנים חדשים כולל  ח"מ במקביל לבניה ופתיחת גנים במבנים קיימים .</t>
    </r>
    <r>
      <rPr>
        <sz val="11"/>
        <rFont val="David"/>
        <family val="2"/>
      </rPr>
      <t xml:space="preserve"> </t>
    </r>
  </si>
  <si>
    <t xml:space="preserve">הצטיידות בי"ס בר אילן אחרי השיפוץ. </t>
  </si>
  <si>
    <r>
      <t xml:space="preserve">הצטיידות  גנ"י חדשים  כולל  ח"מ במקביל לבניה .  פתיחת גנים במבנים קיימים , כולל שינוי הנובע מייחודיות גנ"י. </t>
    </r>
    <r>
      <rPr>
        <sz val="11"/>
        <rFont val="David"/>
        <family val="2"/>
      </rPr>
      <t>השמעוני, הנדיב , 4 גנ"י עומק, 3 מעונות יום נווה ישראל. מימון מ. החינוך גנ"י השמעוני.</t>
    </r>
  </si>
  <si>
    <r>
      <t>תכנון שיפוץ/הריסה ובניה מחדש של בי"ס. הריסה של 18 כיתות, ובניה של 24 כיתות,6 כיתות  ח"מ.</t>
    </r>
    <r>
      <rPr>
        <sz val="11"/>
        <rFont val="David"/>
        <family val="2"/>
        <charset val="177"/>
      </rPr>
      <t xml:space="preserve"> מימון מ. החינוך תוספת הרשאה.</t>
    </r>
  </si>
  <si>
    <t xml:space="preserve"> כיתות גן (7) . עדכון מימון רמ"י הסטת הרשאות בגין מבני ציבור רשות.</t>
  </si>
  <si>
    <t>בניית 10 כיתות גן .  עדכון מימון רמ"י הסטת הרשאות בגין מבני ציבור רשות.</t>
  </si>
  <si>
    <t xml:space="preserve">תכנון והיערכות להכנת תוכנית סטטוטורית לאישור הועדה המחוזית בעתודת קרקע בין הרחובות יוסף נבו , ז'בוטינסקי ובן ציון מיכאלי. </t>
  </si>
  <si>
    <t>נגישות אקוסטית 2022</t>
  </si>
  <si>
    <t>ביצוע שצ"פים במתחם : מלכי יהודה (האקליפטוס), קורן,דן שומרון,דורי,משה שמיר.</t>
  </si>
  <si>
    <t>הכנת תב"ע . חן סופיים.</t>
  </si>
  <si>
    <t xml:space="preserve">המשך עבודות פיתוח במתחם. פיתוח השצ"פ. </t>
  </si>
  <si>
    <r>
      <t>בניית אולם ספורט חדש בחטיבה. סיום.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לסגירה.</t>
    </r>
  </si>
  <si>
    <r>
      <t>עבודות בניה ופיתוח מרכז מדעיים וקהילה באלתרמן.</t>
    </r>
    <r>
      <rPr>
        <sz val="11"/>
        <rFont val="David"/>
        <family val="2"/>
      </rPr>
      <t xml:space="preserve"> מבנה 5 קומות ופיתוח. </t>
    </r>
  </si>
  <si>
    <t xml:space="preserve">הקמה ושדרוג גינות ציבוריות:פיתוח, תשתיות שבילי גישה, הנגשה, תאורה, מע. השקייה, מתקני משחק, ריהוט גן, מתקני כושר, משטחי גומי וכל העבודות. עפ"י תוכנית עבודה שתאושר ע"י הנהלת העיר. </t>
  </si>
  <si>
    <t>בנוסף, תקציב מינהל הנדסה כולל פרויקטים של  תכנון עיר, תכנון תב"עות , תכנון פרויקטים</t>
  </si>
  <si>
    <t>שיפוץ מפתן ארז , הקמת פינות מיחזור ברחבי העיר , שדרוג מקלטים ציבוריים</t>
  </si>
  <si>
    <t>עדכון מע. מידע הנדסי כתוצאה משינוי ייעודי קרקע עקב החלטות ועדות התכנון.המשך תבר 179.</t>
  </si>
  <si>
    <r>
      <t xml:space="preserve">עבודה סלילה, גינון ותאורה במתחם. 2023: סיום ביצוע שלב א' (דליה רביקוביץ) ותכנון דרך שרות מנחם בגין. </t>
    </r>
    <r>
      <rPr>
        <b/>
        <sz val="11"/>
        <rFont val="David"/>
        <family val="2"/>
      </rPr>
      <t/>
    </r>
  </si>
  <si>
    <t xml:space="preserve">עבודות פיתוח הרחוב. </t>
  </si>
  <si>
    <t>רכישת אופנועי ים</t>
  </si>
  <si>
    <t>עבודות שיפוץ להסדרת יציבות המבנה נכס עירוני במגדל הצוק</t>
  </si>
  <si>
    <t>תכנון ראשוני של כל המתחמים בעיר לבחינת פוטציאל התחדשות. ניתוח והכנת פרוגרמות עד לחלופה מועדפת.</t>
  </si>
  <si>
    <t>סה"כ פרק 760</t>
  </si>
  <si>
    <t>השלמת ביצוע  עבודות סלילה ופיתוח לאחר סיום הבניה ברח' דורי ומשה שמיר.</t>
  </si>
  <si>
    <t xml:space="preserve"> תכנון מתחם חוף התכלת. מימון רמ"י.</t>
  </si>
  <si>
    <t xml:space="preserve">תוכנית המתאר הכוללנית </t>
  </si>
  <si>
    <t xml:space="preserve">עבודות פיתוח במתחם הרחובות והרחבתם.סיום. שינוי מימון רמ"י. </t>
  </si>
  <si>
    <t>הכנת מסמכי מדיניות ותוכניות אסטרטגיה להתחדשות עירונית . פרוייקטים מתוכננים 2023: רח' הרב קוק - ארלוזרוב , רח' בן גוריון.</t>
  </si>
  <si>
    <r>
      <t>הארכת דרך ירושלים  מרחוב סוקולוב עד ליפקין שחק כולל דרך ושביל אופניים , פיתוח רחוב יבנה והנגב . 2023 :</t>
    </r>
    <r>
      <rPr>
        <sz val="11"/>
        <rFont val="David"/>
        <family val="2"/>
      </rPr>
      <t>תכנון. מקטע עד ארלוזרוב.</t>
    </r>
  </si>
  <si>
    <r>
      <rPr>
        <sz val="11"/>
        <rFont val="David"/>
        <family val="2"/>
      </rPr>
      <t>פיתוח הגשר מעל כביש 20 איזור גליל ים</t>
    </r>
    <r>
      <rPr>
        <b/>
        <sz val="11"/>
        <rFont val="David"/>
        <family val="2"/>
      </rPr>
      <t xml:space="preserve">. </t>
    </r>
    <r>
      <rPr>
        <sz val="11"/>
        <rFont val="David"/>
        <family val="2"/>
      </rPr>
      <t xml:space="preserve"> תכנון. </t>
    </r>
  </si>
  <si>
    <r>
      <t xml:space="preserve">בניית בית ספר ברח' משה-12 כתות. </t>
    </r>
    <r>
      <rPr>
        <sz val="11"/>
        <rFont val="David"/>
        <family val="2"/>
      </rPr>
      <t/>
    </r>
  </si>
  <si>
    <t>תכנון ראשוני הקמת מעון לאנשים עם מוגבלויות ברחוב הר סיני שכונת יד התשעה. מימון קרן שלם והמוסד לביטוח לאומי.</t>
  </si>
  <si>
    <t xml:space="preserve">גיבוש תוכנית פעולות לעבודות הגנה על מצוקי חופי הים . המשך תכנון. מימון מ. הפנים. </t>
  </si>
  <si>
    <t>אולם ספורט ותוספת 6 כיתות בי"ס שז"ר. מימון מ. החינוך.</t>
  </si>
  <si>
    <r>
      <t xml:space="preserve">הריסת מבנים קיימים ובניה מתחם חדש:בי"ס יסודי 24 כיתות, 4 כיתות ח"מ, אולם ספורט, מגרש ספורט מוצלל, 4 כיתות גנ"י. </t>
    </r>
    <r>
      <rPr>
        <sz val="11"/>
        <rFont val="David"/>
        <family val="2"/>
      </rPr>
      <t>מימון מ. החינוך.</t>
    </r>
  </si>
  <si>
    <t>תכנון וביצוע של תוספת 6 כיתות ומעבדות בתיכון היובל. קדם מימון מ. החינוך.</t>
  </si>
  <si>
    <r>
      <rPr>
        <sz val="11"/>
        <rFont val="David"/>
        <family val="2"/>
      </rPr>
      <t>תכנון חט"ב חדשה 24 כיתות באלתרמן.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מימון מ. החינוך.</t>
    </r>
  </si>
  <si>
    <t>תכנון וביצוע תוספת 8 כיתות בי"ס ברנר ובניית אולם ספורט.</t>
  </si>
  <si>
    <t xml:space="preserve">החלפת קו ניקוז ברח' שלווה. </t>
  </si>
  <si>
    <t xml:space="preserve">החלפת קו ניקוז ברח' בזל. </t>
  </si>
  <si>
    <t>עבודות פיתוח, גינון והשקייה,  ניקוז ותיעול פיתוח לאזור הואדי כולל שיקום מדרכות ושבילי אופניים בנעמי שמר ועבודות חשמל ותאורה.הפרויקט ברובו במימון נת"ע.</t>
  </si>
  <si>
    <t xml:space="preserve">הקמת תחנות הצלה חדשות בחוף אכדיה צפון ובחוף סדני עלי. </t>
  </si>
  <si>
    <t>ביכנ"ס ומרכז טיפול לגיל הרך מגרש 301.</t>
  </si>
  <si>
    <t>במקביל, תבר הצטיידות בחינוך .</t>
  </si>
  <si>
    <t>מעון לאנשים עם מוגבלויות ביד התשעה</t>
  </si>
  <si>
    <t>הצללות קבועות מעל מגרשי ספורט  עפ"י תוכנית שתאושר ע"י הנהלת העיר.</t>
  </si>
  <si>
    <r>
      <t xml:space="preserve">בנית פיר מעלית חיצוני בעקבות ביקורת של יועץ נגישות וקושי הנדסי לבנות את הפיר בתוך המבנה. מימון מ. הדתות. </t>
    </r>
    <r>
      <rPr>
        <sz val="11"/>
        <rFont val="David"/>
        <family val="2"/>
      </rPr>
      <t>כולל שיפוץ המרפסת והמדרגות.</t>
    </r>
  </si>
  <si>
    <t>סל עבודות שיפוצים שונות במוס"ח לרבות שיפוצים יסודיים והתאמת מבנים גנ"י. ייסגר עם קבלת תקבול מ. החינוך יביל יד גיורא.</t>
  </si>
  <si>
    <t>הקמת פינות מיחזור ברחבי העיר המרכזות מיכלי אצירה לסוגים שונים של פסולת כגון: בקבוקים, זכוכית, נייר, אריזות ועוד. שדרוג מיכלי מיחזור לפי דגם אחיד .</t>
  </si>
  <si>
    <t xml:space="preserve">החלפת מזגנים , החלפת תאורה ללדים  ובקרת מבנים במוס"ח ובמוסדות עירוניים. </t>
  </si>
  <si>
    <t>התקנת תאורה בתחנות אוטובוס ברחבי העיר שהקים מ.התחבורה  וביצוע תשתיות לתחנות אוטובוס שיוצבו ע"י מ. התחבורה.</t>
  </si>
  <si>
    <t>עלויות טיפול בקרקע תחנת הדלק העירונית במתחם אגף תבל.</t>
  </si>
  <si>
    <t xml:space="preserve">נגישות אקוסטית .מימון מ. החינוך. </t>
  </si>
  <si>
    <t xml:space="preserve">הקמת קירות תמך עקב בעיות בטיחות במרחב הציבורי. </t>
  </si>
  <si>
    <t>גנ"י זרובבל גליל ים אגמית. מימון  מ. החינוך.</t>
  </si>
  <si>
    <t>סל למערכות שונות ורכש לצרכי בטחון.</t>
  </si>
  <si>
    <t xml:space="preserve">תקציב מסגרת של עבודות במוס"ח לרבות שיפוצים יסודיים , התאמת מבנים ושדרוג גנ"י על פי תוכנית שתאושר ע"י הנהלת העיר. </t>
  </si>
  <si>
    <t>הקמת מעון יום במתנ"ס נווה ישראל.תוספת קומה והקמת 4 כיתות מעון, פיתוח הצטיידות ומיחשוב.</t>
  </si>
  <si>
    <t>עבודות שיפוץ הקונסבטוריון כ - 1,000 מ"ר ב - 2 קומות בשכונת יד התשעה כולל תקרות אקוסטיות, תאורה, ריצוף, שדרוג השרותים , מערכות חשמל, מיזוג אוויר. מימון מ. הפיס.</t>
  </si>
  <si>
    <t>מסגרת תקציב לעבודות תאורה ברחובות בתאום עם ח,ח עקב הטמנת קווי חשמל.</t>
  </si>
  <si>
    <t>שדרוג ופיתוח רח' סוקולוב.</t>
  </si>
  <si>
    <t>שיפוץ כולל הצטיידות מבנה עירוני בבנין לב העיר למע"ש.</t>
  </si>
  <si>
    <t>הסבת מבנה גנים לכיתות בי"ס ח"מ כולל הצטיידות.</t>
  </si>
  <si>
    <t>הקמת מעונות יום בשכונת יד התשעה כולל הצטיידות.</t>
  </si>
  <si>
    <t>עבודות שיפוץ המתנס הכולל שיפוץ קומה א' וב' , הנגשה , חיפוי חדש חוץ המבנה והצטיידות.</t>
  </si>
  <si>
    <t xml:space="preserve">התקנת מערכות חדשות על תקרת המקלט הכולל מערכת מסנני אויר. </t>
  </si>
  <si>
    <t>שדרוג עמודי תאורה ברחבי העיר עפ"י תוכנית שתאושר ע"י הנהלת העיר.</t>
  </si>
  <si>
    <t>החלפת תאורה ללדים. עפ"י רשימה.</t>
  </si>
  <si>
    <t>התקנת מערכות תאורה לדים ברחבי העיר ע"י תוכנית שתאושר ע"י הנהלת העיר.</t>
  </si>
  <si>
    <t>עבודות שיפוץ במבנה של העיריה (משרדי רשות החופים) לאור מצב המבנה (קורוזיה) והמהווה סכנה .</t>
  </si>
  <si>
    <t xml:space="preserve">רכש פורטינט . </t>
  </si>
  <si>
    <t>עבודות פיתוח ותשתיות ברחבי העיר.</t>
  </si>
  <si>
    <r>
      <t xml:space="preserve">תכנון התחדשות עירונית ביד התשעה במסגרת תוכנית כללית/תוכניות מתחמיות. </t>
    </r>
    <r>
      <rPr>
        <sz val="11"/>
        <rFont val="David"/>
        <family val="2"/>
      </rPr>
      <t>2023: שמאי מלווה ומנהל פרוייקט.</t>
    </r>
  </si>
  <si>
    <t xml:space="preserve">תכנון מתחם מעונות שרה לפינוי ובינוי.התוכנית בשלב סטוטורי מתקדם - בשלב הפקדה. 2023: סיום התוכנית. </t>
  </si>
  <si>
    <t>5-16</t>
  </si>
  <si>
    <t>124 - 116</t>
  </si>
  <si>
    <t xml:space="preserve">פרויקט "עיר חכמה" - המשך התקנת מערכות שליטה ובקרה,מצלמות ופריסת תשתיות בעיר. </t>
  </si>
  <si>
    <t xml:space="preserve">מינהל חינוך </t>
  </si>
  <si>
    <t>תקציבי פיתוח רשות מינהל מקרקעי ישראל</t>
  </si>
  <si>
    <t xml:space="preserve">פינוי בינוי, תוכנית מתאר להתחדשות עירונית.  </t>
  </si>
  <si>
    <t>עדכון מע. מידע הנדסי כתוצאה משינוי ייעודי קרקע עקב החלטות ועדות התכנון. לסגירה. ראה תב"ר חדש מס' 20062.</t>
  </si>
  <si>
    <r>
      <t>תכנון וביצוע שבילי אופנים ברחבי העיר. 2023: תכנון וביצוע אלי לנדאו, ארלוזרוב, הדר , ז'בוטינסקי , שבילים טאקטיים נווה עובד.</t>
    </r>
    <r>
      <rPr>
        <b/>
        <sz val="11"/>
        <rFont val="David"/>
        <family val="2"/>
      </rPr>
      <t xml:space="preserve"> </t>
    </r>
  </si>
  <si>
    <r>
      <t xml:space="preserve">מיחשוב כלל התשתיות הקיימות במרחב הציבורי. ב - </t>
    </r>
    <r>
      <rPr>
        <sz val="11"/>
        <rFont val="David"/>
        <family val="2"/>
      </rPr>
      <t>2023</t>
    </r>
    <r>
      <rPr>
        <sz val="11"/>
        <rFont val="David"/>
        <family val="2"/>
        <charset val="177"/>
      </rPr>
      <t xml:space="preserve"> : ביצוע הסקר.</t>
    </r>
  </si>
  <si>
    <t>לאור אישור תוכנית שימור ל - 70 אתרים , תקציב מסגרת ליועצים ,מתכננים וסקריי שימור.</t>
  </si>
  <si>
    <t>תיקון מסמכי התוכנית לרבות בחינת טיפוסי הבינוי המאושרים.</t>
  </si>
  <si>
    <t>עריכת סקר מבנים מסוכנים הנדרש בהתאם לחוק עזר למבנים מסוכנים.</t>
  </si>
  <si>
    <t xml:space="preserve">השלמת ביצוע פארק דרום, ביצוע והשלמת תכנון פארק רבין צפון. מימון מ. הפיס. </t>
  </si>
  <si>
    <r>
      <t>תוספת קומה והקמת חדרי פעילויות.</t>
    </r>
    <r>
      <rPr>
        <b/>
        <sz val="11"/>
        <rFont val="David"/>
        <family val="2"/>
      </rPr>
      <t xml:space="preserve"> </t>
    </r>
  </si>
  <si>
    <t xml:space="preserve">טיפול בשב"צ וגינת כלבים. </t>
  </si>
  <si>
    <t xml:space="preserve">תוספת מבנה של 6 כיתות    ואולם ספורט חדש בבי"ס ויצמן. </t>
  </si>
  <si>
    <t>תכנון וביצוע ניקוז ברחוב רוחמה ושבטי ישראל בשיתוף עם תאגיד המים. במסגרת תוכ. אב לניקוז.</t>
  </si>
  <si>
    <t xml:space="preserve">הריסת א. ספורט קיים, בנית חדש, בניית 6  כיתות לימוד ובניית 3 גנ"י במקום גן קיים אלה. </t>
  </si>
  <si>
    <t>תכנון תב"עות פרויקטים מניבים.</t>
  </si>
  <si>
    <t>בניית בי"ס יסודי (18) , 24 כיתות חט"ב ותיכון , אולם ספורט בינוני , מגרש ספורט , חניון תתקרקעי 2 מפלסים. מימון מ. החינוך. עדכון מימון רמ"י הסטת הרשאות בגין מבני ציבור רשות.</t>
  </si>
  <si>
    <t xml:space="preserve">בניית 3 כיתות גן , בניית החניון במימון  חברת אפריקה ישראל. </t>
  </si>
  <si>
    <t>סל לשיפוץ בתי כנסת עפ"י תוכנית שתוגש במהלך השנה.</t>
  </si>
  <si>
    <t>סל לשיפוץ כולל מזגנים ובינוי נכסים עירוניים.</t>
  </si>
  <si>
    <t>סל להחלפה ושדרוג מזגנים במוסדות חינוך ועירייה. לסגירה.</t>
  </si>
  <si>
    <t>סל לעבודות הסדרת ליקויים כיבוי אש במוס"ח ובמוסדות עיריה  לפי סקר. 2023 : בית קינן ואולם קשטן.</t>
  </si>
  <si>
    <r>
      <t>החלפת רכבים קיימים ,רכישת תוספת רכבים והתקנת עמדות טעינה עפ"י רשימה שתאושר ע"י הנהלת העיר.</t>
    </r>
    <r>
      <rPr>
        <sz val="11"/>
        <rFont val="David"/>
        <family val="2"/>
      </rPr>
      <t xml:space="preserve"> </t>
    </r>
  </si>
  <si>
    <t>תקציב מסגרת.החלפת ושדרוג ריהוט הרחוב ברחבי העיר עפ"י תוכנית שתאושר ע"י הנהלת העיר.</t>
  </si>
  <si>
    <t>רכישת אופנועי ים.</t>
  </si>
  <si>
    <r>
      <t>הצטיידות  גנים חדשים כולל  ח"מ במקביל לבניה ופתיחת גנים במבנים קיימים .</t>
    </r>
    <r>
      <rPr>
        <sz val="11"/>
        <rFont val="David"/>
        <family val="2"/>
      </rPr>
      <t xml:space="preserve"> לסגירה. ראה תב"ר 20044.</t>
    </r>
  </si>
  <si>
    <t xml:space="preserve">ראה תב"ר בניה בחברה לפיתוח הרצליה. </t>
  </si>
  <si>
    <t>הקמה ושיפוץ רצפות פרקט: חידוש רצפה באולם תיכון חדש , אולם בנווה ישראל , אולם חט"ב בן גוריון , בתיכון ראשונים.</t>
  </si>
  <si>
    <t>שיקום מסלולי ריצה לרבות עבודות תשתית, בורות קפיצה ומעגל הדיפת כדור ברזל, אספקה והתקנת דשא סינטטי, הקמת מחסן, ריצוף .</t>
  </si>
  <si>
    <t>הצטיידות אולמות ספורט  בבי"ס שזר, מגרש 406 חטיבה עליונה במתחם גליל ים, מועדון פטנק בספורטק, ריהוט ומועדון שחמט חדש , ענף ספורט  אתלטיקה קלה.</t>
  </si>
  <si>
    <t>בחינת מדיניות הטיפול בפסולת אורגנית ברחבי העיר:ביצוע פיילוטים להעלאת אחוזי הטיפול בפסולת אורגנית, רכישת אמצעים לביצוע הפיילוט,יועץ מלווה.</t>
  </si>
  <si>
    <t>שיפוץ פנים הדירות של דיירי עמידר במצב סוציו אוקונומי קשה. העבודה מבוצעת ע"י חברת עמידר השתתפות העיריה 50%.</t>
  </si>
  <si>
    <t xml:space="preserve">סל עבודות פרויקטים תחבורתיים עפ"י החלטות וע.תנועה ופניות הציבור:הסדרים בטיחותיים בצמתים ,הסדרי חניה,תכנון תנועתי חדש. </t>
  </si>
  <si>
    <t>יער עירוני וחקלאות קהילתית. הקמת גינות קהילתיות חדשות ושדרוג תשתיות בגינות קיימות. יערות מאכל, חורשות קהילתיות. תוכנית אב לחקלאות עירונית</t>
  </si>
  <si>
    <t>התכנית בשיתוף פעולה עם תאגיד ת.מ.י.ר  להגדלת מספר משקי הבית ברשות המקומית המשתתפים בתהליך איסוף והפרדת פסולת האריזות והשלכתה לפח הכתום . מסגרת התקציב הינה מחצית היקף התוכנית חלקה של העירייה מול סכום זהה  מימון התאגיד.</t>
  </si>
  <si>
    <r>
      <t xml:space="preserve">פרויקט  בניית אודיטוריום ,תוספת 6 כתות ו-2 ממ"דים ,שיפוץ כללי ומעלית כולל איטום גג אולם ספורט. </t>
    </r>
    <r>
      <rPr>
        <sz val="11"/>
        <rFont val="David"/>
        <family val="2"/>
      </rPr>
      <t xml:space="preserve"> מימון מ.החינוך.</t>
    </r>
  </si>
  <si>
    <t>עבודות שונות בפארק בין היתר שיפוץ שרותים מרכזיים , מבני תנוס, חידוש מסלול גומי, תוספות עצים, שילוט ושדרוגים שונים עפ"י תוכנית עבודה שתאושר ע"י הנהלת העיר.</t>
  </si>
  <si>
    <t xml:space="preserve">תביעה פינוי גוש 6521 </t>
  </si>
  <si>
    <t>עלויות בקשר עם תביעה של פינוי נכס גוש 6521 חלק' 21-23, 67-68. טרם הסתיים ההליך המשפטי.</t>
  </si>
  <si>
    <t>שיפוץ בית הספר כולל הכשרת מעבדות קיימות לכיתות לימוד עפ"י תוכנית שתאושר ע"י הנהלת העיר. העבודות כוללת איטום אולם הספורט.</t>
  </si>
  <si>
    <t xml:space="preserve">החברה לפיתוח התיירות </t>
  </si>
  <si>
    <t>ביכנ"ס ע"ש הרב שלמה קוממי זצ"ל ומרכז לטיפול בגיל הרך מגרש 301 גליל ים</t>
  </si>
  <si>
    <t>פתרונות חלופיים לשוברי הגלים</t>
  </si>
  <si>
    <t xml:space="preserve">עב' פיתוח דחופות בלתי צפויות, מימוני ביניים, שיתעוררו במהלך השנה ויבוצעו עפ"י החלטות הנהלת העיר. שנים 2021/2022/2023. </t>
  </si>
  <si>
    <t>תכנון ויישום של פתרונות חלופיים לשוברי הגלים.</t>
  </si>
  <si>
    <t>יתרה לביצוע צפוי עד 31.12.2023</t>
  </si>
  <si>
    <t>אומדן לביצוע שנת 2024</t>
  </si>
  <si>
    <t>אומדן לביצוע שנת 2025 ואילך</t>
  </si>
  <si>
    <t>תקציב נוסף נדרש במסגרת תוכנית עבודה 2023</t>
  </si>
  <si>
    <t>תקציב נוסף נדרש מעבר לתוכנית עבודה 2023</t>
  </si>
  <si>
    <t>סה"כ תקציב נוסף נדרש 2023</t>
  </si>
  <si>
    <t>יתרת תקציב פנויה 31.12.2023</t>
  </si>
  <si>
    <t>תקציב נדרש 2024</t>
  </si>
  <si>
    <t>הקמת מרכזיה IP</t>
  </si>
  <si>
    <r>
      <t xml:space="preserve">הקמת אתר עירוני , פורטל , </t>
    </r>
    <r>
      <rPr>
        <sz val="11"/>
        <rFont val="David"/>
        <family val="2"/>
      </rPr>
      <t>מע. לניהול פניות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 xml:space="preserve">וכרטיס תושב דיגיטלי </t>
    </r>
  </si>
  <si>
    <t>בי"ס קרן אור</t>
  </si>
  <si>
    <t>שב"צ ויצמן</t>
  </si>
  <si>
    <t>פיתוח מתחם גליל ים ג' הר' 1068</t>
  </si>
  <si>
    <t>פיתוח מתחם קרית השחקים תמ"ל  1082</t>
  </si>
  <si>
    <t>עבודות שיפוץ ושדרוג האיצטדיון</t>
  </si>
  <si>
    <t>מערכת מיזוג אוויר תאגיד התרבות</t>
  </si>
  <si>
    <t>פיתוח רחבת בניין העירייה שער העיר</t>
  </si>
  <si>
    <t xml:space="preserve">שיקום חזית מבנה דיור לקשיש </t>
  </si>
  <si>
    <t>נגישות אקוסטית 2023 הנדסאים הרצליה</t>
  </si>
  <si>
    <t>הקמת נישות לכלי אצירה/חומות/גדרות לחצרות</t>
  </si>
  <si>
    <t>עבודות פרוק והחלפת אסבסט</t>
  </si>
  <si>
    <t>עבודות טיפול במערכת מיזוג אוויר בנין העיריה</t>
  </si>
  <si>
    <t>שדרוג תאורה באיצטדיון הרצליה</t>
  </si>
  <si>
    <t>שיקום המבנה המסחרי בנורדאו</t>
  </si>
  <si>
    <t>עבודות התאמה במבנים המיועדים לדיור מורים</t>
  </si>
  <si>
    <t>עבודות תאורה ותשתית נוף ים</t>
  </si>
  <si>
    <t>דמי חכירה רמ"י גוש 6558 חלקה 374</t>
  </si>
  <si>
    <t>מתחם נינג'ה מערב העיר</t>
  </si>
  <si>
    <t xml:space="preserve">עבודות הריסת מבנים ובניה ,עבודות גינון והצטיידות קאונארי הרצליה. </t>
  </si>
  <si>
    <t>תכנון וביצוע קאונטרי הרצליה</t>
  </si>
  <si>
    <t>תכנון נופי ראשוני למתחם רחבת בניין העיריה.</t>
  </si>
  <si>
    <t>תכנון והקמת בי"ס 18 כיתות , מתנ"ס,גנ"י ומעונות יום, אולם ספורט ומגרשי ספורט. תכנון ראשוני.</t>
  </si>
  <si>
    <t>בי"ס קבע "קרן אור" ליד בי"ס "אופק"  עד 10 כיתות. תכנון ראשוני .</t>
  </si>
  <si>
    <t>נגישות אקוסטית כיתות בנעמי שמר ולב טוב. מימון מ. החינוך.</t>
  </si>
  <si>
    <t>נגישות אקוסטית מימון מ. החינוך.</t>
  </si>
  <si>
    <t>הקמת נישות לכלי אצירה לטובת פינוי המדרכות עבור הולכי רגל ויצירת חזית אחידה במרחב הציבורי. בשיתוף האגודה לתרבות הדיור.</t>
  </si>
  <si>
    <t>עבודות החלפת גגות וחלונות אסבסט במבני עיריה.</t>
  </si>
  <si>
    <t>עבודות שיקום ויציבות המבנה מרכז מסחרי נורדאו 1-3.</t>
  </si>
  <si>
    <t>עבודות התאמת מבנים - פישמן 1 ,השרון 23 -עבור מורים.</t>
  </si>
  <si>
    <t>עבודות תאורה ותשתית נוף ים.</t>
  </si>
  <si>
    <t>דמי חכירה כלכליים לרמ"י בגין שטח במתחם בית פוסטר.</t>
  </si>
  <si>
    <r>
      <t xml:space="preserve">צפון הרצליה </t>
    </r>
    <r>
      <rPr>
        <sz val="11"/>
        <rFont val="David"/>
        <family val="2"/>
      </rPr>
      <t xml:space="preserve">תמ"ל 3006 </t>
    </r>
  </si>
  <si>
    <r>
      <t xml:space="preserve">מתחם ספורט משותף במתחם אלתרמן </t>
    </r>
    <r>
      <rPr>
        <sz val="11"/>
        <rFont val="David"/>
        <family val="2"/>
      </rPr>
      <t xml:space="preserve">אפולוניה </t>
    </r>
    <r>
      <rPr>
        <b/>
        <sz val="11"/>
        <rFont val="David"/>
        <family val="2"/>
      </rPr>
      <t/>
    </r>
  </si>
  <si>
    <r>
      <t>פרויקטים דחופים בצ"מ 2021/2022/</t>
    </r>
    <r>
      <rPr>
        <sz val="11"/>
        <rFont val="David"/>
        <family val="2"/>
      </rPr>
      <t>2023</t>
    </r>
  </si>
  <si>
    <t>הקמת מערכות סולאריות על גגות אולמות ספורט ומתנ"סים 14 במספר עפ"י רשימה.  מימון הלוואה.</t>
  </si>
  <si>
    <t>הסדרה והתקנת מעליות בית הורים</t>
  </si>
  <si>
    <t>התקנת קירוי קשיח ופוטוואלטי במגרשי ספורט. תיכון דור ותיכון חדש.</t>
  </si>
  <si>
    <t>הכשרת חניון העוגן במרינה לחניון בתשלום. השלמת מע. תקשורת ומצלמות.</t>
  </si>
  <si>
    <t>בי"ס יסודי קרית השחקים הר' 1082</t>
  </si>
  <si>
    <t xml:space="preserve"> </t>
  </si>
  <si>
    <t xml:space="preserve">תכנון וביצוע שבילי אופנים ברחבי העיר. 2024: תכנון וביצוע  ארלוזרוב, הדר , ליפקין שחק הבנים, אבן עזרא. </t>
  </si>
  <si>
    <t>תכנון התחדשות עירונית ביד התשעה במסגרת תוכנית כללית/תוכניות מתחמיות. 2024: שמאי מלווה, שיתופי ציבור והכנת מסמכי הסברה.</t>
  </si>
  <si>
    <t>הכנת מסמכי מדיניות ותוכניות אסטרטגיה להתחדשות עירונית . פרוייקטים מתוכננים 2024: רח' הרב קוק - ארלוזרוב , רח' בן גוריון.</t>
  </si>
  <si>
    <r>
      <t xml:space="preserve">מיחשוב כלל התשתיות הקיימות במרחב הציבורי. ב - </t>
    </r>
    <r>
      <rPr>
        <sz val="11"/>
        <rFont val="David"/>
        <family val="2"/>
      </rPr>
      <t>2024</t>
    </r>
    <r>
      <rPr>
        <sz val="11"/>
        <rFont val="David"/>
        <family val="2"/>
        <charset val="177"/>
      </rPr>
      <t xml:space="preserve"> : ביצוע הסקר.</t>
    </r>
  </si>
  <si>
    <t xml:space="preserve">עבודות פיתוח הרחובות. </t>
  </si>
  <si>
    <t>כיכר אלי לנדאו ניל"י</t>
  </si>
  <si>
    <t>מובל ניקוז בר כוכבא</t>
  </si>
  <si>
    <t>רחוב פנקס</t>
  </si>
  <si>
    <t>סקר מבני ציבור וחינוך לעמידות רעידות אדמה</t>
  </si>
  <si>
    <t>תברים שנסגרו</t>
  </si>
  <si>
    <t>תברים לחל"פ</t>
  </si>
  <si>
    <t>עבודות שונות בפארק בין היתר שיפוץ שרותים מרכזיים , מתקני משחק וברזיות ,חידוש מסלול גומי, תוספות עצים  ושדרוגים שונים עפ"י תוכנית עבודה שתאושר ע"י הנהלת העיר.</t>
  </si>
  <si>
    <t>הקמת יחידת חילוץ - הצטיידות</t>
  </si>
  <si>
    <t>עבודות שדרוג מדרכות , חשמל ושיקום שטחי הגינון  לצידי הרחוב במקטעים שטרם שודרגו.  (כניסה מרמת השרון).</t>
  </si>
  <si>
    <t xml:space="preserve">שיפוץ בית הספר כולל הכשרת מעבדות קיימות לכיתות לימוד עפ"י תוכנית שתאושר ע"י הנהלת העיר. </t>
  </si>
  <si>
    <t>בית ליצירה אומנותית - מועדון הנוער (דידה)</t>
  </si>
  <si>
    <t xml:space="preserve">שדרוג סוקולוב </t>
  </si>
  <si>
    <t>שדרוג תאורה בהרצליה הצעירה</t>
  </si>
  <si>
    <t>עבודות תאורה בהרצליה הצעירה- בילו גורדון ורבורג וברנר</t>
  </si>
  <si>
    <t>שדרוג מערב העיר ואזור התעסוקה</t>
  </si>
  <si>
    <t xml:space="preserve">שילוט חופי רחצה </t>
  </si>
  <si>
    <t>טרקטרון 2 פיקוח והצלה</t>
  </si>
  <si>
    <t>אגף ספורט</t>
  </si>
  <si>
    <t>בשנת 2023 בוצע גדר בצד מזרחי של מגרשי המשק, מבקשים להשלים את שלושת הצדדים הנותרים. הגדר הקיימת במצב בטיחותי לא טוב עקב קורוזיה וגיל</t>
  </si>
  <si>
    <t>שלב ג - שיקום טריבונות, הקמת מתחם פעילות בחורשת אקליפטוסים במתחם, פתרון אחסון לציוד הכיתה לאתלטיקה קלה, תאורה עבור מסלול הריצה</t>
  </si>
  <si>
    <t>החלפת דשא טבעי+מלאכותי במגרשי אימונים באצטדיון</t>
  </si>
  <si>
    <t>החלפת שערים באצטדיון ומגרשי אימונים</t>
  </si>
  <si>
    <t>סה"כ אגף ספורט</t>
  </si>
  <si>
    <t>אגף תרבות נוער וקהילה</t>
  </si>
  <si>
    <t>עבודות שונות,שיפוצים, ציוד בספריות, מרכזים קהילתיים, מוזיאונים.לפי פרוט. תב"ר באגף תרבות נוער וקהילה</t>
  </si>
  <si>
    <t>הצטיידות ריהוט, ציוד נגינה ואביזרי הוראה במרכז המוסיקה לאחר שיפוץ והתאמת מבנה ביד התשעה . ראה תב"ר 20037 מינהל תפעול. תב"ר באגף תרבות נוער וקהילה</t>
  </si>
  <si>
    <t>סה"כ אגף תרבות נוער וקהילה</t>
  </si>
  <si>
    <t xml:space="preserve">תוכנית אב לתיירות </t>
  </si>
  <si>
    <t>פיתוח תשתיות לתיירות, ותכנית סטטורית לתיירות.</t>
  </si>
  <si>
    <t>תכנונים כללים ובלתי מתוכננים.</t>
  </si>
  <si>
    <t xml:space="preserve">פרויקט המושתת על מערכת GIS: שדרוג, הרחבת שרתים,תוספות לאפליקציות חדשות. סקר פוטוגרמטרי. </t>
  </si>
  <si>
    <t xml:space="preserve">העברת מרכזיות אנלוגיות לרשת  IP כולל מוקדים ורכש מכשירים. </t>
  </si>
  <si>
    <t xml:space="preserve">פרוייקט עיר מתוחכמת </t>
  </si>
  <si>
    <t>רכישת  משרדים בן גוריון 14</t>
  </si>
  <si>
    <t>רכישת 2 משרדים מהמדינה בן גוריון 14.</t>
  </si>
  <si>
    <t>פרויקטים דחופים בצ"מ 2024/2025</t>
  </si>
  <si>
    <t xml:space="preserve">עב' פיתוח דחופות בלתי צפויות, מימוני ביניים, שיתעוררו במהלך השנה ויבוצעו עפ"י החלטות הנהלת העיר. שנים 2024/2025. </t>
  </si>
  <si>
    <t>חינוך בנושא משבר האקלים</t>
  </si>
  <si>
    <t>אגף ת.נ.ו.ק</t>
  </si>
  <si>
    <t xml:space="preserve">סה"כ החברה לפיתוח התיירות </t>
  </si>
  <si>
    <t>תקציב בלתי רגיל לשנת 2024 בהשקעה של</t>
  </si>
  <si>
    <t xml:space="preserve">לביצוע פרויקטים בשנת 2024 בסכום של  </t>
  </si>
  <si>
    <t>התקציב הבלתי רגיל לשנת 2023</t>
  </si>
  <si>
    <t xml:space="preserve">הצעת התקציב הבלתי רגיל לשנת 2023  אושרה במועצת העיר בחודש דצמבר 2022 . </t>
  </si>
  <si>
    <t>ינואר 2023</t>
  </si>
  <si>
    <t>פברואר 2023</t>
  </si>
  <si>
    <t>מרץ 2023</t>
  </si>
  <si>
    <t>אפריל 2023</t>
  </si>
  <si>
    <t>מאי 2023</t>
  </si>
  <si>
    <t>יוני 2023</t>
  </si>
  <si>
    <t>יולי 2023</t>
  </si>
  <si>
    <t>אוגוסט 2023</t>
  </si>
  <si>
    <t>ספטמבר 2023</t>
  </si>
  <si>
    <t>אוקטובר עד דצמבר 2023</t>
  </si>
  <si>
    <r>
      <t xml:space="preserve">פתוח קטעי רח' דרך ירושלים גולומב </t>
    </r>
    <r>
      <rPr>
        <b/>
        <sz val="11"/>
        <rFont val="David"/>
        <family val="2"/>
      </rPr>
      <t>(*) נסגר  2023</t>
    </r>
  </si>
  <si>
    <t>הקמת חניות והסדרים גיאומטרים ליד מבנה לזכר השואה שיוקם ע"י היזם (ליאור דינור ואחרים). מימון היזם מובטח בערבות. התב"ר לסגירה.</t>
  </si>
  <si>
    <r>
      <t xml:space="preserve">צפון הרצליה </t>
    </r>
    <r>
      <rPr>
        <strike/>
        <sz val="11"/>
        <rFont val="David"/>
        <family val="2"/>
      </rPr>
      <t>הר'</t>
    </r>
    <r>
      <rPr>
        <sz val="11"/>
        <rFont val="David"/>
        <family val="2"/>
        <charset val="177"/>
      </rPr>
      <t xml:space="preserve"> </t>
    </r>
    <r>
      <rPr>
        <strike/>
        <sz val="11"/>
        <rFont val="David"/>
        <family val="2"/>
      </rPr>
      <t xml:space="preserve">2035 </t>
    </r>
    <r>
      <rPr>
        <sz val="11"/>
        <rFont val="David"/>
        <family val="2"/>
        <charset val="177"/>
      </rPr>
      <t xml:space="preserve">
</t>
    </r>
    <r>
      <rPr>
        <b/>
        <sz val="11"/>
        <rFont val="David"/>
        <family val="2"/>
      </rPr>
      <t>תמ"ל 3006 (*</t>
    </r>
    <r>
      <rPr>
        <sz val="11"/>
        <rFont val="David"/>
        <family val="2"/>
        <charset val="177"/>
      </rPr>
      <t xml:space="preserve">) </t>
    </r>
    <r>
      <rPr>
        <b/>
        <sz val="11"/>
        <rFont val="David"/>
        <family val="2"/>
      </rPr>
      <t>עדכון</t>
    </r>
    <r>
      <rPr>
        <sz val="11"/>
        <rFont val="David"/>
        <family val="2"/>
        <charset val="177"/>
      </rPr>
      <t xml:space="preserve"> </t>
    </r>
  </si>
  <si>
    <r>
      <t xml:space="preserve">פיתוח פארק שלב ג' </t>
    </r>
    <r>
      <rPr>
        <b/>
        <sz val="11"/>
        <rFont val="David"/>
        <family val="2"/>
      </rPr>
      <t>(*) נסגר  2023</t>
    </r>
  </si>
  <si>
    <r>
      <t xml:space="preserve"> תכנון חיבוריות בין מזרח למערב </t>
    </r>
    <r>
      <rPr>
        <b/>
        <sz val="11"/>
        <color rgb="FFFF0000"/>
        <rFont val="David"/>
        <family val="2"/>
      </rPr>
      <t>(*) עבר לחכ"ל</t>
    </r>
  </si>
  <si>
    <r>
      <t xml:space="preserve">התחדשות עירונית </t>
    </r>
    <r>
      <rPr>
        <b/>
        <sz val="11"/>
        <rFont val="David"/>
        <family val="2"/>
      </rPr>
      <t>(*) נסגר  2023</t>
    </r>
  </si>
  <si>
    <r>
      <t xml:space="preserve">בדיקת התכנות טרם קביעת ותוך כדי בחינת מתחמי פינוי בינוי. התב"ר לסגירה. </t>
    </r>
    <r>
      <rPr>
        <sz val="11"/>
        <rFont val="David"/>
        <family val="2"/>
      </rPr>
      <t xml:space="preserve">ראה תב"ר 1660. </t>
    </r>
  </si>
  <si>
    <r>
      <t xml:space="preserve">תב"ע קרית השחקים </t>
    </r>
    <r>
      <rPr>
        <b/>
        <sz val="11"/>
        <rFont val="David"/>
        <family val="2"/>
      </rPr>
      <t>(*) נסגר 2022</t>
    </r>
  </si>
  <si>
    <r>
      <t xml:space="preserve">תכנון איזור תעסוקה ושכונת מגורים במשולש התחבורה. מאושר בותמ"ל . 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התב"ר לסגירה.</t>
    </r>
  </si>
  <si>
    <r>
      <t xml:space="preserve">צומת הרב גורן מוהליבר - בטיחות </t>
    </r>
    <r>
      <rPr>
        <b/>
        <sz val="11"/>
        <rFont val="David"/>
        <family val="2"/>
      </rPr>
      <t>(*) נסגר  2023</t>
    </r>
  </si>
  <si>
    <r>
      <t xml:space="preserve">צומת השרון בר אילן -בטיחות </t>
    </r>
    <r>
      <rPr>
        <b/>
        <sz val="11"/>
        <rFont val="David"/>
        <family val="2"/>
      </rPr>
      <t>(*) נסגר  2023</t>
    </r>
  </si>
  <si>
    <r>
      <t xml:space="preserve">תוכנית שבילי אופניים בשצ"פים עירוניים </t>
    </r>
    <r>
      <rPr>
        <b/>
        <sz val="11"/>
        <rFont val="David"/>
        <family val="2"/>
      </rPr>
      <t>(*) נסגר  2023</t>
    </r>
  </si>
  <si>
    <t>הכנת תוכנית לניצול יעיל לשצ"פים ברחבי העיר. התב"ר לסגירה.</t>
  </si>
  <si>
    <r>
      <t>תוכנית אב לביופילטרים ברחבי העיר  </t>
    </r>
    <r>
      <rPr>
        <b/>
        <sz val="11"/>
        <color rgb="FFFF0000"/>
        <rFont val="David"/>
        <family val="2"/>
      </rPr>
      <t xml:space="preserve"> (*) עבר לחכ"ל</t>
    </r>
  </si>
  <si>
    <r>
      <t xml:space="preserve">תכנון תב"ע מתחם הנופש "אקספורט" </t>
    </r>
    <r>
      <rPr>
        <b/>
        <sz val="11"/>
        <color rgb="FFFF0000"/>
        <rFont val="David"/>
        <family val="2"/>
      </rPr>
      <t>(*) עבר לחכ"ל</t>
    </r>
  </si>
  <si>
    <r>
      <t xml:space="preserve">צומת אלתרמן  אסתר ראב ואוריאל אופק </t>
    </r>
    <r>
      <rPr>
        <b/>
        <sz val="11"/>
        <rFont val="David"/>
        <family val="2"/>
      </rPr>
      <t>(*) נסגר  2023</t>
    </r>
  </si>
  <si>
    <t>הסדרת מעבר חצייה להולכי רגל ושינוי גיאומטרי בצומת.</t>
  </si>
  <si>
    <r>
      <t xml:space="preserve">השלמת מבנה העיריה החדש </t>
    </r>
    <r>
      <rPr>
        <b/>
        <sz val="11"/>
        <rFont val="David"/>
        <family val="2"/>
      </rPr>
      <t>(*) נסגר 2023</t>
    </r>
  </si>
  <si>
    <t>בנין העיריה החדש. לסגירה.</t>
  </si>
  <si>
    <r>
      <t>השלמת תכנון עד להיתר לחניון אוטובוסים.</t>
    </r>
    <r>
      <rPr>
        <sz val="11"/>
        <rFont val="David"/>
        <family val="2"/>
      </rPr>
      <t>ח-ן סופיים. יתרת מימון מ. התחבורה.</t>
    </r>
  </si>
  <si>
    <t xml:space="preserve">התקנת קירוי קשיח במגרשי ספורט. </t>
  </si>
  <si>
    <t xml:space="preserve">מבנה קבוצות הנוער  הריסת טריבונות , בניית מלתחות  בניית טריבונה וגג קל. </t>
  </si>
  <si>
    <r>
      <t xml:space="preserve">השקעה בתשתיות והרחבת  חניונים </t>
    </r>
    <r>
      <rPr>
        <b/>
        <sz val="11"/>
        <rFont val="David"/>
        <family val="2"/>
      </rPr>
      <t>(*) נסגר 2022</t>
    </r>
  </si>
  <si>
    <t>השקעה בתשתיות ובמערכות מיכון בחניונים ברחבי העיר. לסגירה.</t>
  </si>
  <si>
    <t>הקמת קמפוס מדעים:בי"ס להנדסאים ותיכון חדש. מימון מ. החינוך. תוספת הרשאה.</t>
  </si>
  <si>
    <t xml:space="preserve">הכשרת חניון העוגן במרינה לחניון בתשלום. </t>
  </si>
  <si>
    <t xml:space="preserve">בניית 6 כיתות גנ"י במתחם ויצמן. </t>
  </si>
  <si>
    <r>
      <t xml:space="preserve">שיפוץ בית הורים  </t>
    </r>
    <r>
      <rPr>
        <b/>
        <sz val="11"/>
        <rFont val="David"/>
        <family val="2"/>
      </rPr>
      <t>(*) נסגר 2022</t>
    </r>
  </si>
  <si>
    <t>עבודות שיפוץ בית ההורים ברחוב אנה פרנק. עבודות שדרוג ושיפוץ כללי. ח-ן סופיים.</t>
  </si>
  <si>
    <r>
      <t xml:space="preserve">הגנה על מצוקי הים </t>
    </r>
    <r>
      <rPr>
        <b/>
        <sz val="11"/>
        <rFont val="David"/>
        <family val="2"/>
      </rPr>
      <t>(*) תוקצב מסגרת 2022</t>
    </r>
  </si>
  <si>
    <r>
      <t xml:space="preserve">גנ"י מתחם זרובבל </t>
    </r>
    <r>
      <rPr>
        <b/>
        <sz val="11"/>
        <rFont val="David"/>
        <family val="2"/>
      </rPr>
      <t>(*) נסגר 2022</t>
    </r>
  </si>
  <si>
    <r>
      <t xml:space="preserve">תכנון וביצוע הקמת 4 כיתות גן במתחם זרובבל. </t>
    </r>
    <r>
      <rPr>
        <sz val="11"/>
        <rFont val="David"/>
        <family val="2"/>
      </rPr>
      <t>לסגירה.</t>
    </r>
  </si>
  <si>
    <r>
      <t xml:space="preserve">שיקום חזית מבנה דיור לקשיש </t>
    </r>
    <r>
      <rPr>
        <b/>
        <sz val="11"/>
        <color rgb="FFFF0000"/>
        <rFont val="David"/>
        <family val="2"/>
      </rPr>
      <t>(*) עבר למינהל תפעול</t>
    </r>
  </si>
  <si>
    <r>
      <t xml:space="preserve">בית כנסת גליל ים </t>
    </r>
    <r>
      <rPr>
        <b/>
        <sz val="11"/>
        <rFont val="David"/>
        <family val="2"/>
      </rPr>
      <t>(*) נסגר 2022</t>
    </r>
  </si>
  <si>
    <t>תכנון ביכנ"ס במתחם גליל ים כולל בניית ביכנ"ס זמני .</t>
  </si>
  <si>
    <t xml:space="preserve">הקמת מערכות סולאריות על גגות אולמות ספורט ומתנ"סים 14 במספר עפ"י רשימה.  </t>
  </si>
  <si>
    <r>
      <t xml:space="preserve">מתחם ספורט משותף במתחם אלתרמן </t>
    </r>
    <r>
      <rPr>
        <b/>
        <sz val="11"/>
        <rFont val="David"/>
        <family val="2"/>
      </rPr>
      <t>אפולוניה</t>
    </r>
    <r>
      <rPr>
        <sz val="11"/>
        <rFont val="David"/>
        <family val="2"/>
        <charset val="177"/>
      </rPr>
      <t xml:space="preserve"> </t>
    </r>
    <r>
      <rPr>
        <b/>
        <sz val="11"/>
        <rFont val="David"/>
        <family val="2"/>
      </rPr>
      <t>(*) עדכון</t>
    </r>
    <r>
      <rPr>
        <sz val="11"/>
        <rFont val="David"/>
        <family val="2"/>
        <charset val="177"/>
      </rPr>
      <t xml:space="preserve"> </t>
    </r>
  </si>
  <si>
    <t xml:space="preserve">מתחם ספורט משותף: אולם ומגרש ספורט לתיכון היובל, אולם ספורט לבי״ס נבון ואולם התעמלות מכשירים. </t>
  </si>
  <si>
    <t>תכנון ביכנ"ס גוש 6526 חלקה 281 באלתרמן בהרצליה הירוקה.</t>
  </si>
  <si>
    <r>
      <t xml:space="preserve">בי"ס יסודי בשטח 304.תכנון. </t>
    </r>
    <r>
      <rPr>
        <b/>
        <sz val="11"/>
        <rFont val="David"/>
        <family val="2"/>
      </rPr>
      <t/>
    </r>
  </si>
  <si>
    <r>
      <t xml:space="preserve">כיתות גן 3 נוספות מגרש 302 גליל ים </t>
    </r>
    <r>
      <rPr>
        <b/>
        <sz val="11"/>
        <rFont val="David"/>
        <family val="2"/>
      </rPr>
      <t>(*) נסגר 2022</t>
    </r>
  </si>
  <si>
    <t xml:space="preserve">כיתות גן (3) נוספות מגרש 302 גליל ים. </t>
  </si>
  <si>
    <t>תוקצב 2022</t>
  </si>
  <si>
    <t>תברים לתבל</t>
  </si>
  <si>
    <r>
      <t xml:space="preserve">החלפת צ'ילרים אולמות ספורט נ. ישראל,סמדר ,נוף ים </t>
    </r>
    <r>
      <rPr>
        <b/>
        <sz val="11"/>
        <rFont val="David"/>
        <family val="2"/>
      </rPr>
      <t>(*) נסגר 2023</t>
    </r>
  </si>
  <si>
    <r>
      <t xml:space="preserve">ציוד הצלה ובטיחות 2018 </t>
    </r>
    <r>
      <rPr>
        <b/>
        <sz val="11"/>
        <rFont val="David"/>
        <family val="2"/>
      </rPr>
      <t>(*) נסגר 2022</t>
    </r>
  </si>
  <si>
    <r>
      <t xml:space="preserve">שילוט חופים 2019 </t>
    </r>
    <r>
      <rPr>
        <b/>
        <sz val="11"/>
        <rFont val="David"/>
        <family val="2"/>
      </rPr>
      <t>(*) נסגר 2022</t>
    </r>
  </si>
  <si>
    <r>
      <t xml:space="preserve">אופנוע ים 2019 </t>
    </r>
    <r>
      <rPr>
        <b/>
        <sz val="11"/>
        <rFont val="David"/>
        <family val="2"/>
      </rPr>
      <t>(*) נסגר 2023</t>
    </r>
  </si>
  <si>
    <r>
      <t xml:space="preserve">שילוט בחופי רחצה 2021 </t>
    </r>
    <r>
      <rPr>
        <b/>
        <sz val="11"/>
        <rFont val="David"/>
        <family val="2"/>
      </rPr>
      <t>(*) נסגר 2023</t>
    </r>
  </si>
  <si>
    <r>
      <t xml:space="preserve">ציוד הצלה ובטיחות 2021 </t>
    </r>
    <r>
      <rPr>
        <b/>
        <sz val="11"/>
        <rFont val="David"/>
        <family val="2"/>
      </rPr>
      <t>(*) נסגר 2023</t>
    </r>
  </si>
  <si>
    <r>
      <t xml:space="preserve">שיקום בטונים יציע מערבי באיצטדיון </t>
    </r>
    <r>
      <rPr>
        <b/>
        <sz val="11"/>
        <rFont val="David"/>
        <family val="2"/>
      </rPr>
      <t>(*) נסגר 2023</t>
    </r>
  </si>
  <si>
    <r>
      <t xml:space="preserve">הכשרת מבנה מוזיאון אלי כהן </t>
    </r>
    <r>
      <rPr>
        <b/>
        <sz val="11"/>
        <rFont val="David"/>
        <family val="2"/>
      </rPr>
      <t>(*) נסגר 2023</t>
    </r>
  </si>
  <si>
    <t>הכשרת המבנה בנדיב 2 למוזיאון אלי כהן. מימון מ.רה"מ.</t>
  </si>
  <si>
    <r>
      <t xml:space="preserve">שדרוג מערך מיזוג אויר בבניין העירייה </t>
    </r>
    <r>
      <rPr>
        <b/>
        <sz val="11"/>
        <rFont val="David"/>
        <family val="2"/>
      </rPr>
      <t>(*) נסגר 2022</t>
    </r>
  </si>
  <si>
    <t>שדרוג מערכות מיזוג האויר בבנין העיריה.</t>
  </si>
  <si>
    <r>
      <t xml:space="preserve">מיול לפיקוח והצלה 2022 </t>
    </r>
    <r>
      <rPr>
        <b/>
        <sz val="11"/>
        <rFont val="David"/>
        <family val="2"/>
      </rPr>
      <t>(*) נסגר 2023</t>
    </r>
  </si>
  <si>
    <t>תואם נתונים תקציב 2024</t>
  </si>
  <si>
    <r>
      <t xml:space="preserve">הצטיידות בר אילן לאחר שיפוץ </t>
    </r>
    <r>
      <rPr>
        <b/>
        <sz val="11"/>
        <rFont val="David"/>
        <family val="2"/>
      </rPr>
      <t>(*) נסגר 2023</t>
    </r>
  </si>
  <si>
    <r>
      <t xml:space="preserve">שיפוץ פינות חי נוף ים </t>
    </r>
    <r>
      <rPr>
        <b/>
        <sz val="11"/>
        <rFont val="David"/>
        <family val="2"/>
      </rPr>
      <t>(*) נסגר 2023</t>
    </r>
  </si>
  <si>
    <t>ספורט</t>
  </si>
  <si>
    <t>תרבות</t>
  </si>
  <si>
    <r>
      <t xml:space="preserve">הצטיידות אולמות ספורט </t>
    </r>
    <r>
      <rPr>
        <strike/>
        <sz val="11"/>
        <rFont val="David"/>
        <family val="2"/>
      </rPr>
      <t xml:space="preserve">הנגיד, מגרש 406,408 </t>
    </r>
    <r>
      <rPr>
        <sz val="11"/>
        <rFont val="David"/>
        <family val="2"/>
      </rPr>
      <t xml:space="preserve">וענפי ספורט חדשים </t>
    </r>
    <r>
      <rPr>
        <b/>
        <sz val="11"/>
        <rFont val="David"/>
        <family val="2"/>
      </rPr>
      <t xml:space="preserve">(*) עדכון </t>
    </r>
  </si>
  <si>
    <r>
      <t xml:space="preserve">הקמת אתר עירוני , פורטל , </t>
    </r>
    <r>
      <rPr>
        <sz val="11"/>
        <rFont val="David"/>
        <family val="2"/>
      </rPr>
      <t>מע. לניהול פניות</t>
    </r>
    <r>
      <rPr>
        <b/>
        <sz val="11"/>
        <rFont val="David"/>
        <family val="2"/>
      </rPr>
      <t xml:space="preserve"> וכרטיס תושב דיגיטלי (*) עדכון</t>
    </r>
  </si>
  <si>
    <r>
      <t xml:space="preserve">ציוד מחשוב היקפי ללמידה מרחוק </t>
    </r>
    <r>
      <rPr>
        <b/>
        <sz val="11"/>
        <rFont val="David"/>
        <family val="2"/>
      </rPr>
      <t>(*) נסגר 2022</t>
    </r>
  </si>
  <si>
    <r>
      <t>פרויקטים דחופים בצ"מ 2021/2022/</t>
    </r>
    <r>
      <rPr>
        <b/>
        <sz val="11"/>
        <rFont val="David"/>
        <family val="2"/>
      </rPr>
      <t>2023 (*) עדכון</t>
    </r>
  </si>
  <si>
    <r>
      <t xml:space="preserve">תוכנית  אב להפחתת זיהום אויר </t>
    </r>
    <r>
      <rPr>
        <b/>
        <sz val="11"/>
        <rFont val="David"/>
        <family val="2"/>
      </rPr>
      <t>(*) נסגר 2023</t>
    </r>
  </si>
  <si>
    <r>
      <t xml:space="preserve">הצעת התקציב הבלתי רגיל לשנת 2023 הסתכמה בסכום של  </t>
    </r>
    <r>
      <rPr>
        <b/>
        <sz val="12"/>
        <color theme="1"/>
        <rFont val="David"/>
        <family val="2"/>
        <charset val="177"/>
      </rPr>
      <t>466,170 אלפי ₪ .</t>
    </r>
  </si>
  <si>
    <t xml:space="preserve">להלן נתוני ביצוע באלפי ₪ של התקציב הבלתי רגיל לשנת 2023 : </t>
  </si>
  <si>
    <t>התקציב הבלתי רגיל לשנת 2023 - ביצוע</t>
  </si>
  <si>
    <t>מימוש תקציב בלתי רגיל במסגרת תוכנית הפיתוח השנתית המעודכנת 2023</t>
  </si>
  <si>
    <t>מקורות מימון - סה"כ מימוש תקציב עד 31.12.2023</t>
  </si>
  <si>
    <t>מקורות מימון - עד 31.12.2023 מימוש תקציב</t>
  </si>
  <si>
    <t>תוכנית פיתוח שנתית 2023 : ריכוז לפי מינהל/אגפים/יחידות</t>
  </si>
  <si>
    <t>תוכנית פיתוח שנתית 2023 : מימוש - החברה לפיתוח הרצליה</t>
  </si>
  <si>
    <t>תוכנית פיתוח שנתית 2023 : מימוש - מינהל תפעול</t>
  </si>
  <si>
    <t>תוכנית פיתוח שנתית 2023 : מימוש - אגף ת.נ.ו.ס</t>
  </si>
  <si>
    <t>תוכנית פיתוח שנתית 2023 : מימוש - החברה לפיתוח התיירות הרצליה</t>
  </si>
  <si>
    <t>תוכנית פיתוח שנתית 2023 : מימוש - אגף תקשוב ומערכות מידע</t>
  </si>
  <si>
    <t>תוכנית פיתוח שנתית 2023 : מימוש - אגף  נכסים וביטוח</t>
  </si>
  <si>
    <t>מימוש עד 31.12.23 מקורות מימון</t>
  </si>
  <si>
    <t>סה"כ ביצוע עד 31.12.2022</t>
  </si>
  <si>
    <t>אומדן לביצוע  2023 מעודכן</t>
  </si>
  <si>
    <t>יתרת תקציב פנויה 31.12.22</t>
  </si>
  <si>
    <t>תקציב מעודכן  נדרש 2023</t>
  </si>
  <si>
    <t>תקציב שאושר לביצוע בתוכנית הפיתוח 2023</t>
  </si>
  <si>
    <t xml:space="preserve">מימוש 2/2023 
 </t>
  </si>
  <si>
    <t xml:space="preserve">מימוש 3/2023 
 </t>
  </si>
  <si>
    <t xml:space="preserve">מימוש 4/2023 
 </t>
  </si>
  <si>
    <t xml:space="preserve">מימוש 5/2023 
 </t>
  </si>
  <si>
    <t xml:space="preserve">מימוש 6/2023 13.6.23
 </t>
  </si>
  <si>
    <t xml:space="preserve">מימוש 6/2023 
15.6.23 </t>
  </si>
  <si>
    <t xml:space="preserve">מימוש 6/2023 
30.6.23 </t>
  </si>
  <si>
    <t xml:space="preserve">מימוש 7/2023 
19.7.23 </t>
  </si>
  <si>
    <t xml:space="preserve">מימוש 8/2023 
</t>
  </si>
  <si>
    <t xml:space="preserve">מימוש עד 31.12.23 
</t>
  </si>
  <si>
    <t>הנדסה</t>
  </si>
  <si>
    <t>3/26.3.23</t>
  </si>
  <si>
    <t>75/19.4.23</t>
  </si>
  <si>
    <t>איחוד תב"ר עם תב"ר 20057. ראה מטה.</t>
  </si>
  <si>
    <t>צומת אלתרמן  אסתר ראב ואוריאל אופק</t>
  </si>
  <si>
    <t>איחוד תב"ר עם תב"ר 1587. ראה לעיל.</t>
  </si>
  <si>
    <t>5/28.5.23</t>
  </si>
  <si>
    <t>77/13.6.23</t>
  </si>
  <si>
    <t>הקטנת תקציב יתרת הרשאה מ. התחבורה 2017 .</t>
  </si>
  <si>
    <t>עדכון תקציב 2023. הקדמה מ - 2024.</t>
  </si>
  <si>
    <t>עדכון תקציב 2023. הקדמה מ - 2024. הרשאה תקציבית חדשה מ. התחבורה וביטול יתרת הרשאה מ - 2018.</t>
  </si>
  <si>
    <t xml:space="preserve">עדכון תקציב 2023 . דחייה ל - 2024. </t>
  </si>
  <si>
    <t xml:space="preserve">עדכון אומדן ותקציב 2023. </t>
  </si>
  <si>
    <t>6/18.6.23</t>
  </si>
  <si>
    <t>78/18.7.23</t>
  </si>
  <si>
    <t>הקטנת תקציב וסגירת תב"ר.</t>
  </si>
  <si>
    <t>עדכון אומדן ותקציב עקב יתרת הרשאה מ. התחבורה 2018 שבוטלה. סגירת תב"ר.</t>
  </si>
  <si>
    <t>8/7.8.23</t>
  </si>
  <si>
    <t>80/15.8.23</t>
  </si>
  <si>
    <t>עדכון תקציב 2023. דחייה ל - 2024.</t>
  </si>
  <si>
    <t>הקטנת תקציב . מימון רמ"י וסגירת תב"ר.</t>
  </si>
  <si>
    <t>סה"כ הנדסה</t>
  </si>
  <si>
    <t>1/29.1.23</t>
  </si>
  <si>
    <t>73/14.2.23</t>
  </si>
  <si>
    <t>תכנון קאנטרי הרצליה</t>
  </si>
  <si>
    <t xml:space="preserve">חדש. קאנטרי הרצלה . תכנון עבודות בינוי ושיפוץ. </t>
  </si>
  <si>
    <t>2/19.2.23</t>
  </si>
  <si>
    <t>74/14.3.23</t>
  </si>
  <si>
    <t xml:space="preserve">עדכון אומדן הכולל הריסת מבנים ובניה כולל עבודות גינון. תב"ר משותף לחכ"ל ולאגף שאיפה. </t>
  </si>
  <si>
    <t>חדש. בי"ס קבע "קרן אור" ליד בי"ס "אופק"  עד 10 כיתות. תכנון ראשוני .</t>
  </si>
  <si>
    <t>שב"צ שיכון ויצמן</t>
  </si>
  <si>
    <t>חדש. תכנון והקמת בי"ס 18 כיתות , מתנ"ס,גנ"י ומעונות יום, אולם ספורט ומגרשי ספורט. תכנון ראשוני.</t>
  </si>
  <si>
    <t>חדש. תכנון ראשוני.</t>
  </si>
  <si>
    <t>74/15.3.23</t>
  </si>
  <si>
    <t>חדש. קדם מימון רמ"י.</t>
  </si>
  <si>
    <t>שינוי מימון. תקבול מ. החינוך גנ"י.</t>
  </si>
  <si>
    <t>שינוי מימון. הרשאה תקציבית מ. החינוך גנ"י.</t>
  </si>
  <si>
    <t>4/23.4.23</t>
  </si>
  <si>
    <t>76/16.5.23</t>
  </si>
  <si>
    <t>חדש.עבודות שיפוץ חדרי הלבשה יציע מערבי. תכנון.</t>
  </si>
  <si>
    <t xml:space="preserve">עדכון אומדן הכולל הריסת מבנים ובניה ,עבודות גינון והצטיידות. </t>
  </si>
  <si>
    <t>עדכון תקציב 2023. הקדמה מ - 2024. שצ"פ ברח' העצמאות.</t>
  </si>
  <si>
    <t>עדכון תקציב 2023. שינוי מימון . הרשאה תקציבית מ. החינוך.</t>
  </si>
  <si>
    <t>מערכות  מיזוג אוויר תאגיד התרבות</t>
  </si>
  <si>
    <t>חדש. שדרוג והחלפת מערכות צ'לרים .</t>
  </si>
  <si>
    <t>הקטנת תקציב יתרת הרשאה מ. התחבורה  2018  שבוטלה.</t>
  </si>
  <si>
    <t>עדכון אומדן. הקטנת תקציב יתרת הרשאה מ. התחבורה  2018  שבוטלה.</t>
  </si>
  <si>
    <r>
      <t xml:space="preserve">הקמת תחנות הצלה חוף </t>
    </r>
    <r>
      <rPr>
        <strike/>
        <sz val="11"/>
        <rFont val="David"/>
        <family val="2"/>
      </rPr>
      <t xml:space="preserve">אכדיה צפון וחוף </t>
    </r>
    <r>
      <rPr>
        <sz val="11"/>
        <rFont val="David"/>
        <family val="2"/>
        <charset val="177"/>
      </rPr>
      <t xml:space="preserve">סידני עלי </t>
    </r>
    <r>
      <rPr>
        <b/>
        <sz val="11"/>
        <rFont val="David"/>
        <family val="2"/>
      </rPr>
      <t>(*) עדכון שם</t>
    </r>
  </si>
  <si>
    <t>עדכון אומדן. הקטנת תקציב . לקראת סגירה.</t>
  </si>
  <si>
    <t>פיתוח רחבת בנין העיריה שער העיר</t>
  </si>
  <si>
    <t>חדש. תכנון נופי ראשוני למתחם רחבת בניין העיריה.</t>
  </si>
  <si>
    <t>7/23.7.23</t>
  </si>
  <si>
    <t>עדכון אומדן ותקציב 2023 הצטיידות.</t>
  </si>
  <si>
    <r>
      <t xml:space="preserve">תכנון </t>
    </r>
    <r>
      <rPr>
        <b/>
        <sz val="11"/>
        <rFont val="David"/>
        <family val="2"/>
      </rPr>
      <t xml:space="preserve">וביצוע </t>
    </r>
    <r>
      <rPr>
        <sz val="11"/>
        <rFont val="David"/>
        <family val="2"/>
        <charset val="177"/>
      </rPr>
      <t xml:space="preserve">קאנטרי הרצליה </t>
    </r>
    <r>
      <rPr>
        <b/>
        <sz val="11"/>
        <rFont val="David"/>
        <family val="2"/>
      </rPr>
      <t>(*) עדכון</t>
    </r>
  </si>
  <si>
    <t xml:space="preserve">עדכון אומדן ותקציב 2023. עבודות הריסת מבנים ובניה ,עבודות גינון והצטיידות. </t>
  </si>
  <si>
    <t>עדכון תקציב 2023 הקדמה מ - 2024. אין הרשאה תקציבית מ. החינוך 19.8 מליון ₪.</t>
  </si>
  <si>
    <t>עדכון תקציב 2023. הרשאות משרד החינוך.</t>
  </si>
  <si>
    <t>בי"ס ואולם ספורט ויצמן  תכנון וביצוע</t>
  </si>
  <si>
    <t>שינוי מימון . הרשאה תקציבית מ. החינוך קדם מימון.</t>
  </si>
  <si>
    <t>גנ"י ומעונות יום  הזמר העברי מתחם המסילה</t>
  </si>
  <si>
    <t>שינוי מימון הרשאה מ. הפנים.</t>
  </si>
  <si>
    <t>חדש. נגישות אקוסטית כיתות בנעמי שמר ולב טוב. מימון מ. החינוך.</t>
  </si>
  <si>
    <t>שיפוצי מוס"ח סקרים והיערכות לפתיחת שנה"ל</t>
  </si>
  <si>
    <t>עדכון אומדן ותוספת תקציב 2023 . תקציב מסגרת של עבודות במוס"ח לרבות שיפוצים יסודיים, התאמת מבנים ושדרוג גנ"י עפ"י תוכנית עבודה שהוגשה.</t>
  </si>
  <si>
    <t>הקטנת תקציב .דחייה ל - 2024.</t>
  </si>
  <si>
    <t>הגנת מצוקי חופי הים</t>
  </si>
  <si>
    <t>עדכון אומדן ותוספת תקציב 2023.</t>
  </si>
  <si>
    <t>בניית כיתות חינוך מיוחד כולל הצטיידות</t>
  </si>
  <si>
    <t>שינוי מימון. מימון מ. החינוך יבילים "קרן אור".</t>
  </si>
  <si>
    <t>חדש. נגישות אקוסטית מימון מ. החינוך.</t>
  </si>
  <si>
    <t>עדכון מקור המימון. מ. התחבורה לנתיבי איילון.</t>
  </si>
  <si>
    <t>עדכון אומדן ותוספת תקציב 2023. בשיתוף האגודה לתרבות הדיור.</t>
  </si>
  <si>
    <t>חדש.הקמת נישות לכלי אצירה לטובת פינוי המדרכות עבור הולכי רגל ויצירת חזית אחידה במרחב הציבורי. בשיתוף האגודה לתרבות הדיור.</t>
  </si>
  <si>
    <t>חדש. עבודות החלפת גגות וחלונות אסבסט במבני עיריה.</t>
  </si>
  <si>
    <t>עבודות טיפול המערכת מיזוג האוויר בנין העיריה</t>
  </si>
  <si>
    <t>חדש. עבודות לשדרוג מערכת צ'ילרים ומערכת VRF בבנין העירייה.</t>
  </si>
  <si>
    <t>עדכון היקף הפרויקט לביצוע בשנת 2024 ואילך . הקמת נישות לכלי אצירה לטובת פינוי המדרכות עבור הולכי רגל ויצירת חזית אחידה במרחב הציבורי.</t>
  </si>
  <si>
    <t>עדכון אומדן ותקציב 2023. יתרת הרשאה תקציבית מ. החינוך (גן פטל).</t>
  </si>
  <si>
    <t>שדרוג תאורה באצטדיון הרצליה</t>
  </si>
  <si>
    <t>חדש. שדרוג התאורה באיצטדיון העירוני.</t>
  </si>
  <si>
    <t>חדש. עבודות שיקום ויציבות המבנה מרכז מסחרי נורדאו 1-3.</t>
  </si>
  <si>
    <t>חדש. עבודות התאמת מבנים - פישמן 1 ,השרון 23 -עבור מורים.</t>
  </si>
  <si>
    <t>מיול לפיקוח והצלה 2022</t>
  </si>
  <si>
    <t>עדכון אומדן ותקציב 2023. עבודות איטום קומות 6-8 בניין העיריה, שיפוץ מבנה הפועל 24.</t>
  </si>
  <si>
    <t>עדכון אומדן ותקציב 2023. מבנים יבילים, מתקני תברואה וחשמל, פיתוח והצטיידות.</t>
  </si>
  <si>
    <t>עדכון אומדן ותקציב 2023. עבודות כולל הצטיידות.</t>
  </si>
  <si>
    <t>חדש. עבודות תאורה ותשתית נוף ים.</t>
  </si>
  <si>
    <r>
      <t xml:space="preserve">שדרוג סוקולוב </t>
    </r>
    <r>
      <rPr>
        <strike/>
        <sz val="12"/>
        <rFont val="David"/>
        <family val="2"/>
      </rPr>
      <t/>
    </r>
  </si>
  <si>
    <t>סה"כ מינהל תפעול/תבל</t>
  </si>
  <si>
    <t>הצטיידות בי"ס חלופי</t>
  </si>
  <si>
    <t xml:space="preserve">שינוי מימון. מ. הפיס. </t>
  </si>
  <si>
    <t>אגף תנוס</t>
  </si>
  <si>
    <t>הצטיידות אולמות ספורט וענפי ספורט חדשים</t>
  </si>
  <si>
    <t>חדש. הקמת מתקן הכולל מסלולי אתגרים ספוטיביים במגרש הספורט ברחוב האשל.</t>
  </si>
  <si>
    <t>שיפוץ מבני תרבות ונוער</t>
  </si>
  <si>
    <t>עדכון אומדן ותקציב 2023. עבודות תאורה לדים.</t>
  </si>
  <si>
    <t>סה"כ אגף תנוס</t>
  </si>
  <si>
    <t>תברים תרבות</t>
  </si>
  <si>
    <t>תברים ספורט</t>
  </si>
  <si>
    <t>מיחשוב ומערכות מידע</t>
  </si>
  <si>
    <t>חדש . העברת מרכזיות אנלוגיות לרשת  IP כולל מוקדים ורכש מכשירים.</t>
  </si>
  <si>
    <t>סה"כ מיחשוב ומערכות מידע</t>
  </si>
  <si>
    <t>חדש. דמי חכירה כלכליים לרמ"י בגין שטח במתחם בית פוסטר.</t>
  </si>
  <si>
    <t>דמי חכירה מרכז מסחרי נוף ים</t>
  </si>
  <si>
    <t>דמי חכירה לרמ"י ל - 49 שנה מרכז מסחרי נוף ים.</t>
  </si>
  <si>
    <t>מינהל כללי/איכות הסביבה</t>
  </si>
  <si>
    <t>שינוי מימון מ. הגנת הסביבה. סגירת תב"ר.</t>
  </si>
  <si>
    <t>ועדה 1/29.1.23</t>
  </si>
  <si>
    <t>ועדה 2/19.2.23</t>
  </si>
  <si>
    <t>ועדה 3/26.3.23</t>
  </si>
  <si>
    <t>ועדה 4/23.4.23</t>
  </si>
  <si>
    <t>ועדה 5/28.5.23</t>
  </si>
  <si>
    <t>ועדה 6/13.6.23</t>
  </si>
  <si>
    <t>ועדה 7/23.7.23</t>
  </si>
  <si>
    <t>ועדה 7/23.7.23 תוספת</t>
  </si>
  <si>
    <t>ועדה 8/7.8.23</t>
  </si>
  <si>
    <t xml:space="preserve">תב"ר 2123 : תוקן </t>
  </si>
  <si>
    <t xml:space="preserve">סה"כ בקשות </t>
  </si>
  <si>
    <t>סה"כ מקורות מימון</t>
  </si>
  <si>
    <t>מקורות  מימון אחרים</t>
  </si>
  <si>
    <t>סגירת תב"רים</t>
  </si>
  <si>
    <t>קע"פ /ק.עודפים י.פ.</t>
  </si>
  <si>
    <t>העברה מעודף מצטבר</t>
  </si>
  <si>
    <t>עודף (חוסר)</t>
  </si>
  <si>
    <t xml:space="preserve">מסגרת תקציב פיתוח </t>
  </si>
  <si>
    <t>הצעת התקציב הבלתי רגיל לשנת 2024</t>
  </si>
  <si>
    <t xml:space="preserve">הפרויקטים הבולטים לשנת 2024 הינם :  </t>
  </si>
  <si>
    <t>שנת  2024</t>
  </si>
  <si>
    <t xml:space="preserve">מינהל תפעול </t>
  </si>
  <si>
    <t>אגף ספורט (*)</t>
  </si>
  <si>
    <t>אגף תנועת נוער תרבות וקהילה (*)</t>
  </si>
  <si>
    <t>שנת 2024</t>
  </si>
  <si>
    <t>העברה מתקציב רגיל 2023</t>
  </si>
  <si>
    <t>משרד הדתות</t>
  </si>
  <si>
    <t>תוכנית פיתוח שנתית 2023 : מימוש - מינהל הנדסה</t>
  </si>
  <si>
    <t>תוכנית פיתוח שנתית 2023 : מימוש - מינהל חינוך</t>
  </si>
  <si>
    <r>
      <t xml:space="preserve">התקנה שדרוג מזגנים </t>
    </r>
    <r>
      <rPr>
        <sz val="11"/>
        <rFont val="David"/>
        <family val="2"/>
      </rPr>
      <t>במוס"ח</t>
    </r>
    <r>
      <rPr>
        <sz val="11"/>
        <rFont val="David"/>
        <family val="2"/>
        <charset val="177"/>
      </rPr>
      <t xml:space="preserve">   ועיריה </t>
    </r>
    <r>
      <rPr>
        <b/>
        <sz val="11"/>
        <rFont val="David"/>
        <family val="2"/>
      </rPr>
      <t>(*) נסגר 2023</t>
    </r>
  </si>
  <si>
    <r>
      <t xml:space="preserve">הקמת חפ"ק עירוני חדש </t>
    </r>
    <r>
      <rPr>
        <b/>
        <sz val="11"/>
        <rFont val="David"/>
        <family val="2"/>
      </rPr>
      <t>(*) נסגר 2023</t>
    </r>
  </si>
  <si>
    <r>
      <t xml:space="preserve">רישוי תחנת הדלק העירונית </t>
    </r>
    <r>
      <rPr>
        <b/>
        <sz val="11"/>
        <rFont val="David"/>
        <family val="2"/>
      </rPr>
      <t>(*) נסגר 2023</t>
    </r>
  </si>
  <si>
    <r>
      <t xml:space="preserve">הקמת מחלקת אכיפה אלקטרונית, מרכז שליטה -מינהל התפעול </t>
    </r>
    <r>
      <rPr>
        <b/>
        <sz val="11"/>
        <rFont val="David"/>
        <family val="2"/>
      </rPr>
      <t>(*) נסגר 2023</t>
    </r>
  </si>
  <si>
    <r>
      <t xml:space="preserve">עב' תאורה ברחובות עקב הטמנת קווי החשמל מתחת לקרקע </t>
    </r>
    <r>
      <rPr>
        <b/>
        <sz val="11"/>
        <rFont val="David"/>
        <family val="2"/>
      </rPr>
      <t>(*) נסגר 2023</t>
    </r>
  </si>
  <si>
    <r>
      <t xml:space="preserve">הקמת 2 מעונות יום בשכונת יד התשעה </t>
    </r>
    <r>
      <rPr>
        <b/>
        <sz val="11"/>
        <rFont val="David"/>
        <family val="2"/>
      </rPr>
      <t>(*) נסגר 2023</t>
    </r>
  </si>
  <si>
    <r>
      <t xml:space="preserve">החלפת מסנני אוויר במקלטים </t>
    </r>
    <r>
      <rPr>
        <b/>
        <sz val="11"/>
        <rFont val="David"/>
        <family val="2"/>
      </rPr>
      <t>(*) נסגר 2023</t>
    </r>
  </si>
  <si>
    <r>
      <t xml:space="preserve">רח' ז'בוטינסקי אלתרמן הבריגדה </t>
    </r>
    <r>
      <rPr>
        <b/>
        <sz val="11"/>
        <rFont val="David"/>
        <family val="2"/>
      </rPr>
      <t>(*) נסגר 2023</t>
    </r>
  </si>
  <si>
    <r>
      <t xml:space="preserve">הצטיידות בי"ס יצחק נבון אלתרמן </t>
    </r>
    <r>
      <rPr>
        <b/>
        <sz val="11"/>
        <rFont val="David"/>
        <family val="2"/>
      </rPr>
      <t>(*) נסגר 2023</t>
    </r>
  </si>
  <si>
    <r>
      <t xml:space="preserve">סקר טבע עירוני </t>
    </r>
    <r>
      <rPr>
        <b/>
        <sz val="11"/>
        <rFont val="David"/>
        <family val="2"/>
      </rPr>
      <t>(*) נסגר 2023</t>
    </r>
  </si>
  <si>
    <t>פרויקטים שהיקפם עולה על 16,279 אלפי ₪ בביצוע החברה לפיתוח הרצליה.</t>
  </si>
  <si>
    <t>ערך הסף נכון להיום עומד על יותר מ  - 16,279 אלפי ₪.</t>
  </si>
  <si>
    <t xml:space="preserve">סך התקציב הנדרש בשנת 2024 ע"י מינהל הנדסה מסתכם ב - </t>
  </si>
  <si>
    <t>פרויקטים עיקריים בשנת 2024 :</t>
  </si>
  <si>
    <t xml:space="preserve">סך התקציב הנדרש בשנת 2024 ע"י החברה לפיתוח הרצליה  מסתכם ב - </t>
  </si>
  <si>
    <t xml:space="preserve">סך התקציב הנדרש בשנת 2024 ע"י מינהל  תפעול מסתכם ב - </t>
  </si>
  <si>
    <t xml:space="preserve">סך התקציב הנדרש בשנת 2024 ע"י מינהל חינוך  מסתכם ב - </t>
  </si>
  <si>
    <t xml:space="preserve">סך התקציב הנדרש בשנת 2024 ע"י אגף ספורט  מסתכם ב - </t>
  </si>
  <si>
    <t xml:space="preserve">סך התקציב הנדרש בשנת 2024 ע"י אגף ת.נ.ו.ק  מסתכם ב - </t>
  </si>
  <si>
    <t xml:space="preserve">סך התקציב הנדרש בשנת 2024 ע"י החברה לפיתוח התיירות מסתכם ב - </t>
  </si>
  <si>
    <t xml:space="preserve">סך התקציב הנדרש בשנת 2024 ע"י אגף תקשוב ומערכות מידע מסתכם ב - </t>
  </si>
  <si>
    <t xml:space="preserve">סך התקציב הנדרש בשנת 2024 ע"י אגף נכסים וביטוח מסתכם ב - </t>
  </si>
  <si>
    <t xml:space="preserve">סך התקציב הנדרש בשנת 2024 במינהל כללי  מסתכם ב - </t>
  </si>
  <si>
    <t>היקפי פרויקט מעל 16,279,000 ₪</t>
  </si>
  <si>
    <t>התקציב הבלתי רגיל לשנת 2023 – ביצוע</t>
  </si>
  <si>
    <t xml:space="preserve">ביצוע תקציב הבלתי רגיל לשנת 2023    </t>
  </si>
  <si>
    <t xml:space="preserve">עדכוני תקציב הפיתוח השנתי 2023 </t>
  </si>
  <si>
    <t>תוכנית פיתוח שנתית 2023 : מימוש - מינהל כללי</t>
  </si>
  <si>
    <t xml:space="preserve">מויין מחדש. </t>
  </si>
  <si>
    <t>9/2.11.23</t>
  </si>
  <si>
    <t>הכנת תוכנית עירונית להצללה</t>
  </si>
  <si>
    <t xml:space="preserve">חדש. הכנת תוכנית עירונית להצללה וקרור באמצעות עצים. 450 אלשח הרשאה תקציבית מ. הגנת הסביבה. </t>
  </si>
  <si>
    <t>עדכון אומדן ותקציב 2023. מבנה הגנה במתחם מינהל התפעול.</t>
  </si>
  <si>
    <t>סל למערכות בטחון וצרכי בטחון</t>
  </si>
  <si>
    <t xml:space="preserve">עדכון אומדן ותקציב 2023. סל למערכות חרום שונות. </t>
  </si>
  <si>
    <t>הקמת בי"ס חלופי פארק הרצליה</t>
  </si>
  <si>
    <t>הקמת פינות מיחזור וגזם ברחבי העיר</t>
  </si>
  <si>
    <t>הכנת תוכנית עירונית להצללה וקרור באמצעות עצים. מימון מ. הגנת הסביבה.</t>
  </si>
  <si>
    <r>
      <t xml:space="preserve">הצטיידות בית ספר חלופי </t>
    </r>
    <r>
      <rPr>
        <b/>
        <sz val="11"/>
        <rFont val="David"/>
        <family val="2"/>
      </rPr>
      <t>(*) נסגר 2023</t>
    </r>
  </si>
  <si>
    <t>10/19.11.23</t>
  </si>
  <si>
    <t>82/21.11.23</t>
  </si>
  <si>
    <t>עדכון אומדן ותקציב 2023 היערכות לעונת הרחצה 2024.</t>
  </si>
  <si>
    <t>עדכון אומדן ותוספת תקציב 2023 . תקציב מסגרת של עבודות במוס"ח , שיפוצים , התאמת מבנים השלמות 2023 והערכות לתחילת 2024.</t>
  </si>
  <si>
    <t>הקמת ממ"דים</t>
  </si>
  <si>
    <t>חדש. תקציב מסגרת להקמת ממ"דים במוס"ח, מבני ציבור וברחבי העיר.</t>
  </si>
  <si>
    <t>עדכון נדרש תקציב  פיתוח 2023</t>
  </si>
  <si>
    <t>השתתפות העיריה הקמת המטרו</t>
  </si>
  <si>
    <t>השתתפות העיריה בהקמת המטרו עפ"י צו המטרו.</t>
  </si>
  <si>
    <t>28.11.23:</t>
  </si>
  <si>
    <t xml:space="preserve">בשיחה עם אולגה. אין שינוי. </t>
  </si>
  <si>
    <t xml:space="preserve">תב"ר 1776 : הסכום עוגל מ - 1,709 אלפי ₪. </t>
  </si>
  <si>
    <t>הצטיידות ריהוט ומיחשוב מבנה  בי"ס דמוקרטי וקרן אור.</t>
  </si>
  <si>
    <t>תוכנית רב שנתית שדרוג עמודי תאורה ברחבי העיר עפ"י תוכנית שתאושר ע"י הנהלת העיר.</t>
  </si>
  <si>
    <t>שדרוג תשתיות תאורה במרכז העיר</t>
  </si>
  <si>
    <t>שדרוג תשתיות תאורה ברחובות ובגינות: מאזה , הכוזרי , הפרדסים, אחד העם .</t>
  </si>
  <si>
    <t>שדרוג ופיתוח רח' סוקולוב הכולל החלפת תאורה,קרצוף שביל אופניים, ריצוף ושדרוג רחבת ביכנ"ס הגדול.</t>
  </si>
  <si>
    <t>רחוב האסיף</t>
  </si>
  <si>
    <t>גן ווריזלנד</t>
  </si>
  <si>
    <r>
      <t>השלמת תכנון עד להיתר לחניון אוטובוסים.</t>
    </r>
    <r>
      <rPr>
        <strike/>
        <sz val="11"/>
        <rFont val="David"/>
        <family val="2"/>
      </rPr>
      <t/>
    </r>
  </si>
  <si>
    <t>הקמת מעון לאנשים עם מוגבלויות ברחוב הר סיני שכונת יד התשעה. כולל הצטיידות . מימון קרן שלם והמוסד לביטוח לאומי.</t>
  </si>
  <si>
    <r>
      <t>גנ"י ו</t>
    </r>
    <r>
      <rPr>
        <b/>
        <sz val="11"/>
        <rFont val="David"/>
        <family val="2"/>
      </rPr>
      <t>מעון יום שיקומי</t>
    </r>
    <r>
      <rPr>
        <sz val="11"/>
        <rFont val="David"/>
        <family val="2"/>
        <charset val="177"/>
      </rPr>
      <t xml:space="preserve">  חנה רובינא </t>
    </r>
    <r>
      <rPr>
        <b/>
        <sz val="11"/>
        <rFont val="David"/>
        <family val="2"/>
      </rPr>
      <t>(*) עדכון</t>
    </r>
  </si>
  <si>
    <t>פיתוח  סופי ברח' זאב במתחם והתחברות כביש סלילה ליהודה הנשיא. הפרויקט הסתיים. סגירת תב"ר.</t>
  </si>
  <si>
    <t>נתוני ביצוע ושריון עודכנו : 18.12.23</t>
  </si>
  <si>
    <t>הצטיידות חדשה: כיתות חדשות בעקבות גידול עפ"י צפי במס' תלמידים ופתיחת כיתות במקום החדש , שיפוץ כיתות קיימות בביצוע אגף תבל. סל מסגרת. כולל שז"ר, חט"ב אלתרמן, כלי נגינה.</t>
  </si>
  <si>
    <t>עבודות השלמת שצ"פים וגינת כלבים. חן סופיים. התב"ר לסגירה.</t>
  </si>
  <si>
    <t>טיפול בשב"צ וגינת כלבים. חן סופיים. התב"ר לסגירה.</t>
  </si>
  <si>
    <t>המשך פיתוח רחוב צ.ה.ל . חן סופיים. התב"ר לסגירה.</t>
  </si>
  <si>
    <t>בניית אולם ספורט חדש בחטיבה. חן סופיים. התב"ר לסגירה.</t>
  </si>
  <si>
    <r>
      <t>עבודות הקמת אולם ספורט בנגיד  כולל הריסת אולמות ומקלט קיימים.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חן סופיים. התב"ר לסגירה.</t>
    </r>
  </si>
  <si>
    <t xml:space="preserve">במקביל, תבר הצטיידות בחינוך . חן סופיים התב"ר לסגירה. </t>
  </si>
  <si>
    <r>
      <t xml:space="preserve">מסגרת </t>
    </r>
    <r>
      <rPr>
        <sz val="11"/>
        <rFont val="David"/>
        <family val="2"/>
        <charset val="177"/>
      </rPr>
      <t>עבודות של החלפת עמודי תאורה באיזור התעשיה. חן סופיים. התב"ר לסגירה.</t>
    </r>
  </si>
  <si>
    <r>
      <t xml:space="preserve">חניונים הר'1900 - </t>
    </r>
    <r>
      <rPr>
        <b/>
        <sz val="11"/>
        <rFont val="David"/>
        <family val="2"/>
      </rPr>
      <t>חניון משכית</t>
    </r>
    <r>
      <rPr>
        <sz val="11"/>
        <rFont val="David"/>
        <family val="2"/>
        <charset val="177"/>
      </rPr>
      <t xml:space="preserve"> </t>
    </r>
    <r>
      <rPr>
        <strike/>
        <sz val="11"/>
        <rFont val="David"/>
        <family val="2"/>
      </rPr>
      <t xml:space="preserve">שינוי תב"ע </t>
    </r>
    <r>
      <rPr>
        <b/>
        <sz val="11"/>
        <rFont val="David"/>
        <family val="2"/>
      </rPr>
      <t xml:space="preserve">(*) עדכון </t>
    </r>
  </si>
  <si>
    <t>שדרוג והחלפת מערכות צ'לרים . מימון חלקי תאגיד התרבות .</t>
  </si>
  <si>
    <t>עבודות פיתוח. מימון רמ"י במסגרת הסכם "הגג". חן סופיים. לקראת סיום.</t>
  </si>
  <si>
    <t>הצטיידות  גנ"י חדשים  כולל  ח"מ במקביל לבניה .  פתיחת גנים במבנים קיימים , כולל שינוי הנובע מייחודיות גנ"י. חן סופיים. התב"ר לסגירה. ראה תב"ר 20044.</t>
  </si>
  <si>
    <t>מימון מ. החינוך.  הסתיים. ייסגר לאחר קבלת מימון מ. החינוך.</t>
  </si>
  <si>
    <t>שיפוץ והצטיידות תיכון הנדסאים. מימון מלא מ. החינוך. התב"ר לסגירה.</t>
  </si>
  <si>
    <t xml:space="preserve">ראה תב"ר בניה (מס' 1912) בחברה לפיתוח הרצליה. </t>
  </si>
  <si>
    <t>שיפוץ כולל הצטיידות מבנה עירוני בבנין לב העיר למע"ש. הסתיים . סגירת תב"ר.</t>
  </si>
  <si>
    <t>סל תכנון הכנת תב"עות לשימור אתרים, תיקי תיעוד. השלמת תנאים למתן תוקף.  חן סופיים. התב"ר לסגירה.</t>
  </si>
  <si>
    <r>
      <t xml:space="preserve">עבודה סלילה, גינון ותאורה במתחם. 2024:תכנון כביש שרות מנחם בגין , ביצוע כניסה לחניון אוניברסיטה רייכמן. </t>
    </r>
    <r>
      <rPr>
        <b/>
        <sz val="11"/>
        <rFont val="David"/>
        <family val="2"/>
      </rPr>
      <t/>
    </r>
  </si>
  <si>
    <t>פיתוח רחובות הארז והחרוב. תכנון וביצוע. חן סופיים. התב"ר לסגירה.</t>
  </si>
  <si>
    <t>הקמת תשתית עבור פרויקט עיר מתוחכמת כולל פיתוח תוכנית פעולה,  הקמת אגם מידע.</t>
  </si>
  <si>
    <t>נוף שדמות</t>
  </si>
  <si>
    <t>עבודות פיתוח חשמל ותאורה נוף שדמות משולש המסילה.</t>
  </si>
  <si>
    <t>שביל הולכי רגל מרחוב האסיף לרחוב האילנות.</t>
  </si>
  <si>
    <t>מבנה קבוצות הנוער  הריסת טריבונות , בניית מלתחות  בניית טריבונה וגג קל. יציע מזרחי.</t>
  </si>
  <si>
    <t>תוכנית אב יישובית לספורט</t>
  </si>
  <si>
    <t>עריכת סקר לבדיקת הצרכים של כלל התושבים בנושא צריכת הספורט.</t>
  </si>
  <si>
    <t>רכישת 2 משרדים מהמדינה בן גוריון 14. לא בוצע. לסגירה.</t>
  </si>
  <si>
    <t>שיפוץ בית ראשונים</t>
  </si>
  <si>
    <t>תאורה- הנשיא יצחק בן צבי - בין רחובות שבט מנשה לקרן היסוד)+ שלווה+ שבט מנשה ובן אליעזר , שדרוג מדרכות בנשיא יצחק בן צבי , שצ"פ הסדנאות. מתיחת פנים גלגלי הפלדה.</t>
  </si>
  <si>
    <t>מערכת מבוססת מצלמות לאכיפת החנייה והנת"צים ברחבי העיר. מימון נתיבי איילון.</t>
  </si>
  <si>
    <r>
      <t>בדיקת התכנות מתחמי פינוי בינוי ותכנון פרויקטים להתחדשות עירונית ופינוי בינוי.</t>
    </r>
    <r>
      <rPr>
        <sz val="11"/>
        <rFont val="David"/>
        <family val="2"/>
      </rPr>
      <t xml:space="preserve"> </t>
    </r>
    <r>
      <rPr>
        <sz val="11"/>
        <rFont val="David"/>
        <family val="2"/>
      </rPr>
      <t xml:space="preserve"> לווי ובקרת העיריה ליוזמות ותכניות שמקודמות ע"י חברות פרטיות.</t>
    </r>
  </si>
  <si>
    <t xml:space="preserve">ביצוע השלמת שצ"פ בקטע רח' דליה רביקוביץ פינת אסתר רהב. </t>
  </si>
  <si>
    <t>עבודות פיתוח החלק הדרום מערבי של הפארק ייעודי לנוער בהתאם לתוכנית השימור של הפארק.</t>
  </si>
  <si>
    <t>שיקום מעליות חוף</t>
  </si>
  <si>
    <t xml:space="preserve"> שיקום מערכות הקיימות. </t>
  </si>
  <si>
    <t>תוכנית אנרגיה עירונית</t>
  </si>
  <si>
    <t>סל עבודות שיפוצים במוס"ח  והתאמת מבנים גנ"י. ייסגר עם קבלת תקבול מ. החינוך יביל יד גיורא.</t>
  </si>
  <si>
    <t xml:space="preserve">הכנת תוכנית היערכות לשינויי האקלים הכוללת יועצים. מימון (80%) מ. הגנת הסביבה. </t>
  </si>
  <si>
    <t>שיפוצים והצטיידות משרדי מרכזים קהילתיים</t>
  </si>
  <si>
    <r>
      <t xml:space="preserve">הקמת </t>
    </r>
    <r>
      <rPr>
        <strike/>
        <sz val="11"/>
        <rFont val="David"/>
        <family val="2"/>
      </rPr>
      <t>מתנ"ס</t>
    </r>
    <r>
      <rPr>
        <sz val="11"/>
        <rFont val="David"/>
        <family val="2"/>
        <charset val="177"/>
      </rPr>
      <t xml:space="preserve"> </t>
    </r>
    <r>
      <rPr>
        <b/>
        <sz val="11"/>
        <rFont val="David"/>
        <family val="2"/>
      </rPr>
      <t xml:space="preserve">(*) בית קהילה </t>
    </r>
    <r>
      <rPr>
        <sz val="11"/>
        <rFont val="David"/>
        <family val="2"/>
        <charset val="177"/>
      </rPr>
      <t xml:space="preserve">רחוב המסילה  </t>
    </r>
  </si>
  <si>
    <t>אומדן ביצוע 2024</t>
  </si>
  <si>
    <t>החלפת צינור ניקוז שנמצא בחלקות פרטיות, כולל שיקום כביש ומדרכות. 2024 : תכנון.</t>
  </si>
  <si>
    <t>יועצי סביבה וקיימות בהיבטים תכנוניים. גיבוש מדיניות של תכנון בר קיימא כמענה לשינויי האקלים לצד ציפוף עירוני מוגבר.</t>
  </si>
  <si>
    <t>לביצוע צפוי בשנת 2025 ואילך בסכום של</t>
  </si>
  <si>
    <t>עב' פיתוח דחופות בלתי צפויות, מימוני ביניים, שיתעוררו במהלך השנה ויבוצעו עפ"י החלטות הנהלת העיר. שנים 2019/2020. הפרויקט הסתיים. סגירת תב"ר.</t>
  </si>
  <si>
    <t>שיפוץ המבנה כולל הצטיידות.</t>
  </si>
  <si>
    <r>
      <t xml:space="preserve">פרויקט  בניית אודיטוריום ,תוספת 6 כתות ו-2 ממ"דים ,שיפוץ כללי ומעלית כולל איטום גג אולם ספורט. שיפוץ חזיתות והצטיידות. </t>
    </r>
    <r>
      <rPr>
        <sz val="11"/>
        <rFont val="David"/>
        <family val="2"/>
      </rPr>
      <t>מימון מ.החינוך.</t>
    </r>
  </si>
  <si>
    <r>
      <t xml:space="preserve">מתחם קמפוס </t>
    </r>
    <r>
      <rPr>
        <b/>
        <sz val="11"/>
        <rFont val="David"/>
        <family val="2"/>
      </rPr>
      <t>המדעים</t>
    </r>
    <r>
      <rPr>
        <sz val="11"/>
        <rFont val="David"/>
        <family val="2"/>
        <charset val="177"/>
      </rPr>
      <t xml:space="preserve"> הרצליה </t>
    </r>
    <r>
      <rPr>
        <strike/>
        <sz val="11"/>
        <rFont val="David"/>
        <family val="2"/>
      </rPr>
      <t xml:space="preserve">(יד גיורא) </t>
    </r>
    <r>
      <rPr>
        <b/>
        <sz val="11"/>
        <rFont val="David"/>
        <family val="2"/>
      </rPr>
      <t>(*)</t>
    </r>
  </si>
  <si>
    <t>תב"ע בשיתוף מועצת כפר שמריהו לתכנון קישוריות שביל אופניים ופארק בתחום המסילה המתפנה . סגירת תב"ר.</t>
  </si>
  <si>
    <t>הכנת תוכנית כוללת להתחדשות עירונית. תוכנית עם תוקף סטטוטורי להבטחת יישום החזון והמדיניות להתחדשות ופיתוח מרכז העיר.</t>
  </si>
  <si>
    <t>הפיכת תוכנית אסטרטגית  לתוכנית סטטוטורית, לתוכנית מתאר בועדה המחוזית בהתאם ליו"ר הועדה המחוזית וליווי מימושה של התוכנית שקיבלה תוקף.</t>
  </si>
  <si>
    <t>בניית 10 כיתות גן .   חן סופיים. התב"ר לסגירה.</t>
  </si>
  <si>
    <t xml:space="preserve">בניית בי"ס יסודי (18) , 24 כיתות חט"ב ותיכון ,א.ס בינוני , מגרש ספורט , חניון תתקרקעי 2 מפלסים, שצ"פ שבט צופים מימון מ. החינוך. </t>
  </si>
  <si>
    <t>הצטיידות חד פעמית ליחידת חילוץ מתנדבים שעברו הכשרה בפיקוד העורף לתפקוד במצבי חרום ולמשמרות השכונה.</t>
  </si>
  <si>
    <t xml:space="preserve">תכנון חיבוריות בין מזרח למערב </t>
  </si>
  <si>
    <t xml:space="preserve">הקמת חניון תתקרקעי ברחוב משכית כולל מבנה מסחר ועבודות פיתוח. עדכון שם. </t>
  </si>
  <si>
    <t>תוספת. חדש. 21.1.23. אומדן ראשוני.</t>
  </si>
  <si>
    <t>גנ"י נוספים גליל ים</t>
  </si>
  <si>
    <t xml:space="preserve">הצטיידות ועבודות אולמות ספורט וענפי ספורט חדשים </t>
  </si>
  <si>
    <t>פרויקט ממשלתי המתוקצב ע"י המדינה במקביל לרשות. תכנון שבוצע ע"י העיריה. בהמשך צפוי להתקבל החזר מרמ"י (הסכם הגג). יש הרשאה רמ"י לנת"א 28 מלשח.</t>
  </si>
  <si>
    <t>תוכנית מתארית ומפורטת חלקית לאורך רחוב המנהרה ועד פארק הואדי. התוכנית כוללת מתחם לשימור. יש עתירה לבימ"ש של בעלי קרקע פרטיים. סגירת תב"ר.</t>
  </si>
  <si>
    <t>ביצוע סקר חריגות בנייה עפ"י תיקון לחוק הרשויות. 2024 : פיענוח תצ"אות.</t>
  </si>
  <si>
    <t>מתנ"ס קהילתי  בשטח של כ-4000 מ"ר הכולל גלריה מקומית, ספרייה חדשה,  חדרי חוגים, מועדון גמלאים בית קפה כולל הצטיידות. חן סופיים. מימון רמ"י ( מוס"צ מכרז "הבריגדה")</t>
  </si>
  <si>
    <t>השלמת ביצוע פארק רבין צפון. מימון רמ"י ( שצ"פים מכרז "בית קורקס" , "גליל ים ג'")</t>
  </si>
  <si>
    <t>המשך עבודות פיתוח שצ"פ ("מערכות") במתחם אלוני ים הר' 2030 . מימון רמ"י ( שצ"פים מכרז "גליל ים ג'").</t>
  </si>
  <si>
    <t>פיתוח סימטה שהפכה לדרך במסגרת תב"ע 2029 בנווה עמל. העבודות כוללות החלפת תשתיות תת קרקעיות,הריסת מבנה והתחברות לרח' כצלנסון. מימון רמ"י ( ישן מול חדש מכרזי רמ"י).</t>
  </si>
  <si>
    <r>
      <t xml:space="preserve">בניית 6 כיתות גנ"י במתחם ויצמן. </t>
    </r>
    <r>
      <rPr>
        <sz val="11"/>
        <rFont val="David"/>
        <family val="2"/>
      </rPr>
      <t>מימון מ. החינוך עדכון.</t>
    </r>
  </si>
  <si>
    <r>
      <t>תכנון וביצוע הקמת 5 כיתות גן במתחם השמעוני.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מימון מ. החינוך. הצטיידות תב"ר 20044 בחינוך.</t>
    </r>
  </si>
  <si>
    <t>עבודות פיתוח, גינון והשקייה,  ניקוז ותיעול פיתוח לאזור הואדי כולל שיקום מדרכות ושבילי אופניים בנעמי שמר, עבודות חשמל,תאורה. מימון נת"ע.</t>
  </si>
  <si>
    <t>תוספת קומה כ - 300 מ"ר , עבודות שיפוץ ופיתוח רחבת המוזיאון. מימון מ. התרבות ומ. הפיס.</t>
  </si>
  <si>
    <t>עבודות שיפוץ חדרי הלבשה יציע מערבי. תכנון וביצוע עפ"י דרישות ההתאחדות לכדורגל. מימון מ. הספורט.</t>
  </si>
  <si>
    <t>עבודות פיתוח. מימון רמ"י במסגרת הסכם "הגג". ביצוע שצ"פים (415) 2024 מימון עיריה.  מימון רמ"י ( שצ"פים מכרז "גליל ים ג'").</t>
  </si>
  <si>
    <t xml:space="preserve"> המיזמים שזכו בקולות קוראים :  אקסלרייט בתחבורה,אתגר התמוטטות המצוק , פתרון לאתגר מעולם הנגר ,  מיזם פסולת וכלכלה מעגלית. </t>
  </si>
  <si>
    <t>סל להקמת ושדרוג תשתיות כולל עמודי תאורה והתקנת גופי תאורה בטכנולוגיה מתקדמת עפ"י תוכנית רב שנתית. שינוי מימון מ. הכלכלה והתעשיה.</t>
  </si>
  <si>
    <t xml:space="preserve">בנית פיר מעלית חיצוני בעקבות ביקורת של יועץ נגישות וקושי הנדסי לבנות את הפיר בתוך המבנה. כולל שיפוץ המרפסת והמדרגות. שינוי מימון מ. הדתות. </t>
  </si>
  <si>
    <t>תקציב מסגרת של עבודות במוס"ח לרבות שיפוצים יסודיים , התאמת מבנים ושדרוג גנ"י על פי תוכנית שתאושר ע"י הנהלת העיר. מימון מ. החינוך.</t>
  </si>
  <si>
    <t xml:space="preserve">שדרוג התאורה באיצטדיון העירוני. שינוי מימון מ. הספורט. </t>
  </si>
  <si>
    <t>תקציב מסגרת להקמת ממ"דים במוס"ח, מבני ציבור וברחבי העיר. קרן ייעודית. שינוי מימון.</t>
  </si>
  <si>
    <t xml:space="preserve">המשך חידוש ציפוי מגרשי הספורט: יבור, רעות, אלון, נתיב ויד התשעה. </t>
  </si>
  <si>
    <t>הקמה ושיפוץ רצפות פרקט: חידוש רצפה באולם סמדר, החלפת רצפה בחדר מחול סמדר, חידוש רצפה באולם לב טוב .</t>
  </si>
  <si>
    <t>הקמת מתקן הכולל מסלולי אתגרים ספוטיביים במגרש הספורט ברחוב האשל. מימון מ. התרבות והספורט.</t>
  </si>
  <si>
    <r>
      <t>השלמת התב"ע</t>
    </r>
    <r>
      <rPr>
        <sz val="11"/>
        <rFont val="David"/>
        <family val="2"/>
        <charset val="177"/>
      </rPr>
      <t xml:space="preserve"> לקבלת תוקף והכנת תצ"ר ואישורו במפ"י. </t>
    </r>
    <r>
      <rPr>
        <sz val="11"/>
        <rFont val="David"/>
        <family val="2"/>
      </rPr>
      <t>מימון רמ"י</t>
    </r>
    <r>
      <rPr>
        <sz val="11"/>
        <rFont val="David"/>
        <family val="2"/>
        <charset val="177"/>
      </rPr>
      <t xml:space="preserve"> . </t>
    </r>
  </si>
  <si>
    <t>עבודות שיקום רציף חיל הים ותחנת הדלק הנמצאת על הרציף וביצוע התאמות בינוי של התחנה בין היתר בהתאם לדרישות איכות הסביבה .</t>
  </si>
  <si>
    <t>הצטיידות מועדון פטנג בספורטק, מועדון שחמט בבנין החדש, ענף אתלטיקה קלה, עבור רישוי עסקים א. ס. בן גוריון , שז"ר (2025).</t>
  </si>
  <si>
    <t>ארבע מאוורי תקרה גדולים לבריכה וציוד כושר עבור חדר כושר. הפרויקט הסתיים. סגירת תב"ר.</t>
  </si>
  <si>
    <t xml:space="preserve">הארכת דרך ירושלים  מרחוב סוקולוב עד ליפקין שחק כולל דרך ושביל אופניים , פיתוח רחוב יבנה והנגב . </t>
  </si>
  <si>
    <t xml:space="preserve"> הקמת מבנה טניס חדש, שיפוץ מבני מתנ"ס קיים קירוי 2 מגרשי טניס ופיתוח סביבתי למתחם .מימון רמ"י ( מוס"צ מכרז "ק. שחקים, גליל ים ג'")</t>
  </si>
  <si>
    <t xml:space="preserve"> תכנון מתחם חוף התכלת. מימון רמ"י. התב"ר לסגירה.</t>
  </si>
  <si>
    <t xml:space="preserve">עבודות במרחב הציבורי בשטחים ציבוריים בשכונות השונות ברחבי העיר כולל ריהוט רחוב , הצבת דפיבלירטורים ,פינוי אסבסט, טיפול בפסלים,קולרים עפ"י ת.עבודה שתאושר ע"י הנהלת העיר. </t>
  </si>
  <si>
    <t>הצבת מתקני שתייה מקוררים כולל תשתיות ברחבי העיר לרווחת התושבים. חן סופיים. איחוד עם תב"ר 1435.</t>
  </si>
  <si>
    <t>בניית 3 כיתות גן  נוספים כולל מרחבים מוגנים לאור הגידול באוכלוסיה . בקשת מימון מ. החינוך.</t>
  </si>
  <si>
    <t>תכנון ראשוני. קרן ייעודית.</t>
  </si>
  <si>
    <t>עדכון מע. מידע הנדסי כתוצאה משינוי ייעודי קרקע עקב החלטות ועדות התכנון. לקראת סיום. ראה תב"ר חדש מס' 20062.</t>
  </si>
  <si>
    <t>תכנון מתחם מעונות שרה לפינוי ובינוי.מימון מ. הבינוי.התוכנית בשלב סטוטורי מתקדם - בשלב הפקדה. 2023: סיום התוכנית. חן סופיים.</t>
  </si>
  <si>
    <t>תכנון וביצוע צומת הבריגדה היהודית -מנחם בגין עקב ריבוי תאונות דרכים עפ"י נתוני הרלב"ד. מימון מ. התחבורה.</t>
  </si>
  <si>
    <r>
      <t xml:space="preserve">תכנון וביצוע רמזור בצומת. </t>
    </r>
    <r>
      <rPr>
        <sz val="11"/>
        <rFont val="David"/>
        <family val="2"/>
      </rPr>
      <t>תכנון מימון מ. התחבורה .</t>
    </r>
  </si>
  <si>
    <t>תכנון וביצוע מעגל תנועה ברחובות אלי לנדאו ניל"י. 2024 : תכנון</t>
  </si>
  <si>
    <t>תכנון וביצוע מובל חדש ברח' אריה זייף-בר כוכבא. 2024 : תכנון.</t>
  </si>
  <si>
    <t>בניית 3 כיתות גן , בניית החניון במימון  חברת אפריקה ישראל. שינוי מימון מ. החינוך ואפ"י.</t>
  </si>
  <si>
    <t>פיתוח רחוב גבעת החלומות לרבות עבודות ניקוז ותאורה. הפרויקט הסתיים. סגירת תב"ר.</t>
  </si>
  <si>
    <t>נגישות אקוסטית כיתות בי"ס בו צבי, ראשונים,ברנר . מימון מ.החינוך. הקטנת תקציב תיכון ראשונים.</t>
  </si>
  <si>
    <t>נגישות אקוסטית גנ"י וכיתות בי"ס . מימון מ.החינוך. הקטנת תקציב.</t>
  </si>
  <si>
    <r>
      <t xml:space="preserve">הקמת מבנים יבילים  וממ"ד באיצטדיון כולל תשתיות ופיתוח דרכי גישה. </t>
    </r>
    <r>
      <rPr>
        <sz val="11"/>
        <rFont val="David"/>
        <family val="2"/>
        <charset val="177"/>
      </rPr>
      <t>ממ"ד מק. ייעודית.</t>
    </r>
  </si>
  <si>
    <t>תכנון צומת אשל בזל . פרויקט בטיחותי. מימון מ. התחבורה. הסתיים. הקטנת תקציב עפ"י ביצוע.</t>
  </si>
  <si>
    <t>מסגרת. הקמת תחנות אוטובוס , תחנות קצה ותשתיות בהתאם לצורך, במסגרת התוכנית התפעולית של "מהיר לעיר".</t>
  </si>
  <si>
    <r>
      <t>לאור אישור תוכנית שימור ל - 70 אתרים , תקציב מסגרת ליועצים ,מתכננים וסקריי שימור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ושילוט פרויקטים לשימור במסגרת 100 שנה להרצליה.</t>
    </r>
  </si>
  <si>
    <t xml:space="preserve">המשך ביצוע רח' משכית, ביצוע עבודות פיתוח רח' שנקר כולל ביצוע פיילוט עבודות הצללה. מימון מ. הגנת הסביבה. </t>
  </si>
  <si>
    <t xml:space="preserve">ביצוע פיתוח ותשתית במתחם "מרינה לי". </t>
  </si>
  <si>
    <t>בניית בית ספר ברח' משה-12 כתות. כולל הצטיידות.</t>
  </si>
  <si>
    <t>תכנון וביצוע 2 גנ"י. סגירת תב"ר.</t>
  </si>
  <si>
    <t xml:space="preserve"> בניה 2 כיתות גנ"י ו3 כיתות  מעון יום שיקומי בחנה רובינא. מימון מ. החינוך, קרן שלם והמוסד לב.לאומי. הצטיידות גם בתב"ר 20044 בחינוך. עדכון שם.</t>
  </si>
  <si>
    <r>
      <t xml:space="preserve">מתחם ספורט משותף: </t>
    </r>
    <r>
      <rPr>
        <sz val="11"/>
        <rFont val="David"/>
        <family val="2"/>
      </rPr>
      <t xml:space="preserve">הרחבת הבריכה </t>
    </r>
    <r>
      <rPr>
        <sz val="11"/>
        <rFont val="David"/>
        <family val="2"/>
        <charset val="177"/>
      </rPr>
      <t>אולם ומגרש ספורט לתיכון היובל, אולם ספורט לבי״ס נבון ואולם התעמלות מכשירים. תכנון</t>
    </r>
  </si>
  <si>
    <t>הריסה ובניה  חדשה של מועדון צופי ים. הפרויקט הסתיים סגירת תב"ר.</t>
  </si>
  <si>
    <t>משטחי בטיחות, מתקני חצר,גינון, דשא סינטטי. הסתיים. ממתין לתקבול מ. החינוך.</t>
  </si>
  <si>
    <t>התקנת מעלית . מימון חלקי של משרד החינוך.הסתיים. ממתין לתקבול מ. החינוך.</t>
  </si>
  <si>
    <t>רכישת מיכלי אצירה מפלסטיק ומתכת לפסולת ומיחזור. הפרויקט הסתיים. סגירת תב"ר.</t>
  </si>
  <si>
    <t>מסגרת עבודות במרחב הציבורי. הפרויקט הסתיים. סגירת תב"ר.</t>
  </si>
  <si>
    <t>עבודות חיפוי חיצוני עפ"י דרישת מינהל הנדסה. הפרויקט הסתיים. סגירת תב"ר.</t>
  </si>
  <si>
    <t>החלפת מתחם מתקני משחק. ב - 2024 : מתקן נינג'ה בספורטק.</t>
  </si>
  <si>
    <t xml:space="preserve">מימון מ. הפנים. ייסגר עם קבלת תקבול מ. הפנים. </t>
  </si>
  <si>
    <r>
      <t xml:space="preserve">בניית מרחבי למידה  ב - 17 בי"ס . מימון מלא מ. החינוך. </t>
    </r>
    <r>
      <rPr>
        <sz val="11"/>
        <rFont val="David"/>
        <family val="2"/>
      </rPr>
      <t xml:space="preserve">עבר </t>
    </r>
    <r>
      <rPr>
        <sz val="11"/>
        <rFont val="David"/>
        <family val="2"/>
        <charset val="177"/>
      </rPr>
      <t>ממינהל חינוך.</t>
    </r>
  </si>
  <si>
    <r>
      <t xml:space="preserve">ביכנ"ס  </t>
    </r>
    <r>
      <rPr>
        <sz val="11"/>
        <rFont val="David"/>
        <family val="2"/>
      </rPr>
      <t>הרצליה הירוקה</t>
    </r>
  </si>
  <si>
    <t>תכנון וביצוע ביכנ"ס גוש 6526 חלקה 46 בדויד השמעוני בהרצליה הירוקה.</t>
  </si>
  <si>
    <t xml:space="preserve">החלפה והוספת ציוד הצלה ובטיחות. מימון מ. הפנים. ייסגר לאחר קבלת תקבול מ. הפנים. </t>
  </si>
  <si>
    <t xml:space="preserve">מימון מ. החינוך.  ייסגר עם קבלת תקבול מ. החינוך. </t>
  </si>
  <si>
    <r>
      <t xml:space="preserve">הקמת מרחבי למידה חדשניים בשכבת כיתות ז' בחט"ב רעות הכולל ריהוט ועיצוב פנים. התב"ר לסגירה. </t>
    </r>
    <r>
      <rPr>
        <sz val="11"/>
        <rFont val="David"/>
        <family val="2"/>
      </rPr>
      <t>עבר</t>
    </r>
    <r>
      <rPr>
        <sz val="11"/>
        <rFont val="David"/>
        <family val="2"/>
        <charset val="177"/>
      </rPr>
      <t xml:space="preserve"> ממינהל חינוך.</t>
    </r>
  </si>
  <si>
    <t xml:space="preserve">ביצוע עבודות לטיפול במפגעי בטיחות במצוק. מימון מ. הפנים. ייסגר עם קבלת תקבול מ. הפנים. </t>
  </si>
  <si>
    <t>השלמת תכנון וביצוע הקמת בי"ס חלופי בפארק. מימון מ. החינוך.חן סופיים.</t>
  </si>
  <si>
    <t>התאמת מבנים בפארק לבי"ס דמוקרטי. הפרויקט הסתיים. סגירת תב"ר.</t>
  </si>
  <si>
    <t xml:space="preserve">שדרוג תאורה במגרשי האצטדיון-החלפה לתאורת לד ,החלפת עמודים ומערכת בקרה לשליטה מרחוק. מימון מ. הספורט. ייסגר עם קבלת תקבול מ. הספורט. </t>
  </si>
  <si>
    <t xml:space="preserve">הסבת מבנה גנים לכיתות בי"ס ח"מ כולל הצטיידות. מימון חלקי מ. החינוך.  ייסגר עם קבלת תקבול מ. החינוך. </t>
  </si>
  <si>
    <t xml:space="preserve">מימון מ. הפנים.  ייסגר עם קבלת תקבול מ. הפנים. </t>
  </si>
  <si>
    <t>עבודות לשדרוג מערכת צ'ילרים ומערכת VRF בבנין העירייה. הפרויקט הסתיים. סגירת תב"ר.</t>
  </si>
  <si>
    <t xml:space="preserve">ראה תב"ר בניה (מס' 1909) בחברה לפיתוח הרצליה. </t>
  </si>
  <si>
    <r>
      <t xml:space="preserve">הצטיידות  גנ"י חדשים  כולל  ח"מ במקביל לבניה .  פתיחת גנים במבנים קיימים , כולל שינוי הנובע מייחודיות גנ"י. </t>
    </r>
    <r>
      <rPr>
        <sz val="11"/>
        <rFont val="David"/>
        <family val="2"/>
      </rPr>
      <t xml:space="preserve">כולל גנ"י חנה רובינא , פינסקר, גליל ים, דוד השמעוני. </t>
    </r>
  </si>
  <si>
    <r>
      <t xml:space="preserve">תוכנית הצטיידות למיחשוב מוס"ח .החלפת מחשבים ראוטרים וציוד מיחשוב. מימון מפעל הפיס. הפרויקט הסתיים. </t>
    </r>
    <r>
      <rPr>
        <sz val="11"/>
        <rFont val="David"/>
        <family val="2"/>
      </rPr>
      <t>סגירת תב"ר .</t>
    </r>
  </si>
  <si>
    <t>פרויקטים תחבורתיים</t>
  </si>
  <si>
    <t xml:space="preserve">מסגרת עבודות עפ"י ת.ע. שתאושר ע"י הנהלת העיר, שדרוג כבישים במקביל לעבודות תאגיד המים, מדרכות. עבודות עפ"י החלטות וע. תנועה:תכנון והסדרי תנועה בטיחותיים, הסדרי חניה. </t>
  </si>
  <si>
    <t xml:space="preserve">סל לעבודות הסדרת ליקויים כיבוי אש במוס"ח ובמוסדות עיריה  לפי סקר. </t>
  </si>
  <si>
    <t>עבודות פיתוח.עבודות השלמת ביצוע שצ"פים.מימון רמ"י במסגרת הסכם "הגג". 2024 : מימון הרשות.</t>
  </si>
  <si>
    <t>שיפוץ אולם ספורט היובל כולל פיתוח המבואה והמתחם. חן סופיים. ייסגר עם קבלת תקבול מ. הספורט.</t>
  </si>
  <si>
    <t>הקמת תחנות הצלה חדשות בחוף אכדיה צפון ובחוף סדני עלי. הפרויקט הסתיים. סגירת תב"ר.</t>
  </si>
  <si>
    <t>פרוייקט חינוכי של גנ"י שהוסמכו להיות "גנים ירוקים" .שילוב למידה בטבע/חורשות מס' ימים בשבוע. עבו' התאמת החורשות לשהיית ילדים. הפרויקט הסתיים. סגירת תב"ר.</t>
  </si>
  <si>
    <t>הצטיידות מעבדה בהנדסאים .הפרויטק הסתיים. סגירת תב"ר.</t>
  </si>
  <si>
    <t>הצטיידות 3 מבני גן ו-2 מעונות יום בגליל ים. הפרויקט הסתיים.  סגירת תב"ר.</t>
  </si>
  <si>
    <t>סל עבודות במוס"ח לרבות שיפוצים יסודיים , התאמת מבנים ושדרוג גנ"י . לקראת סיום.</t>
  </si>
  <si>
    <r>
      <t>הקמת מתנ"ס ברחוב המסילה כולל</t>
    </r>
    <r>
      <rPr>
        <b/>
        <sz val="11"/>
        <rFont val="David"/>
        <family val="2"/>
      </rPr>
      <t xml:space="preserve"> </t>
    </r>
    <r>
      <rPr>
        <sz val="11"/>
        <rFont val="David"/>
        <family val="2"/>
      </rPr>
      <t>הצטיידות. מימון רמ"י ( מוס"צ  מכרזי רמ"י ק. השחקים וג.ים ג'). עדכון שם.</t>
    </r>
  </si>
  <si>
    <t>חינוך לקיימות. קול קורא לשנים 2018-2020. מימון מ. להגנת הסביבה. שינוי מימון.</t>
  </si>
  <si>
    <t>הקמת מעון יום במתנ"ס נווה ישראל.תוספת קומה והקמת 4 כיתות מעון, פיתוח הצטיידות ומיחשוב. הפרויקט הסתיים. סגירת תב"ר.</t>
  </si>
  <si>
    <t xml:space="preserve"> כיתות גן (7) . הפרויקט הסתים . סגירת תב"ר.</t>
  </si>
  <si>
    <t xml:space="preserve">בשנת 2024 מימון פרעון המילוות מים, ביוב ופיתוח  יהיה מתקבול דיבדינד מי הרצליה. </t>
  </si>
  <si>
    <t>השתתפות בפרעון מילוות מים,ביוב ופיתוח (*)</t>
  </si>
  <si>
    <t>מס'
 סידורי</t>
  </si>
  <si>
    <t>מס' 
תב"ר</t>
  </si>
  <si>
    <t>אומדן מאושר
 במועצה</t>
  </si>
  <si>
    <t>ביצוע הכנסות</t>
  </si>
  <si>
    <t>ביצוע 
הוצאות</t>
  </si>
  <si>
    <t>יתרה 
תקציבית</t>
  </si>
  <si>
    <t>מקור מימון</t>
  </si>
  <si>
    <t>אגף</t>
  </si>
  <si>
    <t>מועד אישור וע. כספים</t>
  </si>
  <si>
    <t>מועד אישור מועצה</t>
  </si>
  <si>
    <t>קרנות הרשות</t>
  </si>
  <si>
    <t>הח.לפיתוח</t>
  </si>
  <si>
    <t>אגף הספורט</t>
  </si>
  <si>
    <t>החב. לתיירות</t>
  </si>
  <si>
    <t>מקורות אחרים</t>
  </si>
  <si>
    <t>מ. הפיס</t>
  </si>
  <si>
    <t>תקשוב ומ.מידע</t>
  </si>
  <si>
    <t xml:space="preserve">התב"רים במערכת הכספית של הרשות המקומית ולהיסגר באישור מועצת העיר. עודף סופי בחשבון התב"ר יועבר לקרנות הרשות.   </t>
  </si>
  <si>
    <r>
      <t xml:space="preserve">תב"ר 1845 : חניונים הר' 1900 שינוי תב"ע </t>
    </r>
    <r>
      <rPr>
        <b/>
        <sz val="12"/>
        <color theme="1"/>
        <rFont val="David"/>
        <family val="2"/>
      </rPr>
      <t xml:space="preserve"> - </t>
    </r>
    <r>
      <rPr>
        <sz val="12"/>
        <color theme="1"/>
        <rFont val="David"/>
        <family val="2"/>
      </rPr>
      <t xml:space="preserve">חניונים הר' 1900 </t>
    </r>
    <r>
      <rPr>
        <b/>
        <sz val="12"/>
        <color theme="1"/>
        <rFont val="David"/>
        <family val="2"/>
      </rPr>
      <t>חניון משכית.</t>
    </r>
  </si>
  <si>
    <r>
      <t xml:space="preserve">תב"ר 1957 : מתחם קמפוס הרצליה יד גיורא </t>
    </r>
    <r>
      <rPr>
        <b/>
        <sz val="12"/>
        <color theme="1"/>
        <rFont val="David"/>
        <family val="2"/>
      </rPr>
      <t xml:space="preserve"> - </t>
    </r>
    <r>
      <rPr>
        <sz val="12"/>
        <color theme="1"/>
        <rFont val="David"/>
        <family val="2"/>
      </rPr>
      <t xml:space="preserve"> מתחם קמפוס </t>
    </r>
    <r>
      <rPr>
        <b/>
        <sz val="12"/>
        <color theme="1"/>
        <rFont val="David"/>
        <family val="2"/>
      </rPr>
      <t>המדעים</t>
    </r>
    <r>
      <rPr>
        <sz val="12"/>
        <color theme="1"/>
        <rFont val="David"/>
        <family val="2"/>
      </rPr>
      <t xml:space="preserve"> הרצליה.</t>
    </r>
  </si>
  <si>
    <r>
      <t xml:space="preserve">תב"ר 2017 : הקמת מתנ"ס רחוב המסילה </t>
    </r>
    <r>
      <rPr>
        <b/>
        <sz val="12"/>
        <color theme="1"/>
        <rFont val="David"/>
        <family val="2"/>
      </rPr>
      <t xml:space="preserve"> - </t>
    </r>
    <r>
      <rPr>
        <sz val="12"/>
        <color theme="1"/>
        <rFont val="David"/>
        <family val="2"/>
      </rPr>
      <t xml:space="preserve"> הקמת </t>
    </r>
    <r>
      <rPr>
        <b/>
        <sz val="12"/>
        <color theme="1"/>
        <rFont val="David"/>
        <family val="2"/>
      </rPr>
      <t>בית קהילה</t>
    </r>
    <r>
      <rPr>
        <sz val="12"/>
        <color theme="1"/>
        <rFont val="David"/>
        <family val="2"/>
      </rPr>
      <t xml:space="preserve"> רחוב המסילה.</t>
    </r>
  </si>
  <si>
    <t>דמי חכירה לרמ"י גוש 6669 חל' 508 בי"ס ומתנ"ס נוף ים</t>
  </si>
  <si>
    <t>תשלום דמי חכירה מהוונים גוש 6669 חלקה 508 המיויעדת לבניני ציבור עליה בנויים בי"ס ומתנ"ס נוף ים. הארכת חוזה החכירה לתקופה של 49 שנה מיוני 2023.</t>
  </si>
  <si>
    <t>עבודות הרחבת והכשרת חלקות נוספות חצרות 6+7 בבית העלמין החדש. מימון תאגיד הקבורה.</t>
  </si>
  <si>
    <t>ההסדרה והתקנת מעליות בבית ההורים.</t>
  </si>
  <si>
    <t xml:space="preserve">תשתיות חשמל  תקשורת וריהוט משרדי מרכזים קהילתיים. </t>
  </si>
  <si>
    <t>ציוד הצלה ובטיחות</t>
  </si>
  <si>
    <t>הפיכת הכיכר לחניון תת"ק הכולל תחנת שאיבה,  ומעליו שצ"פ. כחלק מהפיתוח הסביבתי הכולל הסדרת דרך הירידה לחוף.  ב - 2024 - תכנון ראשוני.</t>
  </si>
  <si>
    <t>הכנת תוכנית אנרגיה עירונית הכוללת סקר והכנת תוכנית מדיניות אנרגיה עירונית ופעולות לאנרגיה מקיימת, הכנת תוכנית פעולה ופעולות ליישום התוכנית.</t>
  </si>
  <si>
    <t>שיקום רציף חיל הים ותחנת הדלק</t>
  </si>
  <si>
    <t>עבודות שיקום הרציפים והמזחים במעגנה כולל תשתיות חשמל , מים ומרכיבי בטיחות.</t>
  </si>
  <si>
    <t xml:space="preserve">שיקום רציפי המרינה </t>
  </si>
  <si>
    <t>כיכר דה - שליט ומבואות השרון</t>
  </si>
  <si>
    <t>בדיקת מבנים לעמידות במקרה של רעידות אדמה.</t>
  </si>
  <si>
    <t>הקמת קמפוס מדעים:בי"ס להנדסאים ותיכון חדש. כולל הצטיידות. מימון מ. החינוך. עדכון שם.</t>
  </si>
  <si>
    <r>
      <rPr>
        <sz val="11"/>
        <rFont val="David"/>
        <family val="2"/>
      </rPr>
      <t>פיתוח הגשר מעל כביש 20 איזור גליל ים</t>
    </r>
    <r>
      <rPr>
        <b/>
        <sz val="11"/>
        <rFont val="David"/>
        <family val="2"/>
      </rPr>
      <t xml:space="preserve">. </t>
    </r>
    <r>
      <rPr>
        <sz val="11"/>
        <rFont val="David"/>
        <family val="2"/>
      </rPr>
      <t xml:space="preserve"> תכנון. הביצוע ע"י נתיבי איילון.</t>
    </r>
  </si>
  <si>
    <t>בדיקת התכנות לבניית גנ"י במתחמים שונים ברחבי העיר בהתאם לצרכים העירוניים מעת לעת. 2024: כולל בדיקת היתכנות במגרשים 200-202 בגליל ים ג'.</t>
  </si>
  <si>
    <t>הקמת תיכון 30 כיתות בשב"צ דן שומרון גוש 656 חל' 991. תכנון.</t>
  </si>
  <si>
    <t>הכנת ת.אב לאיגומים ברחבי העיר, סקר שטחים ציבוריים והקמת ביופילטרים, מתקנים לסינון מים מזוהמים ומניעת בזבוז מי נגר עירוני, סקר שטחים פתוחים לצורך מימוש כמאגרי השהייה.</t>
  </si>
  <si>
    <t>פיתוח מתחם קרית השחקים תמ"ל 1082. קרן ייעודית.</t>
  </si>
  <si>
    <t>פיתוח מתחם גליל ים ג' הר' 1068. מימון רמ"י ( שצ"פים מכרז "הבריגדה"). קרן ייעודית.</t>
  </si>
  <si>
    <t>תכנון מקווה במתחם גליל ים. חן סופיים.</t>
  </si>
  <si>
    <t>בי"ס יסודי בשטח 304.תכנון וביצוע.  מימון מ. החינוך.</t>
  </si>
  <si>
    <t>סל לשדרוג כבישים במקביל לעבודת תאגיד המים ומדרכות ברחבי העיר עפ"י תוכנית עבודה שתאושר ע"י הנהלת העיר. ראה תב"ר המשך מס' 20115.</t>
  </si>
  <si>
    <t xml:space="preserve">התקנת מעליות, שרותים ,רמפות בבי"ס עפ"י תוכנית רב שנתית. מימון מ. החינוך. ב - 2024 :נגישות  אחיה, וולפסון,  נתיב ומסגרת עבודות  400 אלשח. 2024:נגישות  אחיה, וולפסון,  נתיב ומסגרת עבודות. </t>
  </si>
  <si>
    <t xml:space="preserve">תוכנית אב לשילוט של כל סוגי השילוט בעיר . 2024 : כולל גינות ציבוריות מקומות מתקני משחק וכושר, שילוט רחוב הפניה למקלטים. </t>
  </si>
  <si>
    <t xml:space="preserve">החלפת מזגנים , החלפת תאורה ללדים  ובקרת מבנים במוס"ח ובמוסדות עירוניים. חן סופיים. לקראת סגירה. </t>
  </si>
  <si>
    <t>התקנת חיבורים חיצוניים לגנרטורים  במבני חינוך וציבור לשימוש בעת הצורך. חן סופיים. התב"ר לסגירה.</t>
  </si>
  <si>
    <t>רכישת טרקטור לעבודות בחופים . סגירת תב"ר.</t>
  </si>
  <si>
    <t>עבודות שיפוץ הקונסבטוריון כ- 1,000מ"ר ב-2 קומות בשכונת יד התשעה .מימון מ. הפיס. הסתיים. ייסגר עם קבלת  תקבול מ. הפיס.</t>
  </si>
  <si>
    <t>החלפת תאורה ללדים באולמות הספורט עפ"י רשימה שתאושר ע"י הנהלת העיר.</t>
  </si>
  <si>
    <t>פרויקט החלפת ריהוט המותאם למאה ה - 21  בכל ביה"ס. תוכנית רב שנתית. יהיה במסגרת תב"ר 20030 שיפוצים מוס"ח.</t>
  </si>
  <si>
    <t>התקנת שערים תקניים בארבעת מגרשי האימון  .</t>
  </si>
  <si>
    <t>החלפת דשא טבעי ב-2 מגרשי אימונים משק  והחלפת דשא מלאכותי במגרשי קאנטרי .</t>
  </si>
  <si>
    <t xml:space="preserve">סגירת תב"ר . </t>
  </si>
  <si>
    <t xml:space="preserve">תוספות שינויים ושיפורים שדרוג מערכות הליבה הח.לאוטומציה וציוד חומרה. בהתאם לבקשות מעת לעת. </t>
  </si>
  <si>
    <t>מערכות מתקדמות לעיר חכמה כולל שו"ב מצלמות , ציוד נלווה ותשתיות מיחשוב. 2024:  כולל צמתים במערב העיר , גינות ציבוריות.</t>
  </si>
  <si>
    <t>קידום פעולות חינוך בנושא משבר האקלים במערכת החינוך הפורמלי , הלתי פורמלי ובקהילה. מימון מ. להגנת הסביבה.</t>
  </si>
  <si>
    <t>קרנות ייעודיות (*)</t>
  </si>
  <si>
    <t>הקמת מרחבים מוגנים</t>
  </si>
  <si>
    <t>פיתוח קרית השחקים, פיתוח גליל ים ג' והקמת מרחבים מוגנים.</t>
  </si>
  <si>
    <t xml:space="preserve">קרנות ייעודיות עבור  פרויקטים:  </t>
  </si>
  <si>
    <t>סל למערכות שונות ורכש לצרכי בטחון. מימון מ. הפנים.</t>
  </si>
  <si>
    <t>הכנת תוכנית עירונית  להצללה</t>
  </si>
  <si>
    <t>קרן ייעודית - גליל ים ג' , קרית השחקים</t>
  </si>
  <si>
    <t>מוזיאון הרצליה הרחבה ושיפוץ</t>
  </si>
  <si>
    <t>פיתוח מתחם גליל ים ג'</t>
  </si>
  <si>
    <t>בניית בי"ס ירוק ברחוב משה</t>
  </si>
  <si>
    <t>פיתוח מתחם מתנ"ס נווה עמל ומגרשי הטניס</t>
  </si>
  <si>
    <t>פרויקט : קריית חינוך שמעון פרס (גליל ים ב' מגרש 406)</t>
  </si>
  <si>
    <t>פרויקט : מעון יום נווה ישראל</t>
  </si>
  <si>
    <t>התקציב מיועד ברובו לפרויקטים של הצטידויות של מוסדות חינוך חדשים ולאחר שיפוץ.</t>
  </si>
  <si>
    <t>התקציב מיועד לעבודות התאמה לתקן מגרשי הספורט,שיקום איצטדיון גורדון ,</t>
  </si>
  <si>
    <t>התקציב מיועד לשיפוץ מבני תרבות ונוער והצטיידות מרכז המוסיקה ביד התשעה.</t>
  </si>
  <si>
    <t xml:space="preserve">בשנת  2023  הוחלט על שינוי מבנה אירגוני ואגף ת.נ.ו.ס פוצל לאגף הספורט </t>
  </si>
  <si>
    <t>מתנ"ס נוף ים</t>
  </si>
  <si>
    <t>מתיחת פנים נווה עמל</t>
  </si>
  <si>
    <t>התאמות נגישות מוס"ח</t>
  </si>
  <si>
    <t>בנוסף, תקציב מינהל התפעול כולל פרויקטים של עבודות שונות בפארק ,</t>
  </si>
  <si>
    <t>סככות הצללה גני משחקים, פרויקט שיפוצי חזיתות בתים.</t>
  </si>
  <si>
    <t xml:space="preserve">התקציב מיועד לתב"ע חזית חוף הים, תוכנית אב לתיירות, תוכנית אנרגיה עירונית </t>
  </si>
  <si>
    <t>והתחלת עבודות שיקום הרציפים והמזחים במעגנה .</t>
  </si>
  <si>
    <t>המשך הקמת אתר עירוני .</t>
  </si>
  <si>
    <t>מתוקצב מקרן עבודות פיתוח וקרן רכוש.</t>
  </si>
  <si>
    <t>פרויקטים דחופים בלתי צפויים מראש/מימוני ביניים ופרויקטים של איכות הסביבה.</t>
  </si>
  <si>
    <t>סה"כ 73</t>
  </si>
  <si>
    <t>סה"כ 74</t>
  </si>
  <si>
    <t>סה"כ 76</t>
  </si>
  <si>
    <t>סה"כ 87</t>
  </si>
  <si>
    <t>סה"כ 747</t>
  </si>
  <si>
    <t>סה"כ 81</t>
  </si>
  <si>
    <t>סה"כ 82</t>
  </si>
  <si>
    <t>סה"כ 84</t>
  </si>
  <si>
    <t>סה"כ 85</t>
  </si>
  <si>
    <t>סה"כ 61</t>
  </si>
  <si>
    <t>סה"כ 72</t>
  </si>
  <si>
    <t>סה"כ 764</t>
  </si>
  <si>
    <t>סה"כ 848</t>
  </si>
  <si>
    <t>סה"כ 93</t>
  </si>
  <si>
    <t>סה"כ 826</t>
  </si>
  <si>
    <t>סה"כ 99</t>
  </si>
  <si>
    <t>תקציב נוסף נדרש במסגרת תוכנית עבודה2023</t>
  </si>
  <si>
    <t>תקציב נוסף נדרש מעבר לתוכנית עבודה2023</t>
  </si>
  <si>
    <t>תשלומים בלתי רגילים</t>
  </si>
  <si>
    <t>פרויקט :שביל אופניים בז'בוטינסקי</t>
  </si>
  <si>
    <t>פרויקט : רח' דליה רביקוביץ</t>
  </si>
  <si>
    <t>פרויקט : שצ"פ העצמאות</t>
  </si>
  <si>
    <t>סה"כ תקציב שמומש עד 31.12.23</t>
  </si>
  <si>
    <t>יתרה שלא מומשה</t>
  </si>
  <si>
    <t>אומדן לביצוע 2023</t>
  </si>
  <si>
    <r>
      <t xml:space="preserve">שדרוג סוקולוב </t>
    </r>
    <r>
      <rPr>
        <strike/>
        <sz val="11"/>
        <rFont val="David"/>
        <family val="2"/>
      </rPr>
      <t>בקטע שבין הנדיב עד פינסקר</t>
    </r>
    <r>
      <rPr>
        <sz val="11"/>
        <rFont val="David"/>
        <family val="2"/>
        <charset val="177"/>
      </rPr>
      <t xml:space="preserve"> </t>
    </r>
    <r>
      <rPr>
        <b/>
        <sz val="11"/>
        <rFont val="David"/>
        <family val="2"/>
      </rPr>
      <t>(*) עדכון שם</t>
    </r>
  </si>
  <si>
    <r>
      <t xml:space="preserve">עדכון אומדן.הקטנת תקציב יתרת הרשאה מ. הפנים. </t>
    </r>
    <r>
      <rPr>
        <b/>
        <sz val="11"/>
        <rFont val="David"/>
        <family val="2"/>
      </rPr>
      <t>סגירת תב"ר.</t>
    </r>
  </si>
  <si>
    <r>
      <t xml:space="preserve">שינוי מימון. מ. הפיס. </t>
    </r>
    <r>
      <rPr>
        <b/>
        <sz val="11"/>
        <rFont val="David"/>
        <family val="2"/>
      </rPr>
      <t>סגירת תבר.</t>
    </r>
  </si>
  <si>
    <r>
      <t xml:space="preserve">בריכה באפולוניה - הצטיידות </t>
    </r>
    <r>
      <rPr>
        <b/>
        <sz val="11"/>
        <rFont val="David"/>
        <family val="2"/>
      </rPr>
      <t xml:space="preserve"> (*) עדכון</t>
    </r>
  </si>
  <si>
    <t>ביצוע כולל צפי עד 31.12.2023 (*)</t>
  </si>
  <si>
    <t>הביצוע עד 31.12.23 הינו סופי לאור דחיית מועד אישור תקציב 2024 לשנת 2024.</t>
  </si>
  <si>
    <t xml:space="preserve">לביצוע פרויקטים בשנת 2025 ואילך בסכום של  </t>
  </si>
  <si>
    <t>ולאגף תרבות, נוער וקהילה (ת.נ.ו.ק).</t>
  </si>
  <si>
    <t xml:space="preserve">מינהל כללי </t>
  </si>
  <si>
    <t xml:space="preserve">הנחיות משרד הפנים קובעות כי תב"ר שהגיע לסיומו או לא הוחל בביצועו או לא הוצאו בגינו התחייבויות כספיות ,עליו להגרע מקובץ </t>
  </si>
  <si>
    <t>פרויקט :אופני דן</t>
  </si>
  <si>
    <t>מספר הפרויקטים המטופלים ע"י מינהל הנדסה :</t>
  </si>
  <si>
    <t>מספר הפרויקטים המטופלים ע"י החברה לפיתוח הרצליה :</t>
  </si>
  <si>
    <r>
      <t xml:space="preserve">תב"ר 20011 : גנ"י חנה רובינא </t>
    </r>
    <r>
      <rPr>
        <b/>
        <sz val="12"/>
        <color theme="1"/>
        <rFont val="David"/>
        <family val="2"/>
      </rPr>
      <t xml:space="preserve"> - </t>
    </r>
    <r>
      <rPr>
        <sz val="12"/>
        <color theme="1"/>
        <rFont val="David"/>
        <family val="2"/>
      </rPr>
      <t xml:space="preserve"> גנ"י </t>
    </r>
    <r>
      <rPr>
        <b/>
        <sz val="12"/>
        <color theme="1"/>
        <rFont val="David"/>
        <family val="2"/>
      </rPr>
      <t>ומעון יום שיקומי</t>
    </r>
    <r>
      <rPr>
        <sz val="12"/>
        <color theme="1"/>
        <rFont val="David"/>
        <family val="2"/>
      </rPr>
      <t xml:space="preserve"> חנה רובינא.</t>
    </r>
  </si>
  <si>
    <t>מתחם קמפוס המדעים הרצליה</t>
  </si>
  <si>
    <t>קרן ייעודית - הקמת מרחבים מוגנים</t>
  </si>
  <si>
    <t>בשנת 2023  הוחלט על שינוי מבנה אירגוני ואגף ת.נ.ו.ס פוצל לאגף הספורט</t>
  </si>
  <si>
    <t>ולאגף תרבות,נוער וקהילה (ת.נ.ו.ק).</t>
  </si>
  <si>
    <t xml:space="preserve">הקמת מתקן הכולל מסלולי אתגרים ספוטיביים במגרש הספורט ברחוב האשל. הפרויקט הסתיים. סגירת תב"ר. </t>
  </si>
  <si>
    <t>סגירת 23 פרויקטים שהסתיימו/לא נוצלו  והחזרת עודפי תקציב לקרנות הרשות.</t>
  </si>
  <si>
    <t xml:space="preserve">תקציב 2024 כולל סגירת 23 תב"רים שהסתיימו/לא נוצלו והחזרת עודפי תקציב לקרנות הרשות בסכום של 1,993,051 ₪.  </t>
  </si>
  <si>
    <t>סגירת תב"רים שנת 2024</t>
  </si>
  <si>
    <t>התקנת שערים תקניים בארבעת מגרשי האימון.</t>
  </si>
  <si>
    <t xml:space="preserve">בשנת 2023  הוחלט על שינוי מבנה אירגוני ואגף ת.נ.ו.ס פוצל לאגף הספורט </t>
  </si>
  <si>
    <t>עבודות שונות,שיפוצים, ציוד בספריות, מרכזים קהילתיים, מוזיאונים עפ"י תוכנית עבודה.</t>
  </si>
  <si>
    <t xml:space="preserve">הצטיידות ריהוט, ציוד נגינה ואביזרי הוראה במרכז המוסיקה לאחר שיפוץ והתאמת מבנה ביד התשעה . ראה תב"ר 20037 מינהל תפעול. </t>
  </si>
  <si>
    <t>השתתפות העיריה בהקמת המטרו עפ"י צו רכבת תחתית (מטרו) , התשפ"ג - 2022.</t>
  </si>
  <si>
    <t>מקורות מימון - סה"כ מימוש תקציב עד 31.12.23</t>
  </si>
  <si>
    <t>מספר הפרויקטים המטופלים ע"י מינהל תפעול :</t>
  </si>
  <si>
    <t>מסגרת עבודות גידור מגרשי ספורט.</t>
  </si>
  <si>
    <t>משנת 2022 מחלקת איכות הסביבה הועברה לכפיפות ההנהלה ממינהל התפעול.</t>
  </si>
  <si>
    <t>סל עבודות פרויקטים תחבורתיים עפ"י החלטות וע.תנועה ופניות הציבור:הסדרים בטיחותיים בצמתים ,הסדרי חניה,תכנון תנועתי חדש. ראה תב"ר המשך מס' 20115 במינהל תפעול.</t>
  </si>
  <si>
    <t>17-30</t>
  </si>
  <si>
    <t>31-59</t>
  </si>
  <si>
    <t>60-87</t>
  </si>
  <si>
    <t>88-90</t>
  </si>
  <si>
    <t>91-93</t>
  </si>
  <si>
    <t>94-95</t>
  </si>
  <si>
    <t>96-98</t>
  </si>
  <si>
    <t>99-101</t>
  </si>
  <si>
    <t>102-104</t>
  </si>
  <si>
    <t>105-108</t>
  </si>
  <si>
    <t>109-151</t>
  </si>
  <si>
    <t>152-154</t>
  </si>
  <si>
    <t>סגירת תב"רים 2024</t>
  </si>
  <si>
    <t>פרוט הפרויקטים מובא בעמוד 154 - 152</t>
  </si>
  <si>
    <r>
      <t xml:space="preserve">דו"ח מפורט מובא בעמודים  </t>
    </r>
    <r>
      <rPr>
        <b/>
        <sz val="12"/>
        <rFont val="David"/>
        <family val="2"/>
      </rPr>
      <t xml:space="preserve">151 - 109 </t>
    </r>
  </si>
  <si>
    <t>פרוט הפרויקטים מובא בעמוד 155</t>
  </si>
  <si>
    <t>תאור הפרויקטים מובא בעמודים 30 - 25</t>
  </si>
  <si>
    <t>תאור הפרויקטים מובא בעמודים 59 - 45</t>
  </si>
  <si>
    <t>תאור הפרויקטים מובא בעמודים 87 - 75</t>
  </si>
  <si>
    <t>115 - 111</t>
  </si>
  <si>
    <t>132 - 125</t>
  </si>
  <si>
    <t>134 - 133</t>
  </si>
  <si>
    <t>140 - 139</t>
  </si>
  <si>
    <t>151 - 141</t>
  </si>
  <si>
    <t>מספר הפרויקטים המטופלים ע"י מינהל חינוך :</t>
  </si>
  <si>
    <t>מספר הפרויקטים המטופלים ע"י אגף ספורט :</t>
  </si>
  <si>
    <t>מספר הפרויקטים המטופלים ע"י אגף ת.נ.ו.ק :</t>
  </si>
  <si>
    <t>מספר הפרויקטים המטופלים ע"י החברה לפיתוח התיירות הרצליה :</t>
  </si>
  <si>
    <t>מספר הפרויקטים המטופלים ע"י אגף תקשוב ומערכות מידע :</t>
  </si>
  <si>
    <t>תאור הפרויקטים מובא בעמודים 106 - 108</t>
  </si>
  <si>
    <t>עדכוני תקציב בלתי רגיל במהלך 2023</t>
  </si>
  <si>
    <t>אגף תרבות נוער וספורט</t>
  </si>
  <si>
    <t xml:space="preserve">עבודות הריסת מבנים ובניה ,עבודות גינון והצטיידות קאונטרי הרצליה. </t>
  </si>
  <si>
    <t>שדרוג והחלפת מערכות צ'ילרים . מימון חלקי תאגיד התרבות .</t>
  </si>
  <si>
    <t>ההסדרה והתקנת מעליות בבית ההורים רח' אנה פרנק.</t>
  </si>
  <si>
    <t>הצטיידות מעבדה בהנדסאים .הפרויקט הסתיים. סגירת תב"ר.</t>
  </si>
  <si>
    <t>עדכוני תקציב  כולל צפי עד 31.12.2023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</si>
</sst>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%"/>
    <numFmt numFmtId="165" formatCode="_ * #,##0_ ;_ * \-#,##0_ ;_ * &quot;-&quot;??_ ;_ @_ "/>
  </numFmts>
  <fonts count="122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b/>
      <sz val="11"/>
      <name val="David"/>
      <family val="2"/>
      <charset val="177"/>
    </font>
    <font>
      <sz val="11"/>
      <name val="David"/>
      <family val="2"/>
      <charset val="177"/>
    </font>
    <font>
      <sz val="12"/>
      <name val="David"/>
      <family val="2"/>
      <charset val="177"/>
    </font>
    <font>
      <b/>
      <sz val="12"/>
      <name val="David"/>
      <family val="2"/>
      <charset val="177"/>
    </font>
    <font>
      <sz val="10"/>
      <name val="Arial"/>
      <family val="2"/>
      <scheme val="minor"/>
    </font>
    <font>
      <sz val="10"/>
      <name val="Arial"/>
      <family val="2"/>
    </font>
    <font>
      <b/>
      <u/>
      <sz val="18"/>
      <name val="David"/>
      <family val="2"/>
      <charset val="177"/>
    </font>
    <font>
      <b/>
      <u/>
      <sz val="14"/>
      <name val="David"/>
      <family val="2"/>
      <charset val="177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1"/>
      <name val="David"/>
      <family val="2"/>
    </font>
    <font>
      <b/>
      <sz val="11"/>
      <name val="David"/>
      <family val="2"/>
    </font>
    <font>
      <b/>
      <sz val="12"/>
      <name val="David"/>
      <family val="2"/>
    </font>
    <font>
      <sz val="12"/>
      <name val="David"/>
      <family val="2"/>
    </font>
    <font>
      <sz val="11"/>
      <color rgb="FF000000"/>
      <name val="Nachlieli CLM"/>
      <family val="2"/>
      <charset val="1"/>
    </font>
    <font>
      <b/>
      <u/>
      <sz val="16"/>
      <name val="David"/>
      <family val="2"/>
      <charset val="177"/>
    </font>
    <font>
      <b/>
      <u/>
      <sz val="16"/>
      <color theme="1"/>
      <name val="David"/>
      <family val="2"/>
      <charset val="177"/>
    </font>
    <font>
      <sz val="12"/>
      <color theme="1"/>
      <name val="David"/>
      <family val="2"/>
      <charset val="177"/>
    </font>
    <font>
      <b/>
      <u/>
      <sz val="12"/>
      <color theme="1"/>
      <name val="David"/>
      <family val="2"/>
      <charset val="177"/>
    </font>
    <font>
      <b/>
      <sz val="12"/>
      <color theme="1"/>
      <name val="David"/>
      <family val="2"/>
      <charset val="177"/>
    </font>
    <font>
      <sz val="12"/>
      <color theme="1"/>
      <name val="Wingdings"/>
      <charset val="2"/>
    </font>
    <font>
      <strike/>
      <sz val="12"/>
      <color theme="1"/>
      <name val="Times New Roman"/>
      <family val="1"/>
    </font>
    <font>
      <sz val="14"/>
      <color theme="1"/>
      <name val="David"/>
      <family val="2"/>
      <charset val="177"/>
    </font>
    <font>
      <b/>
      <u/>
      <sz val="14"/>
      <color theme="1"/>
      <name val="David"/>
      <family val="2"/>
      <charset val="177"/>
    </font>
    <font>
      <sz val="14"/>
      <color theme="1"/>
      <name val="Arial"/>
      <family val="2"/>
      <charset val="177"/>
      <scheme val="minor"/>
    </font>
    <font>
      <u val="singleAccounting"/>
      <sz val="12"/>
      <color theme="1"/>
      <name val="David"/>
      <family val="2"/>
      <charset val="177"/>
    </font>
    <font>
      <b/>
      <u val="doubleAccounting"/>
      <sz val="12"/>
      <color theme="1"/>
      <name val="David"/>
      <family val="2"/>
      <charset val="177"/>
    </font>
    <font>
      <b/>
      <sz val="11"/>
      <color theme="1"/>
      <name val="Arial"/>
      <family val="2"/>
      <scheme val="minor"/>
    </font>
    <font>
      <b/>
      <sz val="18"/>
      <color rgb="FFFF0000"/>
      <name val="David"/>
      <family val="2"/>
      <charset val="177"/>
    </font>
    <font>
      <b/>
      <sz val="12"/>
      <color theme="1"/>
      <name val="David"/>
      <family val="2"/>
    </font>
    <font>
      <sz val="11"/>
      <color theme="1"/>
      <name val="Wingdings"/>
      <charset val="2"/>
    </font>
    <font>
      <sz val="12"/>
      <color theme="1"/>
      <name val="David"/>
      <family val="2"/>
    </font>
    <font>
      <strike/>
      <sz val="11"/>
      <name val="David"/>
      <family val="2"/>
    </font>
    <font>
      <b/>
      <sz val="18"/>
      <color theme="1"/>
      <name val="David"/>
      <family val="2"/>
    </font>
    <font>
      <b/>
      <u/>
      <sz val="18"/>
      <name val="David"/>
      <family val="2"/>
    </font>
    <font>
      <b/>
      <sz val="16"/>
      <color theme="1"/>
      <name val="David"/>
      <family val="2"/>
    </font>
    <font>
      <b/>
      <sz val="16"/>
      <color theme="1"/>
      <name val="Arial"/>
      <family val="2"/>
      <scheme val="minor"/>
    </font>
    <font>
      <b/>
      <u/>
      <sz val="12"/>
      <color theme="1"/>
      <name val="David"/>
      <family val="2"/>
    </font>
    <font>
      <b/>
      <sz val="11"/>
      <color theme="1"/>
      <name val="Wingdings"/>
      <charset val="2"/>
    </font>
    <font>
      <strike/>
      <sz val="12"/>
      <color theme="1"/>
      <name val="David"/>
      <family val="2"/>
      <charset val="177"/>
    </font>
    <font>
      <strike/>
      <sz val="11"/>
      <color theme="1"/>
      <name val="Arial"/>
      <family val="2"/>
      <charset val="177"/>
      <scheme val="minor"/>
    </font>
    <font>
      <b/>
      <strike/>
      <sz val="11"/>
      <color theme="1"/>
      <name val="Arial"/>
      <family val="2"/>
      <scheme val="minor"/>
    </font>
    <font>
      <b/>
      <sz val="10"/>
      <name val="David"/>
      <family val="2"/>
      <charset val="177"/>
    </font>
    <font>
      <sz val="9"/>
      <name val="David"/>
      <family val="2"/>
    </font>
    <font>
      <b/>
      <sz val="10"/>
      <name val="Arial"/>
      <family val="2"/>
    </font>
    <font>
      <sz val="12"/>
      <name val="Arial"/>
      <family val="2"/>
      <scheme val="minor"/>
    </font>
    <font>
      <b/>
      <sz val="16"/>
      <name val="David"/>
      <family val="2"/>
    </font>
    <font>
      <sz val="12"/>
      <color rgb="FFFF0000"/>
      <name val="David"/>
      <family val="2"/>
      <charset val="177"/>
    </font>
    <font>
      <b/>
      <sz val="12"/>
      <color rgb="FFFF0000"/>
      <name val="David"/>
      <family val="2"/>
      <charset val="177"/>
    </font>
    <font>
      <sz val="11"/>
      <color rgb="FF3333FF"/>
      <name val="David"/>
      <family val="2"/>
      <charset val="177"/>
    </font>
    <font>
      <sz val="11"/>
      <color rgb="FF7030A0"/>
      <name val="David"/>
      <family val="2"/>
      <charset val="177"/>
    </font>
    <font>
      <b/>
      <sz val="14"/>
      <name val="David"/>
      <family val="2"/>
    </font>
    <font>
      <b/>
      <u/>
      <sz val="16"/>
      <name val="David"/>
      <family val="2"/>
    </font>
    <font>
      <sz val="12"/>
      <color rgb="FF7030A0"/>
      <name val="David"/>
      <family val="2"/>
      <charset val="177"/>
    </font>
    <font>
      <b/>
      <strike/>
      <sz val="11"/>
      <name val="David"/>
      <family val="2"/>
    </font>
    <font>
      <b/>
      <sz val="11"/>
      <color rgb="FFFF0000"/>
      <name val="David"/>
      <family val="2"/>
    </font>
    <font>
      <sz val="11"/>
      <color rgb="FFFF0000"/>
      <name val="David"/>
      <family val="2"/>
    </font>
    <font>
      <b/>
      <u/>
      <sz val="12"/>
      <name val="David"/>
      <family val="2"/>
    </font>
    <font>
      <sz val="14"/>
      <name val="David"/>
      <family val="2"/>
    </font>
    <font>
      <sz val="10"/>
      <name val="David"/>
      <family val="2"/>
    </font>
    <font>
      <sz val="11"/>
      <color rgb="FFFF0000"/>
      <name val="David"/>
      <family val="2"/>
      <charset val="177"/>
    </font>
    <font>
      <sz val="11"/>
      <color rgb="FF0070C0"/>
      <name val="David"/>
      <family val="2"/>
    </font>
    <font>
      <sz val="11"/>
      <color rgb="FF00B050"/>
      <name val="David"/>
      <family val="2"/>
      <charset val="177"/>
    </font>
    <font>
      <strike/>
      <sz val="12"/>
      <name val="David"/>
      <family val="2"/>
    </font>
    <font>
      <sz val="12"/>
      <color rgb="FFFF0000"/>
      <name val="David"/>
      <family val="2"/>
    </font>
    <font>
      <b/>
      <u/>
      <sz val="11"/>
      <name val="David"/>
      <family val="2"/>
    </font>
    <font>
      <b/>
      <sz val="11"/>
      <color rgb="FFFF0000"/>
      <name val="Arial"/>
      <family val="2"/>
      <charset val="177"/>
      <scheme val="minor"/>
    </font>
    <font>
      <sz val="12"/>
      <color rgb="FF1F497D"/>
      <name val="Arial"/>
      <family val="2"/>
    </font>
    <font>
      <strike/>
      <sz val="12"/>
      <color rgb="FFFF0000"/>
      <name val="David"/>
      <family val="2"/>
    </font>
    <font>
      <sz val="11"/>
      <name val="Arial"/>
      <family val="2"/>
      <scheme val="minor"/>
    </font>
    <font>
      <sz val="11"/>
      <name val="Arial"/>
      <family val="2"/>
      <charset val="177"/>
      <scheme val="minor"/>
    </font>
    <font>
      <sz val="11"/>
      <name val="Wingdings"/>
      <charset val="2"/>
    </font>
    <font>
      <b/>
      <sz val="11"/>
      <color rgb="FF3333FF"/>
      <name val="David"/>
      <family val="2"/>
    </font>
    <font>
      <b/>
      <sz val="11"/>
      <color rgb="FF7030A0"/>
      <name val="David"/>
      <family val="2"/>
    </font>
    <font>
      <b/>
      <sz val="11"/>
      <color rgb="FF7030A0"/>
      <name val="David"/>
      <family val="2"/>
      <charset val="177"/>
    </font>
    <font>
      <b/>
      <sz val="11"/>
      <color rgb="FF3333FF"/>
      <name val="David"/>
      <family val="2"/>
      <charset val="177"/>
    </font>
    <font>
      <sz val="11"/>
      <name val="Arial"/>
      <family val="2"/>
    </font>
    <font>
      <b/>
      <u/>
      <sz val="11"/>
      <name val="David"/>
      <family val="2"/>
      <charset val="177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02">
    <xf numFmtId="0" fontId="0" fillId="0" borderId="0"/>
    <xf numFmtId="0" fontId="40" fillId="0" borderId="0"/>
    <xf numFmtId="0" fontId="46" fillId="0" borderId="0">
      <alignment vertical="top"/>
    </xf>
    <xf numFmtId="0" fontId="40" fillId="2" borderId="1" applyNumberFormat="0" applyFont="0" applyAlignment="0" applyProtection="0"/>
    <xf numFmtId="0" fontId="47" fillId="0" borderId="0"/>
    <xf numFmtId="0" fontId="39" fillId="0" borderId="0"/>
    <xf numFmtId="0" fontId="39" fillId="0" borderId="0"/>
    <xf numFmtId="0" fontId="39" fillId="2" borderId="1" applyNumberFormat="0" applyFont="0" applyAlignment="0" applyProtection="0"/>
    <xf numFmtId="0" fontId="39" fillId="2" borderId="1" applyNumberFormat="0" applyFont="0" applyAlignment="0" applyProtection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8" fillId="0" borderId="0"/>
    <xf numFmtId="43" fontId="53" fillId="0" borderId="0" applyFont="0" applyFill="0" applyBorder="0" applyAlignment="0" applyProtection="0"/>
    <xf numFmtId="0" fontId="58" fillId="0" borderId="0"/>
    <xf numFmtId="43" fontId="58" fillId="0" borderId="0" applyFont="0" applyFill="0" applyBorder="0" applyAlignment="0" applyProtection="0"/>
    <xf numFmtId="0" fontId="37" fillId="0" borderId="0"/>
    <xf numFmtId="0" fontId="4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43" fontId="36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943">
    <xf numFmtId="0" fontId="0" fillId="0" borderId="0" xfId="0"/>
    <xf numFmtId="0" fontId="43" fillId="0" borderId="0" xfId="0" applyFont="1" applyAlignment="1">
      <alignment wrapText="1"/>
    </xf>
    <xf numFmtId="3" fontId="42" fillId="0" borderId="2" xfId="4" applyNumberFormat="1" applyFont="1" applyBorder="1" applyAlignment="1">
      <alignment horizontal="right" vertical="center" wrapText="1"/>
    </xf>
    <xf numFmtId="0" fontId="43" fillId="0" borderId="2" xfId="4" applyFont="1" applyBorder="1" applyAlignment="1">
      <alignment vertical="center" wrapText="1"/>
    </xf>
    <xf numFmtId="3" fontId="43" fillId="0" borderId="2" xfId="4" applyNumberFormat="1" applyFont="1" applyBorder="1" applyAlignment="1">
      <alignment vertical="center" wrapText="1"/>
    </xf>
    <xf numFmtId="0" fontId="43" fillId="0" borderId="0" xfId="4" applyFont="1" applyAlignment="1">
      <alignment vertical="center" wrapText="1"/>
    </xf>
    <xf numFmtId="0" fontId="42" fillId="0" borderId="0" xfId="4" applyFont="1" applyAlignment="1">
      <alignment vertical="center" wrapText="1"/>
    </xf>
    <xf numFmtId="0" fontId="42" fillId="0" borderId="2" xfId="4" applyFont="1" applyBorder="1" applyAlignment="1">
      <alignment vertical="center" wrapText="1"/>
    </xf>
    <xf numFmtId="3" fontId="42" fillId="0" borderId="2" xfId="4" applyNumberFormat="1" applyFont="1" applyBorder="1" applyAlignment="1">
      <alignment vertical="center" wrapText="1"/>
    </xf>
    <xf numFmtId="3" fontId="44" fillId="0" borderId="2" xfId="4" applyNumberFormat="1" applyFont="1" applyBorder="1" applyAlignment="1">
      <alignment vertical="center" wrapText="1"/>
    </xf>
    <xf numFmtId="0" fontId="43" fillId="0" borderId="0" xfId="4" applyFont="1"/>
    <xf numFmtId="3" fontId="43" fillId="0" borderId="0" xfId="4" applyNumberFormat="1" applyFont="1"/>
    <xf numFmtId="3" fontId="42" fillId="0" borderId="2" xfId="0" applyNumberFormat="1" applyFont="1" applyBorder="1" applyAlignment="1">
      <alignment horizontal="right" vertical="center" wrapText="1"/>
    </xf>
    <xf numFmtId="0" fontId="42" fillId="0" borderId="2" xfId="4" applyFont="1" applyBorder="1" applyAlignment="1">
      <alignment horizontal="right" vertical="center" wrapText="1"/>
    </xf>
    <xf numFmtId="0" fontId="43" fillId="0" borderId="0" xfId="4" applyFont="1" applyAlignment="1">
      <alignment wrapText="1"/>
    </xf>
    <xf numFmtId="0" fontId="42" fillId="0" borderId="2" xfId="0" applyFont="1" applyBorder="1" applyAlignment="1">
      <alignment horizontal="right" vertical="center" wrapText="1"/>
    </xf>
    <xf numFmtId="0" fontId="42" fillId="0" borderId="0" xfId="4" applyFont="1" applyAlignment="1">
      <alignment horizontal="right" vertical="center" wrapText="1"/>
    </xf>
    <xf numFmtId="3" fontId="44" fillId="0" borderId="0" xfId="4" applyNumberFormat="1" applyFont="1" applyAlignment="1">
      <alignment vertical="center" wrapText="1"/>
    </xf>
    <xf numFmtId="3" fontId="42" fillId="0" borderId="0" xfId="4" applyNumberFormat="1" applyFont="1" applyAlignment="1">
      <alignment horizontal="right" vertical="center" wrapText="1"/>
    </xf>
    <xf numFmtId="0" fontId="54" fillId="0" borderId="2" xfId="4" applyFont="1" applyBorder="1" applyAlignment="1">
      <alignment vertical="center" wrapText="1"/>
    </xf>
    <xf numFmtId="0" fontId="55" fillId="0" borderId="2" xfId="4" applyFont="1" applyBorder="1" applyAlignment="1">
      <alignment vertical="center" wrapText="1"/>
    </xf>
    <xf numFmtId="0" fontId="45" fillId="0" borderId="2" xfId="4" applyFont="1" applyBorder="1" applyAlignment="1">
      <alignment vertical="center" wrapText="1"/>
    </xf>
    <xf numFmtId="0" fontId="45" fillId="0" borderId="0" xfId="4" applyFont="1" applyAlignment="1">
      <alignment vertical="center" wrapText="1"/>
    </xf>
    <xf numFmtId="0" fontId="48" fillId="0" borderId="0" xfId="4" applyFont="1"/>
    <xf numFmtId="0" fontId="48" fillId="0" borderId="0" xfId="4" applyFont="1" applyAlignment="1">
      <alignment horizontal="right" vertical="center" wrapText="1"/>
    </xf>
    <xf numFmtId="0" fontId="48" fillId="0" borderId="0" xfId="4" applyFont="1" applyAlignment="1">
      <alignment horizontal="right" vertical="center"/>
    </xf>
    <xf numFmtId="0" fontId="48" fillId="0" borderId="0" xfId="4" applyFont="1" applyAlignment="1">
      <alignment vertical="center"/>
    </xf>
    <xf numFmtId="0" fontId="45" fillId="0" borderId="2" xfId="4" applyFont="1" applyBorder="1" applyAlignment="1">
      <alignment horizontal="right" vertical="center" wrapText="1"/>
    </xf>
    <xf numFmtId="0" fontId="45" fillId="0" borderId="0" xfId="4" applyFont="1"/>
    <xf numFmtId="3" fontId="44" fillId="0" borderId="2" xfId="4" applyNumberFormat="1" applyFont="1" applyBorder="1" applyAlignment="1">
      <alignment vertical="center"/>
    </xf>
    <xf numFmtId="3" fontId="44" fillId="0" borderId="0" xfId="4" applyNumberFormat="1" applyFont="1" applyAlignment="1">
      <alignment vertical="center"/>
    </xf>
    <xf numFmtId="0" fontId="44" fillId="0" borderId="0" xfId="4" applyFont="1" applyAlignment="1">
      <alignment vertical="center"/>
    </xf>
    <xf numFmtId="0" fontId="44" fillId="0" borderId="6" xfId="4" applyFont="1" applyBorder="1" applyAlignment="1">
      <alignment vertical="center"/>
    </xf>
    <xf numFmtId="0" fontId="44" fillId="0" borderId="0" xfId="4" applyFont="1"/>
    <xf numFmtId="3" fontId="44" fillId="0" borderId="0" xfId="4" applyNumberFormat="1" applyFont="1"/>
    <xf numFmtId="0" fontId="44" fillId="0" borderId="0" xfId="4" applyFont="1" applyAlignment="1">
      <alignment horizontal="right" vertical="center" wrapText="1"/>
    </xf>
    <xf numFmtId="0" fontId="44" fillId="0" borderId="0" xfId="4" applyFont="1" applyAlignment="1">
      <alignment horizontal="right" vertical="center"/>
    </xf>
    <xf numFmtId="0" fontId="44" fillId="0" borderId="7" xfId="4" applyFont="1" applyBorder="1" applyAlignment="1">
      <alignment horizontal="right" vertical="center"/>
    </xf>
    <xf numFmtId="0" fontId="44" fillId="0" borderId="8" xfId="4" applyFont="1" applyBorder="1" applyAlignment="1">
      <alignment horizontal="right" vertical="center"/>
    </xf>
    <xf numFmtId="0" fontId="44" fillId="0" borderId="9" xfId="4" applyFont="1" applyBorder="1" applyAlignment="1">
      <alignment horizontal="right" vertical="center"/>
    </xf>
    <xf numFmtId="0" fontId="45" fillId="0" borderId="2" xfId="4" applyFont="1" applyBorder="1" applyAlignment="1">
      <alignment horizontal="right" vertical="center"/>
    </xf>
    <xf numFmtId="0" fontId="44" fillId="0" borderId="5" xfId="4" applyFont="1" applyBorder="1" applyAlignment="1">
      <alignment vertical="center"/>
    </xf>
    <xf numFmtId="0" fontId="45" fillId="0" borderId="6" xfId="4" applyFont="1" applyBorder="1" applyAlignment="1">
      <alignment horizontal="right" vertical="center"/>
    </xf>
    <xf numFmtId="3" fontId="45" fillId="0" borderId="2" xfId="4" applyNumberFormat="1" applyFont="1" applyBorder="1" applyAlignment="1">
      <alignment horizontal="right" vertical="center"/>
    </xf>
    <xf numFmtId="3" fontId="45" fillId="0" borderId="0" xfId="4" applyNumberFormat="1" applyFont="1" applyAlignment="1">
      <alignment horizontal="right" vertical="center"/>
    </xf>
    <xf numFmtId="165" fontId="44" fillId="0" borderId="0" xfId="12" applyNumberFormat="1" applyFont="1" applyFill="1" applyBorder="1" applyAlignment="1">
      <alignment horizontal="right" vertical="center"/>
    </xf>
    <xf numFmtId="0" fontId="45" fillId="0" borderId="0" xfId="4" applyFont="1" applyAlignment="1">
      <alignment horizontal="right" vertical="center"/>
    </xf>
    <xf numFmtId="3" fontId="44" fillId="0" borderId="0" xfId="4" applyNumberFormat="1" applyFont="1" applyAlignment="1">
      <alignment horizontal="right" vertical="center"/>
    </xf>
    <xf numFmtId="0" fontId="55" fillId="0" borderId="0" xfId="4" applyFont="1" applyAlignment="1">
      <alignment vertical="center" wrapText="1"/>
    </xf>
    <xf numFmtId="0" fontId="49" fillId="0" borderId="0" xfId="4" applyFont="1"/>
    <xf numFmtId="3" fontId="55" fillId="0" borderId="2" xfId="4" applyNumberFormat="1" applyFont="1" applyBorder="1" applyAlignment="1">
      <alignment vertical="center" wrapText="1"/>
    </xf>
    <xf numFmtId="0" fontId="44" fillId="0" borderId="0" xfId="16" applyFont="1"/>
    <xf numFmtId="49" fontId="44" fillId="0" borderId="0" xfId="16" applyNumberFormat="1" applyFont="1"/>
    <xf numFmtId="3" fontId="44" fillId="0" borderId="0" xfId="16" applyNumberFormat="1" applyFont="1"/>
    <xf numFmtId="0" fontId="44" fillId="0" borderId="11" xfId="16" applyFont="1" applyBorder="1"/>
    <xf numFmtId="0" fontId="44" fillId="0" borderId="12" xfId="16" applyFont="1" applyBorder="1"/>
    <xf numFmtId="0" fontId="44" fillId="0" borderId="18" xfId="16" applyFont="1" applyBorder="1"/>
    <xf numFmtId="3" fontId="44" fillId="0" borderId="2" xfId="16" applyNumberFormat="1" applyFont="1" applyBorder="1"/>
    <xf numFmtId="3" fontId="44" fillId="0" borderId="19" xfId="16" applyNumberFormat="1" applyFont="1" applyBorder="1"/>
    <xf numFmtId="0" fontId="45" fillId="0" borderId="12" xfId="16" applyFont="1" applyBorder="1"/>
    <xf numFmtId="3" fontId="44" fillId="0" borderId="18" xfId="16" applyNumberFormat="1" applyFont="1" applyBorder="1"/>
    <xf numFmtId="0" fontId="45" fillId="0" borderId="0" xfId="16" applyFont="1"/>
    <xf numFmtId="3" fontId="45" fillId="0" borderId="18" xfId="16" applyNumberFormat="1" applyFont="1" applyBorder="1"/>
    <xf numFmtId="3" fontId="45" fillId="0" borderId="2" xfId="16" applyNumberFormat="1" applyFont="1" applyBorder="1"/>
    <xf numFmtId="3" fontId="45" fillId="0" borderId="19" xfId="16" applyNumberFormat="1" applyFont="1" applyBorder="1"/>
    <xf numFmtId="3" fontId="44" fillId="0" borderId="17" xfId="16" applyNumberFormat="1" applyFont="1" applyBorder="1"/>
    <xf numFmtId="3" fontId="44" fillId="0" borderId="6" xfId="16" applyNumberFormat="1" applyFont="1" applyBorder="1"/>
    <xf numFmtId="0" fontId="45" fillId="0" borderId="13" xfId="16" applyFont="1" applyBorder="1"/>
    <xf numFmtId="3" fontId="45" fillId="0" borderId="20" xfId="16" applyNumberFormat="1" applyFont="1" applyBorder="1"/>
    <xf numFmtId="3" fontId="45" fillId="0" borderId="21" xfId="16" applyNumberFormat="1" applyFont="1" applyBorder="1"/>
    <xf numFmtId="3" fontId="45" fillId="0" borderId="22" xfId="16" applyNumberFormat="1" applyFont="1" applyBorder="1"/>
    <xf numFmtId="0" fontId="37" fillId="0" borderId="0" xfId="17"/>
    <xf numFmtId="0" fontId="60" fillId="0" borderId="0" xfId="17" applyFont="1" applyAlignment="1">
      <alignment horizontal="right" vertical="center" readingOrder="2"/>
    </xf>
    <xf numFmtId="0" fontId="61" fillId="0" borderId="0" xfId="17" applyFont="1" applyAlignment="1">
      <alignment horizontal="right" vertical="center" readingOrder="2"/>
    </xf>
    <xf numFmtId="0" fontId="62" fillId="0" borderId="0" xfId="17" applyFont="1" applyAlignment="1">
      <alignment horizontal="right" vertical="center" readingOrder="2"/>
    </xf>
    <xf numFmtId="0" fontId="63" fillId="0" borderId="0" xfId="17" applyFont="1" applyAlignment="1">
      <alignment horizontal="right" vertical="center" readingOrder="2"/>
    </xf>
    <xf numFmtId="0" fontId="64" fillId="0" borderId="0" xfId="17" applyFont="1" applyAlignment="1">
      <alignment horizontal="right" vertical="center" readingOrder="2"/>
    </xf>
    <xf numFmtId="0" fontId="65" fillId="0" borderId="0" xfId="17" applyFont="1" applyAlignment="1">
      <alignment horizontal="right" vertical="center" readingOrder="2"/>
    </xf>
    <xf numFmtId="0" fontId="61" fillId="0" borderId="0" xfId="17" quotePrefix="1" applyFont="1" applyAlignment="1">
      <alignment horizontal="right" vertical="center" readingOrder="2"/>
    </xf>
    <xf numFmtId="0" fontId="66" fillId="0" borderId="0" xfId="17" applyFont="1" applyAlignment="1">
      <alignment horizontal="right" vertical="center" readingOrder="2"/>
    </xf>
    <xf numFmtId="0" fontId="67" fillId="0" borderId="0" xfId="17" applyFont="1" applyAlignment="1">
      <alignment horizontal="right" vertical="center" readingOrder="2"/>
    </xf>
    <xf numFmtId="0" fontId="68" fillId="0" borderId="0" xfId="17" applyFont="1"/>
    <xf numFmtId="165" fontId="61" fillId="0" borderId="0" xfId="18" applyNumberFormat="1" applyFont="1" applyAlignment="1">
      <alignment horizontal="right" vertical="center" readingOrder="2"/>
    </xf>
    <xf numFmtId="165" fontId="69" fillId="0" borderId="0" xfId="18" applyNumberFormat="1" applyFont="1" applyAlignment="1">
      <alignment horizontal="right" vertical="center" readingOrder="2"/>
    </xf>
    <xf numFmtId="165" fontId="70" fillId="0" borderId="0" xfId="17" applyNumberFormat="1" applyFont="1" applyAlignment="1">
      <alignment horizontal="right" vertical="center" readingOrder="2"/>
    </xf>
    <xf numFmtId="0" fontId="63" fillId="0" borderId="2" xfId="17" applyFont="1" applyBorder="1" applyAlignment="1">
      <alignment horizontal="center" vertical="center" readingOrder="2"/>
    </xf>
    <xf numFmtId="0" fontId="63" fillId="0" borderId="2" xfId="17" applyFont="1" applyBorder="1" applyAlignment="1">
      <alignment horizontal="center" vertical="center" wrapText="1" readingOrder="2"/>
    </xf>
    <xf numFmtId="0" fontId="63" fillId="0" borderId="2" xfId="17" applyFont="1" applyBorder="1" applyAlignment="1">
      <alignment horizontal="right" vertical="center" readingOrder="2"/>
    </xf>
    <xf numFmtId="165" fontId="61" fillId="0" borderId="2" xfId="18" applyNumberFormat="1" applyFont="1" applyBorder="1" applyAlignment="1">
      <alignment horizontal="right" vertical="center" readingOrder="2"/>
    </xf>
    <xf numFmtId="0" fontId="63" fillId="0" borderId="2" xfId="17" applyFont="1" applyBorder="1" applyAlignment="1">
      <alignment horizontal="right" vertical="center" wrapText="1" readingOrder="2"/>
    </xf>
    <xf numFmtId="3" fontId="63" fillId="0" borderId="0" xfId="17" applyNumberFormat="1" applyFont="1" applyAlignment="1">
      <alignment horizontal="right" vertical="center" readingOrder="2"/>
    </xf>
    <xf numFmtId="0" fontId="63" fillId="0" borderId="31" xfId="17" applyFont="1" applyBorder="1" applyAlignment="1">
      <alignment horizontal="right" vertical="center" readingOrder="2"/>
    </xf>
    <xf numFmtId="0" fontId="71" fillId="0" borderId="32" xfId="17" applyFont="1" applyBorder="1"/>
    <xf numFmtId="0" fontId="37" fillId="0" borderId="33" xfId="17" applyBorder="1"/>
    <xf numFmtId="165" fontId="63" fillId="0" borderId="15" xfId="18" applyNumberFormat="1" applyFont="1" applyBorder="1" applyAlignment="1">
      <alignment horizontal="right" vertical="center" readingOrder="2"/>
    </xf>
    <xf numFmtId="165" fontId="63" fillId="0" borderId="16" xfId="18" applyNumberFormat="1" applyFont="1" applyBorder="1" applyAlignment="1">
      <alignment horizontal="right" vertical="center" readingOrder="2"/>
    </xf>
    <xf numFmtId="0" fontId="61" fillId="0" borderId="28" xfId="17" applyFont="1" applyBorder="1" applyAlignment="1">
      <alignment horizontal="right" vertical="center" readingOrder="2"/>
    </xf>
    <xf numFmtId="0" fontId="61" fillId="0" borderId="5" xfId="17" applyFont="1" applyBorder="1" applyAlignment="1">
      <alignment horizontal="right" vertical="center" readingOrder="2"/>
    </xf>
    <xf numFmtId="0" fontId="37" fillId="0" borderId="6" xfId="17" applyBorder="1"/>
    <xf numFmtId="3" fontId="61" fillId="0" borderId="2" xfId="17" applyNumberFormat="1" applyFont="1" applyBorder="1" applyAlignment="1">
      <alignment horizontal="right" vertical="center" readingOrder="2"/>
    </xf>
    <xf numFmtId="3" fontId="61" fillId="0" borderId="24" xfId="17" applyNumberFormat="1" applyFont="1" applyBorder="1" applyAlignment="1">
      <alignment horizontal="right" vertical="center" readingOrder="2"/>
    </xf>
    <xf numFmtId="9" fontId="37" fillId="0" borderId="0" xfId="9" applyFont="1"/>
    <xf numFmtId="0" fontId="61" fillId="0" borderId="4" xfId="17" applyFont="1" applyBorder="1" applyAlignment="1">
      <alignment horizontal="right" vertical="center" readingOrder="2"/>
    </xf>
    <xf numFmtId="0" fontId="61" fillId="0" borderId="34" xfId="17" applyFont="1" applyBorder="1" applyAlignment="1">
      <alignment horizontal="right" vertical="center" readingOrder="2"/>
    </xf>
    <xf numFmtId="0" fontId="61" fillId="0" borderId="9" xfId="17" applyFont="1" applyBorder="1" applyAlignment="1">
      <alignment horizontal="right" vertical="center" readingOrder="2"/>
    </xf>
    <xf numFmtId="0" fontId="37" fillId="0" borderId="8" xfId="17" applyBorder="1"/>
    <xf numFmtId="3" fontId="61" fillId="0" borderId="0" xfId="17" applyNumberFormat="1" applyFont="1" applyAlignment="1">
      <alignment horizontal="right" vertical="center" readingOrder="2"/>
    </xf>
    <xf numFmtId="0" fontId="63" fillId="0" borderId="35" xfId="17" applyFont="1" applyBorder="1" applyAlignment="1">
      <alignment horizontal="right" vertical="center" readingOrder="2"/>
    </xf>
    <xf numFmtId="0" fontId="61" fillId="0" borderId="36" xfId="17" applyFont="1" applyBorder="1" applyAlignment="1">
      <alignment horizontal="right" vertical="center" readingOrder="2"/>
    </xf>
    <xf numFmtId="0" fontId="37" fillId="0" borderId="37" xfId="17" applyBorder="1"/>
    <xf numFmtId="165" fontId="63" fillId="0" borderId="21" xfId="18" applyNumberFormat="1" applyFont="1" applyBorder="1" applyAlignment="1">
      <alignment vertical="center" readingOrder="2"/>
    </xf>
    <xf numFmtId="9" fontId="63" fillId="0" borderId="22" xfId="9" applyFont="1" applyBorder="1" applyAlignment="1">
      <alignment vertical="center" readingOrder="2"/>
    </xf>
    <xf numFmtId="165" fontId="63" fillId="0" borderId="0" xfId="18" applyNumberFormat="1" applyFont="1" applyBorder="1" applyAlignment="1">
      <alignment horizontal="right" vertical="center" readingOrder="2"/>
    </xf>
    <xf numFmtId="165" fontId="63" fillId="0" borderId="23" xfId="18" applyNumberFormat="1" applyFont="1" applyBorder="1" applyAlignment="1">
      <alignment horizontal="right" vertical="center" readingOrder="2"/>
    </xf>
    <xf numFmtId="0" fontId="63" fillId="0" borderId="5" xfId="17" applyFont="1" applyBorder="1" applyAlignment="1">
      <alignment horizontal="right" vertical="center" readingOrder="2"/>
    </xf>
    <xf numFmtId="0" fontId="52" fillId="0" borderId="6" xfId="17" applyFont="1" applyBorder="1"/>
    <xf numFmtId="165" fontId="63" fillId="0" borderId="26" xfId="18" applyNumberFormat="1" applyFont="1" applyBorder="1" applyAlignment="1">
      <alignment horizontal="right" vertical="center" readingOrder="2"/>
    </xf>
    <xf numFmtId="9" fontId="63" fillId="0" borderId="22" xfId="9" applyFont="1" applyBorder="1" applyAlignment="1">
      <alignment horizontal="right" vertical="center" readingOrder="2"/>
    </xf>
    <xf numFmtId="0" fontId="44" fillId="0" borderId="0" xfId="16" applyFont="1" applyAlignment="1">
      <alignment horizontal="center" vertical="center"/>
    </xf>
    <xf numFmtId="3" fontId="44" fillId="0" borderId="2" xfId="16" applyNumberFormat="1" applyFont="1" applyBorder="1" applyAlignment="1">
      <alignment vertical="center"/>
    </xf>
    <xf numFmtId="3" fontId="43" fillId="0" borderId="2" xfId="16" applyNumberFormat="1" applyFont="1" applyBorder="1" applyAlignment="1">
      <alignment vertical="center" wrapText="1"/>
    </xf>
    <xf numFmtId="3" fontId="45" fillId="0" borderId="2" xfId="16" applyNumberFormat="1" applyFont="1" applyBorder="1" applyAlignment="1">
      <alignment vertical="center"/>
    </xf>
    <xf numFmtId="0" fontId="44" fillId="0" borderId="0" xfId="16" applyFont="1" applyAlignment="1">
      <alignment vertical="center"/>
    </xf>
    <xf numFmtId="3" fontId="44" fillId="0" borderId="0" xfId="16" applyNumberFormat="1" applyFont="1" applyAlignment="1">
      <alignment vertical="center"/>
    </xf>
    <xf numFmtId="0" fontId="37" fillId="0" borderId="0" xfId="17" applyAlignment="1">
      <alignment horizontal="left"/>
    </xf>
    <xf numFmtId="0" fontId="67" fillId="0" borderId="0" xfId="17" applyFont="1" applyAlignment="1">
      <alignment horizontal="center" vertical="center" readingOrder="2"/>
    </xf>
    <xf numFmtId="0" fontId="61" fillId="0" borderId="0" xfId="17" quotePrefix="1" applyFont="1" applyAlignment="1">
      <alignment horizontal="left" vertical="center" readingOrder="2"/>
    </xf>
    <xf numFmtId="16" fontId="61" fillId="0" borderId="0" xfId="17" quotePrefix="1" applyNumberFormat="1" applyFont="1" applyAlignment="1">
      <alignment horizontal="left" vertical="center" readingOrder="2"/>
    </xf>
    <xf numFmtId="0" fontId="61" fillId="0" borderId="0" xfId="17" applyFont="1" applyAlignment="1">
      <alignment horizontal="left" vertical="center" readingOrder="2"/>
    </xf>
    <xf numFmtId="0" fontId="61" fillId="0" borderId="0" xfId="17" applyFont="1" applyAlignment="1">
      <alignment vertical="center" readingOrder="2"/>
    </xf>
    <xf numFmtId="0" fontId="42" fillId="0" borderId="2" xfId="16" applyFont="1" applyBorder="1" applyAlignment="1">
      <alignment horizontal="right" vertical="center" wrapText="1"/>
    </xf>
    <xf numFmtId="0" fontId="43" fillId="0" borderId="0" xfId="16" applyFont="1"/>
    <xf numFmtId="3" fontId="43" fillId="0" borderId="0" xfId="16" applyNumberFormat="1" applyFont="1"/>
    <xf numFmtId="3" fontId="42" fillId="0" borderId="2" xfId="16" applyNumberFormat="1" applyFont="1" applyBorder="1" applyAlignment="1">
      <alignment horizontal="right" vertical="center" wrapText="1"/>
    </xf>
    <xf numFmtId="0" fontId="43" fillId="0" borderId="0" xfId="16" applyFont="1" applyAlignment="1">
      <alignment vertical="center" wrapText="1"/>
    </xf>
    <xf numFmtId="0" fontId="43" fillId="0" borderId="2" xfId="16" applyFont="1" applyBorder="1" applyAlignment="1">
      <alignment vertical="center" wrapText="1"/>
    </xf>
    <xf numFmtId="0" fontId="42" fillId="0" borderId="0" xfId="16" applyFont="1" applyAlignment="1">
      <alignment vertical="center" wrapText="1"/>
    </xf>
    <xf numFmtId="0" fontId="42" fillId="0" borderId="2" xfId="16" applyFont="1" applyBorder="1" applyAlignment="1">
      <alignment vertical="center" wrapText="1"/>
    </xf>
    <xf numFmtId="3" fontId="42" fillId="0" borderId="2" xfId="16" applyNumberFormat="1" applyFont="1" applyBorder="1" applyAlignment="1">
      <alignment vertical="center" wrapText="1"/>
    </xf>
    <xf numFmtId="0" fontId="43" fillId="0" borderId="0" xfId="16" applyFont="1" applyAlignment="1">
      <alignment wrapText="1"/>
    </xf>
    <xf numFmtId="0" fontId="43" fillId="0" borderId="2" xfId="16" applyFont="1" applyBorder="1"/>
    <xf numFmtId="0" fontId="41" fillId="0" borderId="0" xfId="16" applyFont="1"/>
    <xf numFmtId="0" fontId="42" fillId="0" borderId="0" xfId="16" applyFont="1" applyAlignment="1">
      <alignment horizontal="right" vertical="center" wrapText="1"/>
    </xf>
    <xf numFmtId="165" fontId="61" fillId="0" borderId="19" xfId="18" applyNumberFormat="1" applyFont="1" applyBorder="1" applyAlignment="1">
      <alignment horizontal="right" vertical="center" readingOrder="2"/>
    </xf>
    <xf numFmtId="0" fontId="63" fillId="0" borderId="20" xfId="17" applyFont="1" applyBorder="1" applyAlignment="1">
      <alignment horizontal="right" vertical="center" readingOrder="2"/>
    </xf>
    <xf numFmtId="0" fontId="37" fillId="0" borderId="25" xfId="17" applyBorder="1"/>
    <xf numFmtId="9" fontId="63" fillId="0" borderId="2" xfId="9" applyFont="1" applyBorder="1" applyAlignment="1">
      <alignment horizontal="right" vertical="center" readingOrder="2"/>
    </xf>
    <xf numFmtId="0" fontId="41" fillId="0" borderId="0" xfId="0" applyFont="1"/>
    <xf numFmtId="3" fontId="73" fillId="0" borderId="21" xfId="17" applyNumberFormat="1" applyFont="1" applyBorder="1" applyAlignment="1">
      <alignment horizontal="right" vertical="center" readingOrder="2"/>
    </xf>
    <xf numFmtId="3" fontId="73" fillId="0" borderId="22" xfId="17" applyNumberFormat="1" applyFont="1" applyBorder="1" applyAlignment="1">
      <alignment horizontal="right" vertical="center" readingOrder="2"/>
    </xf>
    <xf numFmtId="0" fontId="63" fillId="0" borderId="39" xfId="17" applyFont="1" applyBorder="1" applyAlignment="1">
      <alignment horizontal="right" vertical="center" readingOrder="2"/>
    </xf>
    <xf numFmtId="0" fontId="71" fillId="0" borderId="31" xfId="17" applyFont="1" applyBorder="1"/>
    <xf numFmtId="0" fontId="61" fillId="0" borderId="39" xfId="17" applyFont="1" applyBorder="1" applyAlignment="1">
      <alignment horizontal="right" vertical="center" readingOrder="2"/>
    </xf>
    <xf numFmtId="3" fontId="43" fillId="0" borderId="0" xfId="13" quotePrefix="1" applyNumberFormat="1" applyFont="1" applyAlignment="1">
      <alignment horizontal="center" vertical="center"/>
    </xf>
    <xf numFmtId="0" fontId="49" fillId="0" borderId="0" xfId="16" applyFont="1"/>
    <xf numFmtId="0" fontId="73" fillId="0" borderId="0" xfId="17" applyFont="1" applyAlignment="1">
      <alignment horizontal="right" vertical="center" readingOrder="2"/>
    </xf>
    <xf numFmtId="165" fontId="61" fillId="0" borderId="2" xfId="18" applyNumberFormat="1" applyFont="1" applyFill="1" applyBorder="1" applyAlignment="1">
      <alignment horizontal="right" vertical="center" readingOrder="2"/>
    </xf>
    <xf numFmtId="0" fontId="47" fillId="0" borderId="0" xfId="16"/>
    <xf numFmtId="0" fontId="62" fillId="0" borderId="0" xfId="16" applyFont="1" applyAlignment="1">
      <alignment horizontal="right" vertical="center" readingOrder="2"/>
    </xf>
    <xf numFmtId="0" fontId="61" fillId="0" borderId="0" xfId="16" applyFont="1" applyAlignment="1">
      <alignment horizontal="right" vertical="center" readingOrder="2"/>
    </xf>
    <xf numFmtId="0" fontId="61" fillId="0" borderId="0" xfId="16" quotePrefix="1" applyFont="1" applyAlignment="1">
      <alignment horizontal="right" vertical="center" readingOrder="2"/>
    </xf>
    <xf numFmtId="0" fontId="73" fillId="0" borderId="0" xfId="17" quotePrefix="1" applyFont="1" applyAlignment="1">
      <alignment horizontal="right" vertical="center" readingOrder="2"/>
    </xf>
    <xf numFmtId="0" fontId="63" fillId="0" borderId="28" xfId="17" applyFont="1" applyBorder="1" applyAlignment="1">
      <alignment horizontal="right" vertical="center" readingOrder="2"/>
    </xf>
    <xf numFmtId="0" fontId="36" fillId="0" borderId="0" xfId="20"/>
    <xf numFmtId="0" fontId="60" fillId="0" borderId="0" xfId="20" applyFont="1" applyAlignment="1">
      <alignment horizontal="right" vertical="center" readingOrder="2"/>
    </xf>
    <xf numFmtId="0" fontId="61" fillId="0" borderId="0" xfId="20" applyFont="1" applyAlignment="1">
      <alignment horizontal="right" vertical="center" readingOrder="2"/>
    </xf>
    <xf numFmtId="0" fontId="63" fillId="0" borderId="0" xfId="20" applyFont="1" applyAlignment="1">
      <alignment horizontal="right" vertical="center" readingOrder="2"/>
    </xf>
    <xf numFmtId="0" fontId="71" fillId="0" borderId="0" xfId="20" applyFont="1"/>
    <xf numFmtId="165" fontId="63" fillId="0" borderId="0" xfId="21" applyNumberFormat="1" applyFont="1" applyBorder="1" applyAlignment="1">
      <alignment horizontal="right" vertical="center" readingOrder="2"/>
    </xf>
    <xf numFmtId="3" fontId="61" fillId="0" borderId="0" xfId="20" applyNumberFormat="1" applyFont="1" applyAlignment="1">
      <alignment horizontal="right" vertical="center" readingOrder="2"/>
    </xf>
    <xf numFmtId="0" fontId="52" fillId="0" borderId="0" xfId="20" applyFont="1"/>
    <xf numFmtId="165" fontId="63" fillId="0" borderId="0" xfId="21" applyNumberFormat="1" applyFont="1" applyBorder="1" applyAlignment="1">
      <alignment vertical="center" readingOrder="2"/>
    </xf>
    <xf numFmtId="0" fontId="61" fillId="0" borderId="0" xfId="20" quotePrefix="1" applyFont="1" applyAlignment="1">
      <alignment horizontal="right" vertical="center" readingOrder="2"/>
    </xf>
    <xf numFmtId="0" fontId="62" fillId="0" borderId="0" xfId="20" applyFont="1" applyAlignment="1">
      <alignment horizontal="right" vertical="center" readingOrder="2"/>
    </xf>
    <xf numFmtId="0" fontId="72" fillId="0" borderId="0" xfId="20" applyFont="1" applyAlignment="1">
      <alignment horizontal="right" vertical="center" readingOrder="2"/>
    </xf>
    <xf numFmtId="0" fontId="61" fillId="0" borderId="0" xfId="22" applyFont="1" applyAlignment="1">
      <alignment horizontal="right" vertical="center" readingOrder="2"/>
    </xf>
    <xf numFmtId="0" fontId="35" fillId="0" borderId="0" xfId="22"/>
    <xf numFmtId="0" fontId="60" fillId="0" borderId="0" xfId="22" applyFont="1" applyAlignment="1">
      <alignment horizontal="right" vertical="center" readingOrder="2"/>
    </xf>
    <xf numFmtId="0" fontId="74" fillId="0" borderId="0" xfId="22" applyFont="1"/>
    <xf numFmtId="3" fontId="63" fillId="0" borderId="30" xfId="22" applyNumberFormat="1" applyFont="1" applyBorder="1" applyAlignment="1">
      <alignment horizontal="right" vertical="center" readingOrder="2"/>
    </xf>
    <xf numFmtId="0" fontId="63" fillId="0" borderId="16" xfId="22" applyFont="1" applyBorder="1" applyAlignment="1">
      <alignment horizontal="center" vertical="center" readingOrder="2"/>
    </xf>
    <xf numFmtId="0" fontId="63" fillId="0" borderId="0" xfId="22" applyFont="1" applyAlignment="1">
      <alignment horizontal="right" vertical="center" readingOrder="2"/>
    </xf>
    <xf numFmtId="0" fontId="61" fillId="0" borderId="18" xfId="22" applyFont="1" applyBorder="1" applyAlignment="1">
      <alignment horizontal="right" vertical="center" readingOrder="2"/>
    </xf>
    <xf numFmtId="3" fontId="61" fillId="0" borderId="19" xfId="22" applyNumberFormat="1" applyFont="1" applyBorder="1" applyAlignment="1">
      <alignment horizontal="center" vertical="center" readingOrder="2"/>
    </xf>
    <xf numFmtId="0" fontId="63" fillId="0" borderId="20" xfId="22" applyFont="1" applyBorder="1" applyAlignment="1">
      <alignment horizontal="right" vertical="center" readingOrder="2"/>
    </xf>
    <xf numFmtId="0" fontId="61" fillId="0" borderId="0" xfId="22" quotePrefix="1" applyFont="1" applyAlignment="1">
      <alignment horizontal="right" vertical="center" readingOrder="2"/>
    </xf>
    <xf numFmtId="0" fontId="63" fillId="0" borderId="14" xfId="22" applyFont="1" applyBorder="1" applyAlignment="1">
      <alignment horizontal="right" vertical="center" readingOrder="2"/>
    </xf>
    <xf numFmtId="0" fontId="63" fillId="0" borderId="15" xfId="22" applyFont="1" applyBorder="1" applyAlignment="1">
      <alignment horizontal="center" vertical="center" readingOrder="2"/>
    </xf>
    <xf numFmtId="0" fontId="63" fillId="0" borderId="16" xfId="22" applyFont="1" applyBorder="1" applyAlignment="1">
      <alignment horizontal="right" vertical="center" readingOrder="2"/>
    </xf>
    <xf numFmtId="3" fontId="61" fillId="0" borderId="2" xfId="22" applyNumberFormat="1" applyFont="1" applyBorder="1" applyAlignment="1">
      <alignment horizontal="center" vertical="center" readingOrder="2"/>
    </xf>
    <xf numFmtId="9" fontId="61" fillId="0" borderId="19" xfId="9" applyFont="1" applyBorder="1" applyAlignment="1">
      <alignment horizontal="right" vertical="center" readingOrder="2"/>
    </xf>
    <xf numFmtId="3" fontId="63" fillId="0" borderId="21" xfId="22" applyNumberFormat="1" applyFont="1" applyBorder="1" applyAlignment="1">
      <alignment horizontal="center" vertical="center" readingOrder="2"/>
    </xf>
    <xf numFmtId="3" fontId="63" fillId="0" borderId="19" xfId="22" applyNumberFormat="1" applyFont="1" applyBorder="1" applyAlignment="1">
      <alignment horizontal="center" vertical="center" readingOrder="2"/>
    </xf>
    <xf numFmtId="0" fontId="61" fillId="0" borderId="43" xfId="22" applyFont="1" applyBorder="1" applyAlignment="1">
      <alignment horizontal="right" vertical="center" readingOrder="2"/>
    </xf>
    <xf numFmtId="3" fontId="61" fillId="0" borderId="44" xfId="22" applyNumberFormat="1" applyFont="1" applyBorder="1" applyAlignment="1">
      <alignment horizontal="center" vertical="center" readingOrder="2"/>
    </xf>
    <xf numFmtId="0" fontId="61" fillId="0" borderId="20" xfId="22" applyFont="1" applyBorder="1" applyAlignment="1">
      <alignment horizontal="right" vertical="center" readingOrder="2"/>
    </xf>
    <xf numFmtId="3" fontId="61" fillId="0" borderId="22" xfId="22" applyNumberFormat="1" applyFont="1" applyBorder="1" applyAlignment="1">
      <alignment horizontal="center" vertical="center" readingOrder="2"/>
    </xf>
    <xf numFmtId="164" fontId="61" fillId="0" borderId="19" xfId="9" applyNumberFormat="1" applyFont="1" applyBorder="1" applyAlignment="1">
      <alignment horizontal="right" vertical="center" readingOrder="2"/>
    </xf>
    <xf numFmtId="0" fontId="61" fillId="0" borderId="43" xfId="22" applyFont="1" applyBorder="1" applyAlignment="1">
      <alignment horizontal="right" vertical="center" wrapText="1" readingOrder="2"/>
    </xf>
    <xf numFmtId="0" fontId="62" fillId="0" borderId="0" xfId="22" applyFont="1" applyAlignment="1">
      <alignment horizontal="right" vertical="center" readingOrder="2"/>
    </xf>
    <xf numFmtId="3" fontId="63" fillId="0" borderId="0" xfId="22" applyNumberFormat="1" applyFont="1" applyAlignment="1">
      <alignment horizontal="center" vertical="center" readingOrder="2"/>
    </xf>
    <xf numFmtId="9" fontId="63" fillId="0" borderId="0" xfId="9" applyFont="1" applyBorder="1" applyAlignment="1">
      <alignment horizontal="right" vertical="center" readingOrder="2"/>
    </xf>
    <xf numFmtId="0" fontId="56" fillId="0" borderId="0" xfId="4" applyFont="1" applyAlignment="1">
      <alignment horizontal="right" vertical="center"/>
    </xf>
    <xf numFmtId="0" fontId="56" fillId="0" borderId="0" xfId="4" applyFont="1" applyAlignment="1">
      <alignment vertical="center"/>
    </xf>
    <xf numFmtId="3" fontId="42" fillId="0" borderId="2" xfId="4" applyNumberFormat="1" applyFont="1" applyBorder="1" applyAlignment="1">
      <alignment horizontal="right" vertical="center"/>
    </xf>
    <xf numFmtId="3" fontId="61" fillId="0" borderId="0" xfId="22" applyNumberFormat="1" applyFont="1" applyAlignment="1">
      <alignment horizontal="center" vertical="center" readingOrder="2"/>
    </xf>
    <xf numFmtId="9" fontId="61" fillId="0" borderId="0" xfId="9" applyFont="1" applyBorder="1" applyAlignment="1">
      <alignment horizontal="right" vertical="center" readingOrder="2"/>
    </xf>
    <xf numFmtId="0" fontId="59" fillId="0" borderId="0" xfId="16" applyFont="1"/>
    <xf numFmtId="0" fontId="49" fillId="0" borderId="0" xfId="4" applyFont="1" applyAlignment="1">
      <alignment vertical="center"/>
    </xf>
    <xf numFmtId="164" fontId="37" fillId="0" borderId="0" xfId="9" applyNumberFormat="1" applyFont="1"/>
    <xf numFmtId="0" fontId="63" fillId="0" borderId="16" xfId="22" applyFont="1" applyBorder="1" applyAlignment="1">
      <alignment vertical="center" readingOrder="2"/>
    </xf>
    <xf numFmtId="164" fontId="61" fillId="0" borderId="19" xfId="9" applyNumberFormat="1" applyFont="1" applyBorder="1" applyAlignment="1">
      <alignment vertical="center" readingOrder="2"/>
    </xf>
    <xf numFmtId="0" fontId="43" fillId="0" borderId="2" xfId="4" applyFont="1" applyBorder="1" applyAlignment="1">
      <alignment vertical="center"/>
    </xf>
    <xf numFmtId="0" fontId="43" fillId="0" borderId="2" xfId="4" applyFont="1" applyBorder="1" applyAlignment="1">
      <alignment horizontal="right" vertical="center" wrapText="1"/>
    </xf>
    <xf numFmtId="3" fontId="54" fillId="0" borderId="2" xfId="4" applyNumberFormat="1" applyFont="1" applyBorder="1" applyAlignment="1">
      <alignment horizontal="right" vertical="center" wrapText="1"/>
    </xf>
    <xf numFmtId="0" fontId="41" fillId="0" borderId="0" xfId="16" applyFont="1" applyAlignment="1">
      <alignment wrapText="1"/>
    </xf>
    <xf numFmtId="0" fontId="43" fillId="0" borderId="0" xfId="16" applyFont="1" applyAlignment="1">
      <alignment vertical="center"/>
    </xf>
    <xf numFmtId="3" fontId="42" fillId="0" borderId="0" xfId="16" applyNumberFormat="1" applyFont="1" applyAlignment="1">
      <alignment horizontal="right" vertical="center" wrapText="1"/>
    </xf>
    <xf numFmtId="0" fontId="54" fillId="0" borderId="2" xfId="16" applyFont="1" applyBorder="1" applyAlignment="1">
      <alignment horizontal="right" vertical="center" wrapText="1"/>
    </xf>
    <xf numFmtId="0" fontId="55" fillId="0" borderId="2" xfId="16" applyFont="1" applyBorder="1" applyAlignment="1">
      <alignment vertical="center" wrapText="1"/>
    </xf>
    <xf numFmtId="0" fontId="43" fillId="0" borderId="2" xfId="16" applyFont="1" applyBorder="1" applyAlignment="1">
      <alignment vertical="center"/>
    </xf>
    <xf numFmtId="3" fontId="43" fillId="0" borderId="2" xfId="16" applyNumberFormat="1" applyFont="1" applyBorder="1" applyAlignment="1">
      <alignment horizontal="right" vertical="center" wrapText="1"/>
    </xf>
    <xf numFmtId="0" fontId="42" fillId="0" borderId="2" xfId="16" applyFont="1" applyBorder="1" applyAlignment="1">
      <alignment vertical="center"/>
    </xf>
    <xf numFmtId="0" fontId="42" fillId="0" borderId="0" xfId="16" applyFont="1"/>
    <xf numFmtId="0" fontId="54" fillId="0" borderId="2" xfId="16" applyFont="1" applyBorder="1" applyAlignment="1">
      <alignment vertical="center" wrapText="1"/>
    </xf>
    <xf numFmtId="3" fontId="42" fillId="0" borderId="0" xfId="16" applyNumberFormat="1" applyFont="1"/>
    <xf numFmtId="0" fontId="43" fillId="0" borderId="2" xfId="16" applyFont="1" applyBorder="1" applyAlignment="1">
      <alignment wrapText="1"/>
    </xf>
    <xf numFmtId="3" fontId="43" fillId="0" borderId="0" xfId="16" applyNumberFormat="1" applyFont="1" applyAlignment="1">
      <alignment vertical="center" wrapText="1"/>
    </xf>
    <xf numFmtId="3" fontId="41" fillId="0" borderId="0" xfId="16" applyNumberFormat="1" applyFont="1"/>
    <xf numFmtId="0" fontId="77" fillId="0" borderId="0" xfId="17" quotePrefix="1" applyFont="1" applyAlignment="1">
      <alignment horizontal="right" vertical="center" readingOrder="2"/>
    </xf>
    <xf numFmtId="0" fontId="42" fillId="0" borderId="0" xfId="0" applyFont="1" applyAlignment="1">
      <alignment vertical="center" wrapText="1"/>
    </xf>
    <xf numFmtId="0" fontId="78" fillId="0" borderId="0" xfId="4" applyFont="1" applyAlignment="1">
      <alignment horizontal="right" vertical="center" wrapText="1"/>
    </xf>
    <xf numFmtId="0" fontId="78" fillId="0" borderId="0" xfId="4" applyFont="1" applyAlignment="1">
      <alignment horizontal="right" vertical="center"/>
    </xf>
    <xf numFmtId="0" fontId="78" fillId="0" borderId="0" xfId="4" applyFont="1"/>
    <xf numFmtId="0" fontId="43" fillId="0" borderId="0" xfId="16" applyFont="1" applyAlignment="1">
      <alignment horizontal="right" wrapText="1"/>
    </xf>
    <xf numFmtId="0" fontId="43" fillId="0" borderId="2" xfId="16" applyFont="1" applyBorder="1" applyAlignment="1">
      <alignment horizontal="right" vertical="center" wrapText="1"/>
    </xf>
    <xf numFmtId="0" fontId="49" fillId="0" borderId="0" xfId="16" applyFont="1" applyAlignment="1">
      <alignment wrapText="1"/>
    </xf>
    <xf numFmtId="165" fontId="61" fillId="0" borderId="0" xfId="17" applyNumberFormat="1" applyFont="1" applyAlignment="1">
      <alignment horizontal="right" vertical="center" readingOrder="2"/>
    </xf>
    <xf numFmtId="0" fontId="55" fillId="0" borderId="0" xfId="16" applyFont="1" applyAlignment="1">
      <alignment vertical="center" wrapText="1"/>
    </xf>
    <xf numFmtId="0" fontId="61" fillId="0" borderId="0" xfId="30" applyFont="1" applyAlignment="1">
      <alignment horizontal="right" vertical="center" readingOrder="2"/>
    </xf>
    <xf numFmtId="0" fontId="31" fillId="0" borderId="0" xfId="30"/>
    <xf numFmtId="0" fontId="60" fillId="0" borderId="0" xfId="30" applyFont="1" applyAlignment="1">
      <alignment horizontal="right" vertical="center" readingOrder="2"/>
    </xf>
    <xf numFmtId="0" fontId="74" fillId="0" borderId="0" xfId="30" applyFont="1"/>
    <xf numFmtId="3" fontId="63" fillId="0" borderId="30" xfId="30" applyNumberFormat="1" applyFont="1" applyBorder="1" applyAlignment="1">
      <alignment horizontal="right" vertical="center" readingOrder="2"/>
    </xf>
    <xf numFmtId="3" fontId="61" fillId="0" borderId="10" xfId="22" applyNumberFormat="1" applyFont="1" applyBorder="1" applyAlignment="1">
      <alignment horizontal="center" vertical="center" readingOrder="2"/>
    </xf>
    <xf numFmtId="0" fontId="55" fillId="0" borderId="0" xfId="16" applyFont="1"/>
    <xf numFmtId="0" fontId="55" fillId="0" borderId="2" xfId="4" applyFont="1" applyBorder="1" applyAlignment="1">
      <alignment vertical="center"/>
    </xf>
    <xf numFmtId="3" fontId="73" fillId="0" borderId="21" xfId="22" applyNumberFormat="1" applyFont="1" applyBorder="1" applyAlignment="1">
      <alignment horizontal="center" vertical="center" readingOrder="2"/>
    </xf>
    <xf numFmtId="9" fontId="73" fillId="0" borderId="22" xfId="9" applyFont="1" applyBorder="1" applyAlignment="1">
      <alignment horizontal="right" vertical="center" readingOrder="2"/>
    </xf>
    <xf numFmtId="3" fontId="55" fillId="0" borderId="2" xfId="16" applyNumberFormat="1" applyFont="1" applyBorder="1" applyAlignment="1">
      <alignment vertical="center" wrapText="1"/>
    </xf>
    <xf numFmtId="3" fontId="55" fillId="0" borderId="2" xfId="16" applyNumberFormat="1" applyFont="1" applyBorder="1" applyAlignment="1">
      <alignment horizontal="right" vertical="center" wrapText="1"/>
    </xf>
    <xf numFmtId="0" fontId="31" fillId="0" borderId="0" xfId="22" applyFont="1"/>
    <xf numFmtId="0" fontId="80" fillId="0" borderId="0" xfId="22" applyFont="1"/>
    <xf numFmtId="0" fontId="81" fillId="0" borderId="0" xfId="30" applyFont="1" applyAlignment="1">
      <alignment horizontal="right" vertical="center" readingOrder="2"/>
    </xf>
    <xf numFmtId="0" fontId="81" fillId="0" borderId="0" xfId="22" applyFont="1" applyAlignment="1">
      <alignment horizontal="right" vertical="center" readingOrder="2"/>
    </xf>
    <xf numFmtId="0" fontId="30" fillId="0" borderId="0" xfId="22" applyFont="1"/>
    <xf numFmtId="164" fontId="73" fillId="0" borderId="22" xfId="9" applyNumberFormat="1" applyFont="1" applyBorder="1" applyAlignment="1">
      <alignment horizontal="right" vertical="center" readingOrder="2"/>
    </xf>
    <xf numFmtId="165" fontId="44" fillId="0" borderId="0" xfId="4" applyNumberFormat="1" applyFont="1" applyAlignment="1">
      <alignment horizontal="right" vertical="center"/>
    </xf>
    <xf numFmtId="0" fontId="79" fillId="0" borderId="0" xfId="17" applyFont="1"/>
    <xf numFmtId="0" fontId="73" fillId="0" borderId="0" xfId="30" applyFont="1" applyAlignment="1">
      <alignment horizontal="right" vertical="center" readingOrder="2"/>
    </xf>
    <xf numFmtId="0" fontId="52" fillId="0" borderId="0" xfId="30" applyFont="1"/>
    <xf numFmtId="0" fontId="82" fillId="0" borderId="0" xfId="30" applyFont="1"/>
    <xf numFmtId="0" fontId="63" fillId="0" borderId="0" xfId="30" applyFont="1" applyAlignment="1">
      <alignment horizontal="right" vertical="center" readingOrder="2"/>
    </xf>
    <xf numFmtId="164" fontId="73" fillId="0" borderId="22" xfId="9" applyNumberFormat="1" applyFont="1" applyBorder="1" applyAlignment="1">
      <alignment vertical="center" readingOrder="2"/>
    </xf>
    <xf numFmtId="0" fontId="41" fillId="0" borderId="0" xfId="0" applyFont="1" applyAlignment="1">
      <alignment wrapText="1"/>
    </xf>
    <xf numFmtId="0" fontId="63" fillId="0" borderId="15" xfId="17" applyFont="1" applyBorder="1" applyAlignment="1">
      <alignment horizontal="right" vertical="center" readingOrder="2"/>
    </xf>
    <xf numFmtId="3" fontId="44" fillId="0" borderId="28" xfId="16" applyNumberFormat="1" applyFont="1" applyBorder="1"/>
    <xf numFmtId="0" fontId="83" fillId="0" borderId="0" xfId="17" applyFont="1" applyAlignment="1">
      <alignment horizontal="right" vertical="center" readingOrder="2"/>
    </xf>
    <xf numFmtId="0" fontId="84" fillId="0" borderId="0" xfId="17" applyFont="1"/>
    <xf numFmtId="0" fontId="85" fillId="0" borderId="0" xfId="17" applyFont="1"/>
    <xf numFmtId="165" fontId="61" fillId="0" borderId="19" xfId="18" applyNumberFormat="1" applyFont="1" applyBorder="1" applyAlignment="1">
      <alignment vertical="center" readingOrder="2"/>
    </xf>
    <xf numFmtId="0" fontId="41" fillId="0" borderId="2" xfId="16" applyFont="1" applyBorder="1"/>
    <xf numFmtId="165" fontId="43" fillId="0" borderId="0" xfId="10" applyNumberFormat="1" applyFont="1" applyFill="1" applyAlignment="1">
      <alignment wrapText="1"/>
    </xf>
    <xf numFmtId="3" fontId="54" fillId="0" borderId="2" xfId="16" applyNumberFormat="1" applyFont="1" applyBorder="1" applyAlignment="1">
      <alignment vertical="center" wrapText="1"/>
    </xf>
    <xf numFmtId="165" fontId="43" fillId="0" borderId="2" xfId="10" applyNumberFormat="1" applyFont="1" applyBorder="1" applyAlignment="1">
      <alignment vertical="center" wrapText="1"/>
    </xf>
    <xf numFmtId="3" fontId="44" fillId="0" borderId="0" xfId="16" applyNumberFormat="1" applyFont="1" applyAlignment="1">
      <alignment horizontal="center" vertical="center"/>
    </xf>
    <xf numFmtId="0" fontId="57" fillId="0" borderId="0" xfId="4" applyFont="1" applyAlignment="1">
      <alignment horizontal="right" vertical="center"/>
    </xf>
    <xf numFmtId="0" fontId="73" fillId="0" borderId="0" xfId="16" applyFont="1" applyAlignment="1">
      <alignment horizontal="right" vertical="center" readingOrder="2"/>
    </xf>
    <xf numFmtId="3" fontId="54" fillId="0" borderId="2" xfId="16" applyNumberFormat="1" applyFont="1" applyBorder="1" applyAlignment="1">
      <alignment horizontal="right" vertical="center" wrapText="1"/>
    </xf>
    <xf numFmtId="0" fontId="55" fillId="0" borderId="2" xfId="4" applyFont="1" applyBorder="1" applyAlignment="1">
      <alignment horizontal="right" vertical="center" wrapText="1"/>
    </xf>
    <xf numFmtId="0" fontId="75" fillId="0" borderId="0" xfId="30" applyFont="1" applyAlignment="1">
      <alignment horizontal="right" vertical="center" readingOrder="2"/>
    </xf>
    <xf numFmtId="0" fontId="61" fillId="0" borderId="0" xfId="30" applyFont="1" applyAlignment="1">
      <alignment vertical="center" readingOrder="2"/>
    </xf>
    <xf numFmtId="0" fontId="73" fillId="0" borderId="0" xfId="22" applyFont="1" applyAlignment="1">
      <alignment horizontal="right" vertical="center" readingOrder="2"/>
    </xf>
    <xf numFmtId="3" fontId="75" fillId="0" borderId="3" xfId="22" applyNumberFormat="1" applyFont="1" applyBorder="1" applyAlignment="1">
      <alignment horizontal="center" vertical="center" readingOrder="2"/>
    </xf>
    <xf numFmtId="9" fontId="73" fillId="0" borderId="0" xfId="9" applyFont="1" applyBorder="1" applyAlignment="1">
      <alignment horizontal="right" vertical="center" readingOrder="2"/>
    </xf>
    <xf numFmtId="3" fontId="75" fillId="0" borderId="19" xfId="22" applyNumberFormat="1" applyFont="1" applyBorder="1" applyAlignment="1">
      <alignment horizontal="center" vertical="center" readingOrder="2"/>
    </xf>
    <xf numFmtId="0" fontId="55" fillId="0" borderId="2" xfId="16" applyFont="1" applyBorder="1" applyAlignment="1">
      <alignment horizontal="right" vertical="center" wrapText="1"/>
    </xf>
    <xf numFmtId="3" fontId="55" fillId="0" borderId="2" xfId="4" applyNumberFormat="1" applyFont="1" applyBorder="1" applyAlignment="1">
      <alignment vertical="center"/>
    </xf>
    <xf numFmtId="0" fontId="55" fillId="0" borderId="0" xfId="4" applyFont="1" applyAlignment="1">
      <alignment vertical="center"/>
    </xf>
    <xf numFmtId="3" fontId="42" fillId="0" borderId="2" xfId="4" applyNumberFormat="1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 wrapText="1"/>
    </xf>
    <xf numFmtId="0" fontId="87" fillId="0" borderId="0" xfId="4" applyFont="1"/>
    <xf numFmtId="165" fontId="43" fillId="0" borderId="2" xfId="16" applyNumberFormat="1" applyFont="1" applyBorder="1" applyAlignment="1">
      <alignment horizontal="right" vertical="center" wrapText="1"/>
    </xf>
    <xf numFmtId="0" fontId="57" fillId="0" borderId="0" xfId="4" applyFont="1" applyAlignment="1">
      <alignment vertical="center"/>
    </xf>
    <xf numFmtId="3" fontId="57" fillId="0" borderId="2" xfId="4" applyNumberFormat="1" applyFont="1" applyBorder="1" applyAlignment="1">
      <alignment horizontal="right" vertical="center"/>
    </xf>
    <xf numFmtId="0" fontId="75" fillId="0" borderId="0" xfId="17" applyFont="1" applyAlignment="1">
      <alignment horizontal="right" vertical="center" readingOrder="2"/>
    </xf>
    <xf numFmtId="3" fontId="42" fillId="0" borderId="2" xfId="16" applyNumberFormat="1" applyFont="1" applyBorder="1" applyAlignment="1">
      <alignment horizontal="right" vertical="center"/>
    </xf>
    <xf numFmtId="0" fontId="57" fillId="0" borderId="0" xfId="4" applyFont="1" applyAlignment="1">
      <alignment horizontal="right" vertical="center" wrapText="1"/>
    </xf>
    <xf numFmtId="0" fontId="57" fillId="0" borderId="2" xfId="4" applyFont="1" applyBorder="1" applyAlignment="1">
      <alignment horizontal="right" vertical="center"/>
    </xf>
    <xf numFmtId="0" fontId="57" fillId="0" borderId="5" xfId="4" applyFont="1" applyBorder="1" applyAlignment="1">
      <alignment vertical="center"/>
    </xf>
    <xf numFmtId="0" fontId="57" fillId="0" borderId="6" xfId="4" applyFont="1" applyBorder="1" applyAlignment="1">
      <alignment horizontal="right" vertical="center"/>
    </xf>
    <xf numFmtId="0" fontId="57" fillId="0" borderId="6" xfId="4" applyFont="1" applyBorder="1" applyAlignment="1">
      <alignment vertical="center"/>
    </xf>
    <xf numFmtId="0" fontId="57" fillId="0" borderId="0" xfId="4" applyFont="1"/>
    <xf numFmtId="0" fontId="88" fillId="0" borderId="0" xfId="16" applyFont="1"/>
    <xf numFmtId="0" fontId="44" fillId="0" borderId="18" xfId="16" applyFont="1" applyBorder="1" applyAlignment="1">
      <alignment vertical="center"/>
    </xf>
    <xf numFmtId="3" fontId="45" fillId="0" borderId="19" xfId="16" applyNumberFormat="1" applyFont="1" applyBorder="1" applyAlignment="1">
      <alignment vertical="center"/>
    </xf>
    <xf numFmtId="0" fontId="45" fillId="0" borderId="14" xfId="16" applyFont="1" applyBorder="1" applyAlignment="1">
      <alignment horizontal="center" vertical="center"/>
    </xf>
    <xf numFmtId="3" fontId="45" fillId="0" borderId="15" xfId="16" applyNumberFormat="1" applyFont="1" applyBorder="1" applyAlignment="1">
      <alignment horizontal="center" vertical="center" wrapText="1"/>
    </xf>
    <xf numFmtId="0" fontId="45" fillId="0" borderId="16" xfId="16" applyFont="1" applyBorder="1" applyAlignment="1">
      <alignment horizontal="center" vertical="center"/>
    </xf>
    <xf numFmtId="0" fontId="45" fillId="0" borderId="20" xfId="16" applyFont="1" applyBorder="1" applyAlignment="1">
      <alignment vertical="center"/>
    </xf>
    <xf numFmtId="3" fontId="45" fillId="0" borderId="21" xfId="16" applyNumberFormat="1" applyFont="1" applyBorder="1" applyAlignment="1">
      <alignment vertical="center"/>
    </xf>
    <xf numFmtId="3" fontId="45" fillId="0" borderId="22" xfId="16" applyNumberFormat="1" applyFont="1" applyBorder="1" applyAlignment="1">
      <alignment vertical="center"/>
    </xf>
    <xf numFmtId="3" fontId="44" fillId="0" borderId="3" xfId="4" applyNumberFormat="1" applyFont="1" applyBorder="1" applyAlignment="1">
      <alignment vertical="center" wrapText="1"/>
    </xf>
    <xf numFmtId="0" fontId="42" fillId="0" borderId="6" xfId="4" applyFont="1" applyBorder="1" applyAlignment="1">
      <alignment horizontal="right" vertical="center" wrapText="1"/>
    </xf>
    <xf numFmtId="3" fontId="44" fillId="0" borderId="3" xfId="4" applyNumberFormat="1" applyFont="1" applyBorder="1" applyAlignment="1">
      <alignment vertical="center"/>
    </xf>
    <xf numFmtId="0" fontId="47" fillId="0" borderId="0" xfId="0" applyFont="1"/>
    <xf numFmtId="0" fontId="15" fillId="0" borderId="0" xfId="17" applyFont="1"/>
    <xf numFmtId="165" fontId="43" fillId="0" borderId="0" xfId="10" applyNumberFormat="1" applyFont="1" applyFill="1"/>
    <xf numFmtId="0" fontId="47" fillId="0" borderId="0" xfId="16" applyAlignment="1">
      <alignment wrapText="1"/>
    </xf>
    <xf numFmtId="0" fontId="47" fillId="0" borderId="0" xfId="16" applyAlignment="1">
      <alignment vertical="center"/>
    </xf>
    <xf numFmtId="0" fontId="90" fillId="0" borderId="0" xfId="4" applyFont="1"/>
    <xf numFmtId="3" fontId="43" fillId="0" borderId="0" xfId="4" applyNumberFormat="1" applyFont="1" applyAlignment="1">
      <alignment horizontal="right" wrapText="1"/>
    </xf>
    <xf numFmtId="0" fontId="43" fillId="4" borderId="2" xfId="4" applyFont="1" applyFill="1" applyBorder="1" applyAlignment="1">
      <alignment vertical="center" wrapText="1"/>
    </xf>
    <xf numFmtId="0" fontId="43" fillId="5" borderId="2" xfId="4" applyFont="1" applyFill="1" applyBorder="1" applyAlignment="1">
      <alignment vertical="center" wrapText="1"/>
    </xf>
    <xf numFmtId="0" fontId="47" fillId="0" borderId="2" xfId="16" applyBorder="1"/>
    <xf numFmtId="0" fontId="55" fillId="0" borderId="2" xfId="16" applyFont="1" applyBorder="1"/>
    <xf numFmtId="3" fontId="86" fillId="0" borderId="2" xfId="16" applyNumberFormat="1" applyFont="1" applyBorder="1" applyAlignment="1">
      <alignment horizontal="right" vertical="center" wrapText="1"/>
    </xf>
    <xf numFmtId="3" fontId="42" fillId="0" borderId="2" xfId="56" applyNumberFormat="1" applyFont="1" applyBorder="1" applyAlignment="1">
      <alignment horizontal="right" vertical="center"/>
    </xf>
    <xf numFmtId="3" fontId="42" fillId="0" borderId="2" xfId="57" applyNumberFormat="1" applyFont="1" applyBorder="1" applyAlignment="1">
      <alignment horizontal="right" vertical="center" wrapText="1"/>
    </xf>
    <xf numFmtId="3" fontId="43" fillId="3" borderId="2" xfId="4" applyNumberFormat="1" applyFont="1" applyFill="1" applyBorder="1" applyAlignment="1">
      <alignment vertical="center" wrapText="1"/>
    </xf>
    <xf numFmtId="0" fontId="45" fillId="0" borderId="2" xfId="4" applyFont="1" applyBorder="1" applyAlignment="1">
      <alignment horizontal="center" vertical="center"/>
    </xf>
    <xf numFmtId="0" fontId="45" fillId="0" borderId="2" xfId="4" applyFont="1" applyBorder="1"/>
    <xf numFmtId="3" fontId="56" fillId="0" borderId="2" xfId="4" applyNumberFormat="1" applyFont="1" applyBorder="1" applyAlignment="1">
      <alignment vertical="center"/>
    </xf>
    <xf numFmtId="0" fontId="91" fillId="0" borderId="0" xfId="17" applyFont="1" applyAlignment="1">
      <alignment horizontal="right" vertical="center" readingOrder="2"/>
    </xf>
    <xf numFmtId="0" fontId="44" fillId="0" borderId="0" xfId="16" applyFont="1" applyAlignment="1">
      <alignment horizontal="center" vertical="center" wrapText="1"/>
    </xf>
    <xf numFmtId="165" fontId="43" fillId="0" borderId="0" xfId="16" applyNumberFormat="1" applyFont="1"/>
    <xf numFmtId="0" fontId="45" fillId="0" borderId="2" xfId="16" applyFont="1" applyBorder="1"/>
    <xf numFmtId="0" fontId="55" fillId="0" borderId="2" xfId="16" applyFont="1" applyBorder="1" applyAlignment="1">
      <alignment vertical="center"/>
    </xf>
    <xf numFmtId="3" fontId="42" fillId="0" borderId="2" xfId="4" applyNumberFormat="1" applyFont="1" applyBorder="1" applyAlignment="1">
      <alignment vertical="center"/>
    </xf>
    <xf numFmtId="0" fontId="42" fillId="0" borderId="2" xfId="0" applyFont="1" applyBorder="1" applyAlignment="1">
      <alignment vertical="center" wrapText="1"/>
    </xf>
    <xf numFmtId="3" fontId="47" fillId="0" borderId="0" xfId="16" applyNumberFormat="1"/>
    <xf numFmtId="0" fontId="43" fillId="0" borderId="10" xfId="16" applyFont="1" applyBorder="1" applyAlignment="1">
      <alignment vertical="center" wrapText="1"/>
    </xf>
    <xf numFmtId="0" fontId="43" fillId="0" borderId="6" xfId="4" applyFont="1" applyBorder="1" applyAlignment="1">
      <alignment vertical="center" wrapText="1"/>
    </xf>
    <xf numFmtId="3" fontId="48" fillId="0" borderId="0" xfId="4" applyNumberFormat="1" applyFont="1" applyAlignment="1">
      <alignment vertical="center"/>
    </xf>
    <xf numFmtId="165" fontId="45" fillId="0" borderId="30" xfId="10" applyNumberFormat="1" applyFont="1" applyBorder="1" applyAlignment="1">
      <alignment horizontal="right" vertical="center" readingOrder="2"/>
    </xf>
    <xf numFmtId="0" fontId="44" fillId="0" borderId="0" xfId="17" applyFont="1" applyAlignment="1">
      <alignment horizontal="right" vertical="center" readingOrder="2"/>
    </xf>
    <xf numFmtId="3" fontId="45" fillId="0" borderId="30" xfId="17" applyNumberFormat="1" applyFont="1" applyBorder="1" applyAlignment="1">
      <alignment horizontal="right" vertical="center" readingOrder="2"/>
    </xf>
    <xf numFmtId="0" fontId="56" fillId="0" borderId="0" xfId="17" applyFont="1" applyAlignment="1">
      <alignment horizontal="right" vertical="center" readingOrder="2"/>
    </xf>
    <xf numFmtId="3" fontId="43" fillId="0" borderId="2" xfId="16" applyNumberFormat="1" applyFont="1" applyBorder="1"/>
    <xf numFmtId="3" fontId="43" fillId="0" borderId="2" xfId="16" applyNumberFormat="1" applyFont="1" applyBorder="1" applyAlignment="1">
      <alignment vertical="center"/>
    </xf>
    <xf numFmtId="0" fontId="63" fillId="0" borderId="2" xfId="22" applyFont="1" applyBorder="1" applyAlignment="1">
      <alignment horizontal="right" vertical="center" readingOrder="2"/>
    </xf>
    <xf numFmtId="0" fontId="63" fillId="0" borderId="2" xfId="22" applyFont="1" applyBorder="1" applyAlignment="1">
      <alignment horizontal="center" vertical="center" readingOrder="2"/>
    </xf>
    <xf numFmtId="0" fontId="61" fillId="0" borderId="2" xfId="22" applyFont="1" applyBorder="1" applyAlignment="1">
      <alignment horizontal="right" vertical="center" readingOrder="2"/>
    </xf>
    <xf numFmtId="0" fontId="55" fillId="0" borderId="0" xfId="4" applyFont="1" applyAlignment="1">
      <alignment wrapText="1"/>
    </xf>
    <xf numFmtId="3" fontId="93" fillId="0" borderId="2" xfId="4" applyNumberFormat="1" applyFont="1" applyBorder="1" applyAlignment="1">
      <alignment vertical="center" wrapText="1"/>
    </xf>
    <xf numFmtId="3" fontId="94" fillId="0" borderId="2" xfId="4" applyNumberFormat="1" applyFont="1" applyBorder="1" applyAlignment="1">
      <alignment vertical="center" wrapText="1"/>
    </xf>
    <xf numFmtId="3" fontId="42" fillId="0" borderId="2" xfId="68" applyNumberFormat="1" applyFont="1" applyBorder="1" applyAlignment="1">
      <alignment horizontal="right" vertical="center" wrapText="1"/>
    </xf>
    <xf numFmtId="3" fontId="94" fillId="0" borderId="2" xfId="16" applyNumberFormat="1" applyFont="1" applyBorder="1" applyAlignment="1">
      <alignment vertical="center" wrapText="1"/>
    </xf>
    <xf numFmtId="3" fontId="55" fillId="0" borderId="0" xfId="4" applyNumberFormat="1" applyFont="1" applyAlignment="1">
      <alignment vertical="center"/>
    </xf>
    <xf numFmtId="165" fontId="55" fillId="0" borderId="0" xfId="10" applyNumberFormat="1" applyFont="1" applyFill="1" applyAlignment="1">
      <alignment wrapText="1"/>
    </xf>
    <xf numFmtId="3" fontId="55" fillId="0" borderId="0" xfId="4" applyNumberFormat="1" applyFont="1" applyAlignment="1">
      <alignment vertical="center" wrapText="1"/>
    </xf>
    <xf numFmtId="0" fontId="95" fillId="0" borderId="0" xfId="4" applyFont="1"/>
    <xf numFmtId="0" fontId="49" fillId="0" borderId="0" xfId="70" applyFont="1"/>
    <xf numFmtId="0" fontId="49" fillId="0" borderId="0" xfId="70" applyFont="1" applyAlignment="1">
      <alignment wrapText="1"/>
    </xf>
    <xf numFmtId="3" fontId="41" fillId="0" borderId="0" xfId="70" applyNumberFormat="1" applyFont="1"/>
    <xf numFmtId="0" fontId="41" fillId="0" borderId="0" xfId="70" applyFont="1"/>
    <xf numFmtId="0" fontId="41" fillId="0" borderId="0" xfId="70" applyFont="1" applyAlignment="1">
      <alignment wrapText="1"/>
    </xf>
    <xf numFmtId="0" fontId="10" fillId="0" borderId="0" xfId="70"/>
    <xf numFmtId="3" fontId="49" fillId="0" borderId="0" xfId="70" applyNumberFormat="1" applyFont="1"/>
    <xf numFmtId="0" fontId="43" fillId="0" borderId="0" xfId="70" applyFont="1"/>
    <xf numFmtId="3" fontId="42" fillId="0" borderId="2" xfId="70" applyNumberFormat="1" applyFont="1" applyBorder="1" applyAlignment="1">
      <alignment horizontal="right" vertical="center" wrapText="1"/>
    </xf>
    <xf numFmtId="0" fontId="49" fillId="0" borderId="0" xfId="71" applyFont="1"/>
    <xf numFmtId="3" fontId="49" fillId="0" borderId="0" xfId="71" applyNumberFormat="1" applyFont="1"/>
    <xf numFmtId="0" fontId="10" fillId="0" borderId="0" xfId="71"/>
    <xf numFmtId="165" fontId="42" fillId="0" borderId="0" xfId="10" applyNumberFormat="1" applyFont="1" applyFill="1" applyAlignment="1">
      <alignment wrapText="1"/>
    </xf>
    <xf numFmtId="0" fontId="49" fillId="0" borderId="0" xfId="69" applyFont="1"/>
    <xf numFmtId="3" fontId="41" fillId="0" borderId="0" xfId="69" applyNumberFormat="1" applyFont="1"/>
    <xf numFmtId="0" fontId="41" fillId="0" borderId="0" xfId="69" applyFont="1"/>
    <xf numFmtId="0" fontId="43" fillId="0" borderId="0" xfId="69" applyFont="1"/>
    <xf numFmtId="0" fontId="10" fillId="0" borderId="0" xfId="69"/>
    <xf numFmtId="3" fontId="43" fillId="0" borderId="0" xfId="69" applyNumberFormat="1" applyFont="1"/>
    <xf numFmtId="3" fontId="42" fillId="0" borderId="2" xfId="69" applyNumberFormat="1" applyFont="1" applyBorder="1" applyAlignment="1">
      <alignment horizontal="right" vertical="center" wrapText="1"/>
    </xf>
    <xf numFmtId="3" fontId="42" fillId="0" borderId="2" xfId="69" applyNumberFormat="1" applyFont="1" applyBorder="1" applyAlignment="1">
      <alignment horizontal="right" vertical="center"/>
    </xf>
    <xf numFmtId="0" fontId="43" fillId="0" borderId="2" xfId="69" applyFont="1" applyBorder="1" applyAlignment="1">
      <alignment vertical="center" wrapText="1"/>
    </xf>
    <xf numFmtId="3" fontId="43" fillId="0" borderId="2" xfId="69" applyNumberFormat="1" applyFont="1" applyBorder="1" applyAlignment="1">
      <alignment vertical="center" wrapText="1"/>
    </xf>
    <xf numFmtId="3" fontId="42" fillId="0" borderId="2" xfId="73" applyNumberFormat="1" applyFont="1" applyBorder="1" applyAlignment="1">
      <alignment horizontal="center" vertical="center" wrapText="1"/>
    </xf>
    <xf numFmtId="0" fontId="96" fillId="0" borderId="0" xfId="16" applyFont="1"/>
    <xf numFmtId="3" fontId="94" fillId="6" borderId="2" xfId="4" applyNumberFormat="1" applyFont="1" applyFill="1" applyBorder="1" applyAlignment="1">
      <alignment vertical="center" wrapText="1"/>
    </xf>
    <xf numFmtId="0" fontId="49" fillId="0" borderId="0" xfId="80" applyFont="1"/>
    <xf numFmtId="0" fontId="49" fillId="0" borderId="0" xfId="81" applyFont="1"/>
    <xf numFmtId="0" fontId="49" fillId="0" borderId="0" xfId="79" applyFont="1"/>
    <xf numFmtId="0" fontId="44" fillId="0" borderId="0" xfId="16" applyFont="1" applyAlignment="1">
      <alignment wrapText="1"/>
    </xf>
    <xf numFmtId="0" fontId="48" fillId="0" borderId="0" xfId="16" applyFont="1" applyAlignment="1">
      <alignment horizontal="center" wrapText="1"/>
    </xf>
    <xf numFmtId="3" fontId="48" fillId="0" borderId="0" xfId="16" applyNumberFormat="1" applyFont="1" applyAlignment="1">
      <alignment horizontal="center"/>
    </xf>
    <xf numFmtId="0" fontId="48" fillId="0" borderId="0" xfId="16" applyFont="1" applyAlignment="1">
      <alignment vertical="center"/>
    </xf>
    <xf numFmtId="0" fontId="45" fillId="0" borderId="0" xfId="16" applyFont="1" applyAlignment="1">
      <alignment vertical="center"/>
    </xf>
    <xf numFmtId="0" fontId="45" fillId="0" borderId="0" xfId="16" applyFont="1" applyAlignment="1">
      <alignment wrapText="1"/>
    </xf>
    <xf numFmtId="0" fontId="57" fillId="0" borderId="0" xfId="16" applyFont="1" applyAlignment="1">
      <alignment vertical="center"/>
    </xf>
    <xf numFmtId="3" fontId="55" fillId="0" borderId="0" xfId="4" applyNumberFormat="1" applyFont="1"/>
    <xf numFmtId="0" fontId="42" fillId="0" borderId="0" xfId="4" applyFont="1"/>
    <xf numFmtId="3" fontId="42" fillId="0" borderId="0" xfId="4" applyNumberFormat="1" applyFont="1"/>
    <xf numFmtId="0" fontId="52" fillId="0" borderId="0" xfId="71" applyFont="1"/>
    <xf numFmtId="3" fontId="55" fillId="0" borderId="0" xfId="16" applyNumberFormat="1" applyFont="1"/>
    <xf numFmtId="0" fontId="95" fillId="0" borderId="0" xfId="16" applyFont="1"/>
    <xf numFmtId="3" fontId="55" fillId="0" borderId="0" xfId="4" applyNumberFormat="1" applyFont="1" applyAlignment="1">
      <alignment horizontal="right" vertical="center" wrapText="1"/>
    </xf>
    <xf numFmtId="165" fontId="37" fillId="0" borderId="0" xfId="12" applyNumberFormat="1" applyFont="1"/>
    <xf numFmtId="165" fontId="37" fillId="0" borderId="0" xfId="17" applyNumberFormat="1"/>
    <xf numFmtId="0" fontId="6" fillId="0" borderId="0" xfId="17" applyFont="1"/>
    <xf numFmtId="0" fontId="73" fillId="0" borderId="0" xfId="30" applyFont="1" applyAlignment="1">
      <alignment vertical="center" readingOrder="2"/>
    </xf>
    <xf numFmtId="0" fontId="88" fillId="0" borderId="0" xfId="0" applyFont="1"/>
    <xf numFmtId="0" fontId="42" fillId="0" borderId="2" xfId="69" applyFont="1" applyBorder="1" applyAlignment="1">
      <alignment vertical="center" wrapText="1"/>
    </xf>
    <xf numFmtId="3" fontId="42" fillId="0" borderId="2" xfId="69" applyNumberFormat="1" applyFont="1" applyBorder="1" applyAlignment="1">
      <alignment vertical="center" wrapText="1"/>
    </xf>
    <xf numFmtId="0" fontId="43" fillId="0" borderId="2" xfId="69" applyFont="1" applyBorder="1" applyAlignment="1">
      <alignment horizontal="right" vertical="center" wrapText="1"/>
    </xf>
    <xf numFmtId="0" fontId="42" fillId="0" borderId="2" xfId="69" applyFont="1" applyBorder="1" applyAlignment="1">
      <alignment horizontal="right" vertical="center" wrapText="1"/>
    </xf>
    <xf numFmtId="0" fontId="55" fillId="0" borderId="0" xfId="16" applyFont="1" applyAlignment="1">
      <alignment horizontal="right" vertical="center" wrapText="1"/>
    </xf>
    <xf numFmtId="0" fontId="88" fillId="0" borderId="0" xfId="16" applyFont="1" applyAlignment="1">
      <alignment wrapText="1"/>
    </xf>
    <xf numFmtId="0" fontId="41" fillId="0" borderId="0" xfId="16" applyFont="1" applyAlignment="1">
      <alignment vertical="center"/>
    </xf>
    <xf numFmtId="0" fontId="61" fillId="0" borderId="0" xfId="30" applyFont="1" applyAlignment="1">
      <alignment vertical="top" readingOrder="2"/>
    </xf>
    <xf numFmtId="0" fontId="75" fillId="0" borderId="0" xfId="30" applyFont="1" applyAlignment="1">
      <alignment horizontal="right" vertical="top" readingOrder="2"/>
    </xf>
    <xf numFmtId="3" fontId="43" fillId="0" borderId="2" xfId="16" applyNumberFormat="1" applyFont="1" applyFill="1" applyBorder="1" applyAlignment="1">
      <alignment vertical="center" wrapText="1"/>
    </xf>
    <xf numFmtId="0" fontId="42" fillId="0" borderId="2" xfId="4" applyFont="1" applyFill="1" applyBorder="1" applyAlignment="1">
      <alignment horizontal="right" vertical="center" wrapText="1"/>
    </xf>
    <xf numFmtId="3" fontId="42" fillId="0" borderId="2" xfId="4" applyNumberFormat="1" applyFont="1" applyFill="1" applyBorder="1" applyAlignment="1">
      <alignment horizontal="right" vertical="center" wrapText="1"/>
    </xf>
    <xf numFmtId="3" fontId="42" fillId="0" borderId="0" xfId="4" applyNumberFormat="1" applyFont="1" applyFill="1" applyBorder="1" applyAlignment="1">
      <alignment horizontal="right" vertical="center" wrapText="1"/>
    </xf>
    <xf numFmtId="3" fontId="43" fillId="0" borderId="0" xfId="4" applyNumberFormat="1" applyFont="1" applyFill="1"/>
    <xf numFmtId="0" fontId="43" fillId="0" borderId="0" xfId="4" applyFont="1" applyFill="1"/>
    <xf numFmtId="3" fontId="42" fillId="0" borderId="2" xfId="4" applyNumberFormat="1" applyFont="1" applyFill="1" applyBorder="1" applyAlignment="1">
      <alignment vertical="center" wrapText="1"/>
    </xf>
    <xf numFmtId="0" fontId="55" fillId="0" borderId="0" xfId="4" applyFont="1" applyBorder="1" applyAlignment="1">
      <alignment vertical="center" wrapText="1"/>
    </xf>
    <xf numFmtId="0" fontId="55" fillId="0" borderId="0" xfId="16" applyFont="1" applyBorder="1" applyAlignment="1">
      <alignment vertical="center" wrapText="1"/>
    </xf>
    <xf numFmtId="3" fontId="55" fillId="0" borderId="0" xfId="16" applyNumberFormat="1" applyFont="1" applyBorder="1" applyAlignment="1">
      <alignment vertical="center" wrapText="1"/>
    </xf>
    <xf numFmtId="0" fontId="101" fillId="0" borderId="0" xfId="4" applyFont="1" applyFill="1" applyBorder="1" applyAlignment="1">
      <alignment vertical="center"/>
    </xf>
    <xf numFmtId="3" fontId="54" fillId="0" borderId="2" xfId="16" applyNumberFormat="1" applyFont="1" applyFill="1" applyBorder="1" applyAlignment="1">
      <alignment horizontal="right" vertical="center" wrapText="1"/>
    </xf>
    <xf numFmtId="0" fontId="48" fillId="0" borderId="0" xfId="16" applyFont="1" applyAlignment="1">
      <alignment horizontal="center"/>
    </xf>
    <xf numFmtId="0" fontId="41" fillId="0" borderId="0" xfId="4" applyFont="1" applyFill="1" applyAlignment="1"/>
    <xf numFmtId="0" fontId="49" fillId="0" borderId="0" xfId="4" applyFont="1" applyFill="1" applyAlignment="1"/>
    <xf numFmtId="0" fontId="41" fillId="0" borderId="0" xfId="4" applyFont="1" applyFill="1"/>
    <xf numFmtId="0" fontId="102" fillId="0" borderId="0" xfId="4" applyFont="1" applyFill="1" applyAlignment="1"/>
    <xf numFmtId="0" fontId="86" fillId="0" borderId="0" xfId="4" quotePrefix="1" applyFont="1" applyFill="1" applyAlignment="1">
      <alignment horizontal="center"/>
    </xf>
    <xf numFmtId="0" fontId="41" fillId="0" borderId="0" xfId="4" applyFont="1" applyFill="1" applyAlignment="1">
      <alignment wrapText="1"/>
    </xf>
    <xf numFmtId="0" fontId="103" fillId="0" borderId="0" xfId="4" quotePrefix="1" applyFont="1" applyFill="1" applyAlignment="1"/>
    <xf numFmtId="0" fontId="86" fillId="0" borderId="0" xfId="4" quotePrefix="1" applyFont="1" applyFill="1" applyAlignment="1"/>
    <xf numFmtId="0" fontId="43" fillId="0" borderId="0" xfId="4" applyFont="1" applyFill="1" applyAlignment="1">
      <alignment wrapText="1"/>
    </xf>
    <xf numFmtId="0" fontId="86" fillId="0" borderId="0" xfId="4" quotePrefix="1" applyFont="1" applyFill="1" applyAlignment="1">
      <alignment horizontal="center" vertical="center"/>
    </xf>
    <xf numFmtId="3" fontId="43" fillId="0" borderId="0" xfId="4" applyNumberFormat="1" applyFont="1" applyFill="1" applyAlignment="1">
      <alignment horizontal="center" vertical="center"/>
    </xf>
    <xf numFmtId="0" fontId="89" fillId="0" borderId="0" xfId="85" applyFont="1" applyFill="1"/>
    <xf numFmtId="0" fontId="102" fillId="0" borderId="0" xfId="4" quotePrefix="1" applyFont="1" applyFill="1" applyAlignment="1">
      <alignment horizontal="center" vertical="center"/>
    </xf>
    <xf numFmtId="0" fontId="103" fillId="0" borderId="0" xfId="4" quotePrefix="1" applyFont="1" applyFill="1" applyAlignment="1">
      <alignment horizontal="center" vertical="center"/>
    </xf>
    <xf numFmtId="3" fontId="55" fillId="0" borderId="2" xfId="4" applyNumberFormat="1" applyFont="1" applyFill="1" applyBorder="1" applyAlignment="1">
      <alignment horizontal="right" vertical="center" wrapText="1"/>
    </xf>
    <xf numFmtId="3" fontId="42" fillId="0" borderId="2" xfId="86" applyNumberFormat="1" applyFont="1" applyFill="1" applyBorder="1" applyAlignment="1">
      <alignment horizontal="center" vertical="center" wrapText="1"/>
    </xf>
    <xf numFmtId="0" fontId="43" fillId="0" borderId="2" xfId="4" applyFont="1" applyFill="1" applyBorder="1" applyAlignment="1">
      <alignment vertical="center" wrapText="1"/>
    </xf>
    <xf numFmtId="3" fontId="43" fillId="0" borderId="2" xfId="4" applyNumberFormat="1" applyFont="1" applyFill="1" applyBorder="1" applyAlignment="1">
      <alignment vertical="center" wrapText="1"/>
    </xf>
    <xf numFmtId="3" fontId="54" fillId="0" borderId="2" xfId="4" applyNumberFormat="1" applyFont="1" applyFill="1" applyBorder="1" applyAlignment="1">
      <alignment vertical="center" wrapText="1"/>
    </xf>
    <xf numFmtId="3" fontId="93" fillId="0" borderId="2" xfId="4" applyNumberFormat="1" applyFont="1" applyFill="1" applyBorder="1" applyAlignment="1">
      <alignment vertical="center" wrapText="1"/>
    </xf>
    <xf numFmtId="0" fontId="43" fillId="0" borderId="0" xfId="4" applyFont="1" applyFill="1" applyAlignment="1">
      <alignment vertical="center" wrapText="1"/>
    </xf>
    <xf numFmtId="3" fontId="54" fillId="0" borderId="2" xfId="4" applyNumberFormat="1" applyFont="1" applyFill="1" applyBorder="1" applyAlignment="1">
      <alignment horizontal="right" vertical="center" wrapText="1"/>
    </xf>
    <xf numFmtId="0" fontId="55" fillId="0" borderId="2" xfId="4" applyFont="1" applyFill="1" applyBorder="1" applyAlignment="1">
      <alignment vertical="center" wrapText="1"/>
    </xf>
    <xf numFmtId="0" fontId="54" fillId="0" borderId="2" xfId="4" applyFont="1" applyFill="1" applyBorder="1" applyAlignment="1">
      <alignment vertical="center" wrapText="1"/>
    </xf>
    <xf numFmtId="0" fontId="42" fillId="0" borderId="0" xfId="4" applyFont="1" applyFill="1" applyAlignment="1">
      <alignment vertical="center" wrapText="1"/>
    </xf>
    <xf numFmtId="0" fontId="54" fillId="0" borderId="0" xfId="4" applyFont="1" applyFill="1" applyAlignment="1">
      <alignment vertical="center" wrapText="1"/>
    </xf>
    <xf numFmtId="0" fontId="43" fillId="0" borderId="2" xfId="4" applyFont="1" applyFill="1" applyBorder="1" applyAlignment="1">
      <alignment horizontal="right" vertical="center" wrapText="1"/>
    </xf>
    <xf numFmtId="3" fontId="55" fillId="0" borderId="2" xfId="4" applyNumberFormat="1" applyFont="1" applyFill="1" applyBorder="1" applyAlignment="1">
      <alignment vertical="center" wrapText="1"/>
    </xf>
    <xf numFmtId="0" fontId="55" fillId="0" borderId="0" xfId="4" applyFont="1" applyFill="1"/>
    <xf numFmtId="3" fontId="43" fillId="0" borderId="2" xfId="4" applyNumberFormat="1" applyFont="1" applyFill="1" applyBorder="1"/>
    <xf numFmtId="3" fontId="54" fillId="0" borderId="0" xfId="4" applyNumberFormat="1" applyFont="1" applyFill="1"/>
    <xf numFmtId="3" fontId="54" fillId="0" borderId="2" xfId="4" applyNumberFormat="1" applyFont="1" applyFill="1" applyBorder="1"/>
    <xf numFmtId="0" fontId="43" fillId="0" borderId="0" xfId="16" applyFont="1" applyFill="1" applyAlignment="1"/>
    <xf numFmtId="0" fontId="43" fillId="0" borderId="0" xfId="16" applyFont="1" applyFill="1"/>
    <xf numFmtId="0" fontId="56" fillId="0" borderId="0" xfId="16" applyFont="1" applyFill="1"/>
    <xf numFmtId="3" fontId="43" fillId="0" borderId="0" xfId="16" applyNumberFormat="1" applyFont="1" applyFill="1"/>
    <xf numFmtId="0" fontId="43" fillId="0" borderId="0" xfId="16" applyFont="1" applyFill="1" applyAlignment="1">
      <alignment wrapText="1"/>
    </xf>
    <xf numFmtId="0" fontId="43" fillId="0" borderId="2" xfId="16" applyFont="1" applyFill="1" applyBorder="1" applyAlignment="1">
      <alignment vertical="center" wrapText="1"/>
    </xf>
    <xf numFmtId="0" fontId="43" fillId="0" borderId="2" xfId="16" applyFont="1" applyFill="1" applyBorder="1"/>
    <xf numFmtId="0" fontId="43" fillId="0" borderId="2" xfId="4" applyFont="1" applyFill="1" applyBorder="1" applyAlignment="1">
      <alignment vertical="center" wrapText="1" readingOrder="2"/>
    </xf>
    <xf numFmtId="0" fontId="55" fillId="0" borderId="0" xfId="16" applyFont="1" applyFill="1"/>
    <xf numFmtId="0" fontId="55" fillId="0" borderId="0" xfId="4" applyFont="1" applyFill="1" applyAlignment="1">
      <alignment vertical="center" wrapText="1"/>
    </xf>
    <xf numFmtId="3" fontId="55" fillId="0" borderId="2" xfId="4" applyNumberFormat="1" applyFont="1" applyFill="1" applyBorder="1"/>
    <xf numFmtId="0" fontId="43" fillId="0" borderId="0" xfId="4" applyFont="1" applyFill="1" applyAlignment="1"/>
    <xf numFmtId="0" fontId="87" fillId="0" borderId="0" xfId="4" applyFont="1" applyFill="1"/>
    <xf numFmtId="0" fontId="47" fillId="0" borderId="0" xfId="16" applyFont="1" applyFill="1"/>
    <xf numFmtId="0" fontId="90" fillId="0" borderId="0" xfId="4" applyFont="1" applyFill="1"/>
    <xf numFmtId="3" fontId="43" fillId="0" borderId="0" xfId="4" applyNumberFormat="1" applyFont="1" applyFill="1" applyAlignment="1">
      <alignment horizontal="right" wrapText="1"/>
    </xf>
    <xf numFmtId="0" fontId="42" fillId="0" borderId="2" xfId="4" applyFont="1" applyFill="1" applyBorder="1" applyAlignment="1">
      <alignment horizontal="center" vertical="center" wrapText="1"/>
    </xf>
    <xf numFmtId="3" fontId="42" fillId="0" borderId="2" xfId="4" applyNumberFormat="1" applyFont="1" applyFill="1" applyBorder="1" applyAlignment="1">
      <alignment horizontal="center" vertical="center" wrapText="1"/>
    </xf>
    <xf numFmtId="3" fontId="94" fillId="0" borderId="2" xfId="4" applyNumberFormat="1" applyFont="1" applyFill="1" applyBorder="1" applyAlignment="1">
      <alignment vertical="center" wrapText="1"/>
    </xf>
    <xf numFmtId="3" fontId="43" fillId="0" borderId="2" xfId="16" applyNumberFormat="1" applyFont="1" applyFill="1" applyBorder="1" applyAlignment="1">
      <alignment horizontal="right" vertical="center" wrapText="1"/>
    </xf>
    <xf numFmtId="3" fontId="43" fillId="0" borderId="2" xfId="4" applyNumberFormat="1" applyFont="1" applyFill="1" applyBorder="1" applyAlignment="1">
      <alignment horizontal="right" vertical="center" wrapText="1"/>
    </xf>
    <xf numFmtId="0" fontId="0" fillId="0" borderId="0" xfId="0" applyFill="1"/>
    <xf numFmtId="0" fontId="43" fillId="0" borderId="2" xfId="4" applyFont="1" applyFill="1" applyBorder="1" applyAlignment="1">
      <alignment vertical="center"/>
    </xf>
    <xf numFmtId="3" fontId="42" fillId="0" borderId="0" xfId="16" applyNumberFormat="1" applyFont="1" applyFill="1" applyBorder="1" applyAlignment="1">
      <alignment horizontal="right" vertical="center" wrapText="1"/>
    </xf>
    <xf numFmtId="3" fontId="43" fillId="4" borderId="2" xfId="4" applyNumberFormat="1" applyFont="1" applyFill="1" applyBorder="1" applyAlignment="1">
      <alignment vertical="center" wrapText="1"/>
    </xf>
    <xf numFmtId="3" fontId="94" fillId="4" borderId="2" xfId="4" applyNumberFormat="1" applyFont="1" applyFill="1" applyBorder="1" applyAlignment="1">
      <alignment vertical="center" wrapText="1"/>
    </xf>
    <xf numFmtId="3" fontId="100" fillId="0" borderId="2" xfId="4" applyNumberFormat="1" applyFont="1" applyFill="1" applyBorder="1" applyAlignment="1">
      <alignment vertical="center" wrapText="1"/>
    </xf>
    <xf numFmtId="0" fontId="43" fillId="0" borderId="0" xfId="16" applyFont="1" applyFill="1" applyAlignment="1">
      <alignment vertical="center"/>
    </xf>
    <xf numFmtId="3" fontId="43" fillId="0" borderId="2" xfId="16" applyNumberFormat="1" applyFont="1" applyFill="1" applyBorder="1"/>
    <xf numFmtId="3" fontId="43" fillId="0" borderId="0" xfId="16" applyNumberFormat="1" applyFont="1" applyFill="1" applyBorder="1"/>
    <xf numFmtId="0" fontId="43" fillId="0" borderId="0" xfId="16" applyFont="1" applyFill="1" applyAlignment="1">
      <alignment horizontal="right" wrapText="1"/>
    </xf>
    <xf numFmtId="0" fontId="43" fillId="0" borderId="2" xfId="16" applyFont="1" applyFill="1" applyBorder="1" applyAlignment="1">
      <alignment wrapText="1"/>
    </xf>
    <xf numFmtId="0" fontId="49" fillId="0" borderId="0" xfId="87" applyFont="1"/>
    <xf numFmtId="0" fontId="49" fillId="0" borderId="0" xfId="87" applyFont="1" applyAlignment="1">
      <alignment wrapText="1"/>
    </xf>
    <xf numFmtId="3" fontId="41" fillId="0" borderId="0" xfId="87" applyNumberFormat="1" applyFont="1"/>
    <xf numFmtId="0" fontId="41" fillId="0" borderId="0" xfId="87" applyFont="1"/>
    <xf numFmtId="0" fontId="41" fillId="0" borderId="0" xfId="87" applyFont="1" applyAlignment="1">
      <alignment wrapText="1"/>
    </xf>
    <xf numFmtId="0" fontId="5" fillId="0" borderId="0" xfId="87"/>
    <xf numFmtId="3" fontId="49" fillId="0" borderId="0" xfId="87" applyNumberFormat="1" applyFont="1"/>
    <xf numFmtId="0" fontId="43" fillId="0" borderId="0" xfId="87" applyFont="1"/>
    <xf numFmtId="3" fontId="42" fillId="0" borderId="2" xfId="87" applyNumberFormat="1" applyFont="1" applyBorder="1" applyAlignment="1">
      <alignment horizontal="right" vertical="center" wrapText="1"/>
    </xf>
    <xf numFmtId="3" fontId="43" fillId="0" borderId="0" xfId="4" applyNumberFormat="1" applyFont="1" applyAlignment="1">
      <alignment horizontal="right" vertical="center" wrapText="1"/>
    </xf>
    <xf numFmtId="3" fontId="43" fillId="0" borderId="0" xfId="4" applyNumberFormat="1" applyFont="1" applyAlignment="1">
      <alignment horizontal="left"/>
    </xf>
    <xf numFmtId="0" fontId="49" fillId="0" borderId="0" xfId="89" applyFont="1" applyFill="1" applyAlignment="1"/>
    <xf numFmtId="3" fontId="49" fillId="0" borderId="0" xfId="89" applyNumberFormat="1" applyFont="1" applyFill="1" applyAlignment="1"/>
    <xf numFmtId="0" fontId="5" fillId="0" borderId="0" xfId="89" applyFill="1"/>
    <xf numFmtId="3" fontId="5" fillId="0" borderId="0" xfId="89" applyNumberFormat="1" applyFill="1"/>
    <xf numFmtId="0" fontId="42" fillId="0" borderId="0" xfId="4" applyFont="1" applyFill="1" applyBorder="1" applyAlignment="1">
      <alignment horizontal="right" vertical="center" wrapText="1"/>
    </xf>
    <xf numFmtId="0" fontId="42" fillId="0" borderId="2" xfId="4" applyFont="1" applyFill="1" applyBorder="1" applyAlignment="1">
      <alignment vertical="center" wrapText="1"/>
    </xf>
    <xf numFmtId="0" fontId="42" fillId="0" borderId="2" xfId="16" applyFont="1" applyFill="1" applyBorder="1" applyAlignment="1">
      <alignment vertical="center" wrapText="1"/>
    </xf>
    <xf numFmtId="0" fontId="42" fillId="0" borderId="0" xfId="16" applyFont="1" applyFill="1"/>
    <xf numFmtId="0" fontId="42" fillId="0" borderId="2" xfId="4" applyFont="1" applyFill="1" applyBorder="1" applyAlignment="1">
      <alignment vertical="center"/>
    </xf>
    <xf numFmtId="3" fontId="42" fillId="0" borderId="2" xfId="4" applyNumberFormat="1" applyFont="1" applyFill="1" applyBorder="1" applyAlignment="1">
      <alignment vertical="center"/>
    </xf>
    <xf numFmtId="0" fontId="52" fillId="0" borderId="0" xfId="89" applyFont="1" applyFill="1" applyAlignment="1">
      <alignment vertical="center"/>
    </xf>
    <xf numFmtId="0" fontId="42" fillId="0" borderId="0" xfId="4" applyFont="1" applyFill="1" applyAlignment="1">
      <alignment vertical="center"/>
    </xf>
    <xf numFmtId="3" fontId="43" fillId="0" borderId="2" xfId="90" applyNumberFormat="1" applyFont="1" applyBorder="1" applyAlignment="1">
      <alignment vertical="center" wrapText="1"/>
    </xf>
    <xf numFmtId="3" fontId="43" fillId="0" borderId="2" xfId="16" applyNumberFormat="1" applyFont="1" applyBorder="1" applyAlignment="1">
      <alignment horizontal="center"/>
    </xf>
    <xf numFmtId="3" fontId="43" fillId="4" borderId="2" xfId="16" applyNumberFormat="1" applyFont="1" applyFill="1" applyBorder="1" applyAlignment="1">
      <alignment vertical="center" wrapText="1"/>
    </xf>
    <xf numFmtId="0" fontId="49" fillId="0" borderId="0" xfId="90" applyFont="1" applyAlignment="1"/>
    <xf numFmtId="3" fontId="41" fillId="0" borderId="0" xfId="90" applyNumberFormat="1" applyFont="1"/>
    <xf numFmtId="0" fontId="41" fillId="0" borderId="0" xfId="90" applyFont="1"/>
    <xf numFmtId="0" fontId="41" fillId="0" borderId="0" xfId="90" applyFont="1" applyAlignment="1"/>
    <xf numFmtId="0" fontId="43" fillId="0" borderId="0" xfId="90" applyFont="1"/>
    <xf numFmtId="0" fontId="5" fillId="0" borderId="0" xfId="90"/>
    <xf numFmtId="0" fontId="43" fillId="0" borderId="0" xfId="90" applyFont="1" applyAlignment="1"/>
    <xf numFmtId="3" fontId="43" fillId="0" borderId="0" xfId="90" applyNumberFormat="1" applyFont="1"/>
    <xf numFmtId="3" fontId="42" fillId="0" borderId="2" xfId="90" applyNumberFormat="1" applyFont="1" applyBorder="1" applyAlignment="1">
      <alignment horizontal="right" vertical="center" wrapText="1"/>
    </xf>
    <xf numFmtId="3" fontId="42" fillId="0" borderId="2" xfId="90" applyNumberFormat="1" applyFont="1" applyBorder="1" applyAlignment="1">
      <alignment horizontal="right" vertical="center"/>
    </xf>
    <xf numFmtId="0" fontId="43" fillId="0" borderId="2" xfId="90" applyFont="1" applyBorder="1" applyAlignment="1">
      <alignment vertical="center" wrapText="1"/>
    </xf>
    <xf numFmtId="3" fontId="43" fillId="0" borderId="2" xfId="90" applyNumberFormat="1" applyFont="1" applyFill="1" applyBorder="1" applyAlignment="1">
      <alignment vertical="center" wrapText="1"/>
    </xf>
    <xf numFmtId="0" fontId="54" fillId="0" borderId="2" xfId="4" quotePrefix="1" applyFont="1" applyFill="1" applyBorder="1" applyAlignment="1">
      <alignment vertical="center" wrapText="1"/>
    </xf>
    <xf numFmtId="165" fontId="43" fillId="0" borderId="0" xfId="10" applyNumberFormat="1" applyFont="1" applyFill="1" applyAlignment="1">
      <alignment vertical="center" wrapText="1"/>
    </xf>
    <xf numFmtId="0" fontId="54" fillId="0" borderId="2" xfId="16" applyFont="1" applyFill="1" applyBorder="1" applyAlignment="1">
      <alignment vertical="center" wrapText="1"/>
    </xf>
    <xf numFmtId="0" fontId="49" fillId="0" borderId="0" xfId="16" applyFont="1" applyAlignment="1"/>
    <xf numFmtId="0" fontId="42" fillId="0" borderId="0" xfId="16" applyFont="1" applyBorder="1" applyAlignment="1">
      <alignment horizontal="right" vertical="center" wrapText="1"/>
    </xf>
    <xf numFmtId="0" fontId="43" fillId="0" borderId="0" xfId="16" applyFont="1" applyAlignment="1"/>
    <xf numFmtId="3" fontId="42" fillId="0" borderId="2" xfId="89" applyNumberFormat="1" applyFont="1" applyBorder="1" applyAlignment="1">
      <alignment horizontal="right" vertical="center"/>
    </xf>
    <xf numFmtId="3" fontId="41" fillId="0" borderId="0" xfId="16" applyNumberFormat="1" applyFont="1" applyFill="1"/>
    <xf numFmtId="0" fontId="41" fillId="0" borderId="0" xfId="16" applyFont="1" applyFill="1"/>
    <xf numFmtId="0" fontId="41" fillId="0" borderId="0" xfId="16" applyFont="1" applyFill="1" applyAlignment="1">
      <alignment wrapText="1"/>
    </xf>
    <xf numFmtId="0" fontId="49" fillId="0" borderId="0" xfId="16" applyFont="1" applyFill="1" applyAlignment="1"/>
    <xf numFmtId="0" fontId="42" fillId="0" borderId="2" xfId="16" applyFont="1" applyFill="1" applyBorder="1" applyAlignment="1">
      <alignment horizontal="right" vertical="center" wrapText="1"/>
    </xf>
    <xf numFmtId="3" fontId="42" fillId="0" borderId="2" xfId="91" applyNumberFormat="1" applyFont="1" applyBorder="1" applyAlignment="1">
      <alignment horizontal="right" vertical="center" wrapText="1"/>
    </xf>
    <xf numFmtId="0" fontId="42" fillId="0" borderId="0" xfId="16" applyFont="1" applyFill="1" applyBorder="1" applyAlignment="1">
      <alignment horizontal="right" vertical="center" wrapText="1"/>
    </xf>
    <xf numFmtId="0" fontId="43" fillId="0" borderId="0" xfId="16" applyFont="1" applyFill="1" applyAlignment="1">
      <alignment vertical="center" wrapText="1"/>
    </xf>
    <xf numFmtId="0" fontId="55" fillId="0" borderId="2" xfId="4" applyFont="1" applyFill="1" applyBorder="1" applyAlignment="1">
      <alignment vertical="center"/>
    </xf>
    <xf numFmtId="3" fontId="55" fillId="0" borderId="2" xfId="4" applyNumberFormat="1" applyFont="1" applyFill="1" applyBorder="1" applyAlignment="1">
      <alignment vertical="center"/>
    </xf>
    <xf numFmtId="0" fontId="55" fillId="0" borderId="0" xfId="4" applyFont="1" applyFill="1" applyAlignment="1">
      <alignment vertical="center"/>
    </xf>
    <xf numFmtId="0" fontId="43" fillId="0" borderId="2" xfId="16" applyFont="1" applyFill="1" applyBorder="1" applyAlignment="1">
      <alignment vertical="center"/>
    </xf>
    <xf numFmtId="0" fontId="55" fillId="0" borderId="2" xfId="16" applyFont="1" applyFill="1" applyBorder="1" applyAlignment="1">
      <alignment vertical="center"/>
    </xf>
    <xf numFmtId="3" fontId="43" fillId="0" borderId="2" xfId="16" applyNumberFormat="1" applyFont="1" applyFill="1" applyBorder="1" applyAlignment="1">
      <alignment vertical="center"/>
    </xf>
    <xf numFmtId="0" fontId="47" fillId="0" borderId="0" xfId="16" applyFill="1" applyAlignment="1">
      <alignment wrapText="1"/>
    </xf>
    <xf numFmtId="0" fontId="47" fillId="0" borderId="0" xfId="16" applyFill="1"/>
    <xf numFmtId="0" fontId="43" fillId="0" borderId="2" xfId="16" applyFont="1" applyFill="1" applyBorder="1" applyAlignment="1"/>
    <xf numFmtId="3" fontId="42" fillId="0" borderId="2" xfId="91" applyNumberFormat="1" applyFont="1" applyFill="1" applyBorder="1" applyAlignment="1">
      <alignment horizontal="right" vertical="center" wrapText="1"/>
    </xf>
    <xf numFmtId="3" fontId="54" fillId="0" borderId="0" xfId="4" applyNumberFormat="1" applyFont="1" applyFill="1" applyBorder="1" applyAlignment="1">
      <alignment vertical="center" wrapText="1"/>
    </xf>
    <xf numFmtId="0" fontId="54" fillId="0" borderId="0" xfId="16" applyFont="1" applyFill="1"/>
    <xf numFmtId="0" fontId="55" fillId="0" borderId="0" xfId="4" applyFont="1" applyFill="1" applyBorder="1" applyAlignment="1">
      <alignment vertical="center" wrapText="1"/>
    </xf>
    <xf numFmtId="0" fontId="55" fillId="0" borderId="0" xfId="16" applyFont="1" applyFill="1" applyBorder="1"/>
    <xf numFmtId="0" fontId="54" fillId="0" borderId="0" xfId="4" applyFont="1" applyBorder="1" applyAlignment="1">
      <alignment vertical="center" wrapText="1"/>
    </xf>
    <xf numFmtId="0" fontId="42" fillId="0" borderId="0" xfId="4" applyFont="1" applyFill="1" applyBorder="1" applyAlignment="1">
      <alignment vertical="center"/>
    </xf>
    <xf numFmtId="3" fontId="42" fillId="0" borderId="0" xfId="4" applyNumberFormat="1" applyFont="1" applyFill="1" applyBorder="1" applyAlignment="1">
      <alignment vertical="center"/>
    </xf>
    <xf numFmtId="0" fontId="43" fillId="0" borderId="0" xfId="90" applyFont="1" applyBorder="1" applyAlignment="1">
      <alignment vertical="center" wrapText="1"/>
    </xf>
    <xf numFmtId="0" fontId="54" fillId="0" borderId="2" xfId="4" applyFont="1" applyFill="1" applyBorder="1" applyAlignment="1">
      <alignment vertical="center"/>
    </xf>
    <xf numFmtId="3" fontId="54" fillId="0" borderId="2" xfId="4" applyNumberFormat="1" applyFont="1" applyFill="1" applyBorder="1" applyAlignment="1">
      <alignment vertical="center"/>
    </xf>
    <xf numFmtId="0" fontId="54" fillId="0" borderId="0" xfId="4" applyFont="1" applyFill="1" applyAlignment="1">
      <alignment vertical="center"/>
    </xf>
    <xf numFmtId="3" fontId="55" fillId="0" borderId="2" xfId="4" applyNumberFormat="1" applyFont="1" applyBorder="1" applyAlignment="1">
      <alignment horizontal="right" vertical="center"/>
    </xf>
    <xf numFmtId="0" fontId="56" fillId="0" borderId="0" xfId="4" applyFont="1" applyAlignment="1">
      <alignment vertical="center" wrapText="1"/>
    </xf>
    <xf numFmtId="0" fontId="48" fillId="0" borderId="0" xfId="4" applyFont="1" applyFill="1" applyBorder="1" applyAlignment="1">
      <alignment vertical="center"/>
    </xf>
    <xf numFmtId="3" fontId="48" fillId="0" borderId="0" xfId="4" applyNumberFormat="1" applyFont="1" applyFill="1" applyBorder="1" applyAlignment="1">
      <alignment vertical="center"/>
    </xf>
    <xf numFmtId="0" fontId="48" fillId="0" borderId="0" xfId="4" applyFont="1" applyFill="1" applyBorder="1"/>
    <xf numFmtId="0" fontId="44" fillId="0" borderId="0" xfId="4" applyFont="1" applyFill="1" applyBorder="1" applyAlignment="1">
      <alignment vertical="center"/>
    </xf>
    <xf numFmtId="0" fontId="78" fillId="0" borderId="0" xfId="4" applyFont="1" applyFill="1" applyBorder="1" applyAlignment="1">
      <alignment horizontal="right" vertical="center" wrapText="1"/>
    </xf>
    <xf numFmtId="0" fontId="56" fillId="0" borderId="0" xfId="4" applyFont="1" applyFill="1" applyBorder="1" applyAlignment="1">
      <alignment horizontal="right" vertical="center"/>
    </xf>
    <xf numFmtId="0" fontId="78" fillId="0" borderId="0" xfId="4" applyFont="1" applyFill="1" applyBorder="1" applyAlignment="1">
      <alignment horizontal="right" vertical="center"/>
    </xf>
    <xf numFmtId="0" fontId="78" fillId="0" borderId="0" xfId="4" applyFont="1" applyFill="1" applyBorder="1"/>
    <xf numFmtId="0" fontId="45" fillId="0" borderId="2" xfId="4" applyFont="1" applyFill="1" applyBorder="1" applyAlignment="1">
      <alignment horizontal="right" vertical="center" wrapText="1"/>
    </xf>
    <xf numFmtId="0" fontId="45" fillId="0" borderId="2" xfId="4" applyFont="1" applyFill="1" applyBorder="1" applyAlignment="1">
      <alignment horizontal="center" vertical="center"/>
    </xf>
    <xf numFmtId="0" fontId="45" fillId="0" borderId="6" xfId="4" applyFont="1" applyFill="1" applyBorder="1"/>
    <xf numFmtId="0" fontId="45" fillId="0" borderId="0" xfId="4" applyFont="1" applyFill="1" applyBorder="1"/>
    <xf numFmtId="0" fontId="42" fillId="0" borderId="6" xfId="4" applyFont="1" applyFill="1" applyBorder="1" applyAlignment="1">
      <alignment horizontal="right" vertical="center" wrapText="1"/>
    </xf>
    <xf numFmtId="17" fontId="42" fillId="0" borderId="2" xfId="4" quotePrefix="1" applyNumberFormat="1" applyFont="1" applyFill="1" applyBorder="1" applyAlignment="1">
      <alignment horizontal="right" vertical="center" wrapText="1"/>
    </xf>
    <xf numFmtId="0" fontId="45" fillId="0" borderId="0" xfId="4" applyFont="1" applyFill="1" applyBorder="1" applyAlignment="1">
      <alignment vertical="center" wrapText="1"/>
    </xf>
    <xf numFmtId="0" fontId="45" fillId="0" borderId="2" xfId="4" applyFont="1" applyFill="1" applyBorder="1" applyAlignment="1">
      <alignment vertical="center" wrapText="1"/>
    </xf>
    <xf numFmtId="0" fontId="44" fillId="0" borderId="2" xfId="4" applyFont="1" applyFill="1" applyBorder="1" applyAlignment="1">
      <alignment vertical="center"/>
    </xf>
    <xf numFmtId="3" fontId="44" fillId="0" borderId="2" xfId="4" applyNumberFormat="1" applyFont="1" applyFill="1" applyBorder="1" applyAlignment="1">
      <alignment vertical="center" wrapText="1"/>
    </xf>
    <xf numFmtId="3" fontId="44" fillId="0" borderId="2" xfId="4" applyNumberFormat="1" applyFont="1" applyFill="1" applyBorder="1" applyAlignment="1">
      <alignment vertical="center"/>
    </xf>
    <xf numFmtId="3" fontId="42" fillId="0" borderId="2" xfId="4" applyNumberFormat="1" applyFont="1" applyFill="1" applyBorder="1" applyAlignment="1">
      <alignment horizontal="right" vertical="center"/>
    </xf>
    <xf numFmtId="0" fontId="42" fillId="0" borderId="0" xfId="16" applyFont="1" applyFill="1" applyBorder="1" applyAlignment="1">
      <alignment vertical="center" wrapText="1"/>
    </xf>
    <xf numFmtId="3" fontId="44" fillId="0" borderId="3" xfId="4" applyNumberFormat="1" applyFont="1" applyFill="1" applyBorder="1" applyAlignment="1">
      <alignment vertical="center"/>
    </xf>
    <xf numFmtId="3" fontId="44" fillId="0" borderId="0" xfId="4" applyNumberFormat="1" applyFont="1" applyFill="1" applyBorder="1" applyAlignment="1">
      <alignment vertical="center"/>
    </xf>
    <xf numFmtId="0" fontId="44" fillId="0" borderId="0" xfId="4" applyFont="1" applyFill="1" applyBorder="1" applyAlignment="1">
      <alignment horizontal="right" vertical="center" wrapText="1"/>
    </xf>
    <xf numFmtId="0" fontId="44" fillId="0" borderId="0" xfId="4" applyFont="1" applyFill="1" applyBorder="1" applyAlignment="1">
      <alignment horizontal="right" vertical="center"/>
    </xf>
    <xf numFmtId="0" fontId="44" fillId="0" borderId="7" xfId="4" applyFont="1" applyFill="1" applyBorder="1" applyAlignment="1">
      <alignment horizontal="right" vertical="center"/>
    </xf>
    <xf numFmtId="0" fontId="44" fillId="0" borderId="8" xfId="4" applyFont="1" applyFill="1" applyBorder="1" applyAlignment="1">
      <alignment horizontal="right" vertical="center"/>
    </xf>
    <xf numFmtId="0" fontId="44" fillId="0" borderId="9" xfId="4" applyFont="1" applyFill="1" applyBorder="1" applyAlignment="1">
      <alignment horizontal="right" vertical="center"/>
    </xf>
    <xf numFmtId="0" fontId="45" fillId="0" borderId="2" xfId="4" applyFont="1" applyFill="1" applyBorder="1" applyAlignment="1">
      <alignment horizontal="right" vertical="center"/>
    </xf>
    <xf numFmtId="0" fontId="44" fillId="0" borderId="0" xfId="4" applyFont="1" applyFill="1" applyBorder="1"/>
    <xf numFmtId="0" fontId="57" fillId="0" borderId="0" xfId="4" applyFont="1" applyFill="1" applyBorder="1" applyAlignment="1">
      <alignment horizontal="right" vertical="center" wrapText="1"/>
    </xf>
    <xf numFmtId="0" fontId="57" fillId="0" borderId="0" xfId="4" applyFont="1" applyFill="1" applyBorder="1" applyAlignment="1">
      <alignment horizontal="right" vertical="center"/>
    </xf>
    <xf numFmtId="0" fontId="57" fillId="0" borderId="0" xfId="4" applyFont="1" applyFill="1" applyBorder="1" applyAlignment="1">
      <alignment vertical="center"/>
    </xf>
    <xf numFmtId="0" fontId="57" fillId="0" borderId="2" xfId="4" applyFont="1" applyFill="1" applyBorder="1" applyAlignment="1">
      <alignment horizontal="right" vertical="center"/>
    </xf>
    <xf numFmtId="0" fontId="57" fillId="0" borderId="5" xfId="4" applyFont="1" applyFill="1" applyBorder="1" applyAlignment="1">
      <alignment vertical="center"/>
    </xf>
    <xf numFmtId="0" fontId="57" fillId="0" borderId="6" xfId="4" applyFont="1" applyFill="1" applyBorder="1" applyAlignment="1">
      <alignment horizontal="right" vertical="center"/>
    </xf>
    <xf numFmtId="0" fontId="57" fillId="0" borderId="6" xfId="4" applyFont="1" applyFill="1" applyBorder="1" applyAlignment="1">
      <alignment vertical="center"/>
    </xf>
    <xf numFmtId="3" fontId="57" fillId="0" borderId="2" xfId="4" applyNumberFormat="1" applyFont="1" applyFill="1" applyBorder="1" applyAlignment="1">
      <alignment horizontal="right" vertical="center"/>
    </xf>
    <xf numFmtId="0" fontId="57" fillId="0" borderId="0" xfId="4" applyFont="1" applyFill="1" applyBorder="1"/>
    <xf numFmtId="0" fontId="44" fillId="0" borderId="5" xfId="4" applyFont="1" applyFill="1" applyBorder="1" applyAlignment="1">
      <alignment vertical="center"/>
    </xf>
    <xf numFmtId="0" fontId="45" fillId="0" borderId="6" xfId="4" applyFont="1" applyFill="1" applyBorder="1" applyAlignment="1">
      <alignment horizontal="right" vertical="center"/>
    </xf>
    <xf numFmtId="0" fontId="44" fillId="0" borderId="6" xfId="4" applyFont="1" applyFill="1" applyBorder="1" applyAlignment="1">
      <alignment vertical="center"/>
    </xf>
    <xf numFmtId="3" fontId="45" fillId="0" borderId="2" xfId="4" applyNumberFormat="1" applyFont="1" applyFill="1" applyBorder="1" applyAlignment="1">
      <alignment horizontal="right" vertical="center"/>
    </xf>
    <xf numFmtId="0" fontId="45" fillId="0" borderId="0" xfId="4" applyFont="1" applyFill="1" applyBorder="1" applyAlignment="1">
      <alignment horizontal="right" vertical="center"/>
    </xf>
    <xf numFmtId="3" fontId="45" fillId="0" borderId="0" xfId="4" applyNumberFormat="1" applyFont="1" applyFill="1" applyBorder="1" applyAlignment="1">
      <alignment horizontal="right" vertical="center"/>
    </xf>
    <xf numFmtId="0" fontId="44" fillId="0" borderId="2" xfId="4" applyFont="1" applyFill="1" applyBorder="1" applyAlignment="1">
      <alignment horizontal="right" vertical="center"/>
    </xf>
    <xf numFmtId="0" fontId="44" fillId="0" borderId="10" xfId="4" applyFont="1" applyFill="1" applyBorder="1" applyAlignment="1">
      <alignment horizontal="right" vertical="center"/>
    </xf>
    <xf numFmtId="3" fontId="44" fillId="0" borderId="10" xfId="4" applyNumberFormat="1" applyFont="1" applyFill="1" applyBorder="1" applyAlignment="1">
      <alignment vertical="center"/>
    </xf>
    <xf numFmtId="0" fontId="44" fillId="0" borderId="2" xfId="4" applyFont="1" applyFill="1" applyBorder="1"/>
    <xf numFmtId="0" fontId="41" fillId="0" borderId="0" xfId="4" quotePrefix="1" applyFont="1" applyFill="1" applyAlignment="1">
      <alignment horizontal="center" vertical="center"/>
    </xf>
    <xf numFmtId="0" fontId="49" fillId="0" borderId="0" xfId="16" applyFont="1" applyFill="1" applyAlignment="1">
      <alignment wrapText="1"/>
    </xf>
    <xf numFmtId="3" fontId="86" fillId="0" borderId="2" xfId="16" applyNumberFormat="1" applyFont="1" applyFill="1" applyBorder="1" applyAlignment="1">
      <alignment horizontal="right" vertical="center" wrapText="1"/>
    </xf>
    <xf numFmtId="3" fontId="42" fillId="0" borderId="2" xfId="16" applyNumberFormat="1" applyFont="1" applyFill="1" applyBorder="1" applyAlignment="1">
      <alignment horizontal="right" vertical="center" wrapText="1"/>
    </xf>
    <xf numFmtId="3" fontId="42" fillId="0" borderId="2" xfId="16" applyNumberFormat="1" applyFont="1" applyFill="1" applyBorder="1" applyAlignment="1">
      <alignment horizontal="right" vertical="center"/>
    </xf>
    <xf numFmtId="3" fontId="94" fillId="0" borderId="2" xfId="16" applyNumberFormat="1" applyFont="1" applyFill="1" applyBorder="1" applyAlignment="1">
      <alignment vertical="center" wrapText="1"/>
    </xf>
    <xf numFmtId="0" fontId="54" fillId="0" borderId="2" xfId="16" applyFont="1" applyFill="1" applyBorder="1" applyAlignment="1">
      <alignment horizontal="right" vertical="center" wrapText="1"/>
    </xf>
    <xf numFmtId="0" fontId="42" fillId="0" borderId="0" xfId="16" applyFont="1" applyFill="1" applyAlignment="1">
      <alignment vertical="center" wrapText="1"/>
    </xf>
    <xf numFmtId="0" fontId="43" fillId="0" borderId="2" xfId="16" applyFont="1" applyFill="1" applyBorder="1" applyAlignment="1">
      <alignment horizontal="right" vertical="center" wrapText="1"/>
    </xf>
    <xf numFmtId="3" fontId="105" fillId="0" borderId="2" xfId="16" applyNumberFormat="1" applyFont="1" applyFill="1" applyBorder="1" applyAlignment="1">
      <alignment vertical="center" wrapText="1"/>
    </xf>
    <xf numFmtId="3" fontId="54" fillId="0" borderId="2" xfId="16" applyNumberFormat="1" applyFont="1" applyFill="1" applyBorder="1" applyAlignment="1">
      <alignment vertical="center" wrapText="1"/>
    </xf>
    <xf numFmtId="3" fontId="55" fillId="0" borderId="2" xfId="16" applyNumberFormat="1" applyFont="1" applyFill="1" applyBorder="1" applyAlignment="1">
      <alignment horizontal="right" vertical="center" wrapText="1"/>
    </xf>
    <xf numFmtId="0" fontId="43" fillId="0" borderId="10" xfId="16" applyFont="1" applyFill="1" applyBorder="1" applyAlignment="1">
      <alignment vertical="center" wrapText="1"/>
    </xf>
    <xf numFmtId="165" fontId="43" fillId="0" borderId="2" xfId="16" applyNumberFormat="1" applyFont="1" applyFill="1" applyBorder="1" applyAlignment="1">
      <alignment horizontal="right" vertical="center" wrapText="1"/>
    </xf>
    <xf numFmtId="3" fontId="99" fillId="0" borderId="2" xfId="16" applyNumberFormat="1" applyFont="1" applyFill="1" applyBorder="1" applyAlignment="1">
      <alignment vertical="center" wrapText="1"/>
    </xf>
    <xf numFmtId="0" fontId="43" fillId="0" borderId="6" xfId="4" applyFont="1" applyFill="1" applyBorder="1" applyAlignment="1">
      <alignment vertical="center" wrapText="1"/>
    </xf>
    <xf numFmtId="0" fontId="42" fillId="0" borderId="2" xfId="16" applyFont="1" applyFill="1" applyBorder="1" applyAlignment="1">
      <alignment vertical="center"/>
    </xf>
    <xf numFmtId="3" fontId="42" fillId="0" borderId="2" xfId="16" applyNumberFormat="1" applyFont="1" applyFill="1" applyBorder="1" applyAlignment="1">
      <alignment vertical="center" wrapText="1"/>
    </xf>
    <xf numFmtId="3" fontId="42" fillId="0" borderId="0" xfId="16" applyNumberFormat="1" applyFont="1" applyFill="1"/>
    <xf numFmtId="3" fontId="43" fillId="3" borderId="2" xfId="16" applyNumberFormat="1" applyFont="1" applyFill="1" applyBorder="1" applyAlignment="1">
      <alignment vertical="center" wrapText="1"/>
    </xf>
    <xf numFmtId="3" fontId="55" fillId="0" borderId="0" xfId="4" applyNumberFormat="1" applyFont="1" applyFill="1" applyAlignment="1">
      <alignment vertical="center"/>
    </xf>
    <xf numFmtId="3" fontId="43" fillId="0" borderId="0" xfId="16" applyNumberFormat="1" applyFont="1" applyFill="1" applyAlignment="1">
      <alignment vertical="center" wrapText="1"/>
    </xf>
    <xf numFmtId="165" fontId="43" fillId="0" borderId="0" xfId="16" applyNumberFormat="1" applyFont="1" applyFill="1"/>
    <xf numFmtId="3" fontId="104" fillId="0" borderId="2" xfId="4" applyNumberFormat="1" applyFont="1" applyFill="1" applyBorder="1" applyAlignment="1">
      <alignment vertical="center" wrapText="1"/>
    </xf>
    <xf numFmtId="3" fontId="106" fillId="0" borderId="2" xfId="4" applyNumberFormat="1" applyFont="1" applyFill="1" applyBorder="1" applyAlignment="1">
      <alignment vertical="center" wrapText="1"/>
    </xf>
    <xf numFmtId="3" fontId="43" fillId="0" borderId="2" xfId="4" applyNumberFormat="1" applyFont="1" applyFill="1" applyBorder="1" applyAlignment="1">
      <alignment vertical="center"/>
    </xf>
    <xf numFmtId="0" fontId="96" fillId="0" borderId="0" xfId="16" applyFont="1" applyFill="1" applyBorder="1" applyAlignment="1"/>
    <xf numFmtId="0" fontId="95" fillId="0" borderId="0" xfId="4" applyFont="1" applyFill="1" applyBorder="1"/>
    <xf numFmtId="0" fontId="43" fillId="0" borderId="0" xfId="4" applyFont="1" applyFill="1" applyBorder="1"/>
    <xf numFmtId="3" fontId="55" fillId="0" borderId="0" xfId="4" applyNumberFormat="1" applyFont="1" applyFill="1" applyBorder="1" applyAlignment="1">
      <alignment vertical="center"/>
    </xf>
    <xf numFmtId="0" fontId="55" fillId="0" borderId="0" xfId="16" applyFont="1" applyFill="1" applyAlignment="1"/>
    <xf numFmtId="3" fontId="55" fillId="0" borderId="0" xfId="16" applyNumberFormat="1" applyFont="1" applyFill="1"/>
    <xf numFmtId="0" fontId="95" fillId="0" borderId="0" xfId="16" applyFont="1" applyFill="1"/>
    <xf numFmtId="0" fontId="55" fillId="0" borderId="0" xfId="4" applyFont="1" applyFill="1" applyAlignment="1">
      <alignment wrapText="1"/>
    </xf>
    <xf numFmtId="3" fontId="47" fillId="0" borderId="2" xfId="16" applyNumberFormat="1" applyBorder="1"/>
    <xf numFmtId="0" fontId="89" fillId="0" borderId="0" xfId="93" applyFont="1" applyFill="1"/>
    <xf numFmtId="3" fontId="42" fillId="0" borderId="2" xfId="94" applyNumberFormat="1" applyFont="1" applyFill="1" applyBorder="1" applyAlignment="1">
      <alignment horizontal="right" vertical="center" wrapText="1"/>
    </xf>
    <xf numFmtId="3" fontId="42" fillId="0" borderId="2" xfId="95" applyNumberFormat="1" applyFont="1" applyFill="1" applyBorder="1" applyAlignment="1">
      <alignment horizontal="center" vertical="center" wrapText="1"/>
    </xf>
    <xf numFmtId="0" fontId="49" fillId="0" borderId="0" xfId="96" applyFont="1"/>
    <xf numFmtId="0" fontId="49" fillId="0" borderId="0" xfId="96" applyFont="1" applyAlignment="1">
      <alignment wrapText="1"/>
    </xf>
    <xf numFmtId="3" fontId="41" fillId="0" borderId="0" xfId="96" applyNumberFormat="1" applyFont="1"/>
    <xf numFmtId="0" fontId="41" fillId="0" borderId="0" xfId="96" applyFont="1"/>
    <xf numFmtId="0" fontId="41" fillId="0" borderId="0" xfId="96" applyFont="1" applyAlignment="1">
      <alignment wrapText="1"/>
    </xf>
    <xf numFmtId="0" fontId="4" fillId="0" borderId="0" xfId="96"/>
    <xf numFmtId="3" fontId="49" fillId="0" borderId="0" xfId="96" applyNumberFormat="1" applyFont="1"/>
    <xf numFmtId="0" fontId="43" fillId="0" borderId="0" xfId="96" applyFont="1"/>
    <xf numFmtId="3" fontId="42" fillId="0" borderId="2" xfId="96" applyNumberFormat="1" applyFont="1" applyBorder="1" applyAlignment="1">
      <alignment horizontal="right" vertical="center" wrapText="1"/>
    </xf>
    <xf numFmtId="0" fontId="49" fillId="0" borderId="0" xfId="97" applyFont="1" applyFill="1" applyAlignment="1"/>
    <xf numFmtId="3" fontId="49" fillId="0" borderId="0" xfId="97" applyNumberFormat="1" applyFont="1" applyFill="1" applyAlignment="1"/>
    <xf numFmtId="0" fontId="4" fillId="0" borderId="0" xfId="97" applyFill="1"/>
    <xf numFmtId="0" fontId="4" fillId="0" borderId="2" xfId="97" applyFill="1" applyBorder="1"/>
    <xf numFmtId="3" fontId="43" fillId="0" borderId="2" xfId="98" applyNumberFormat="1" applyFont="1" applyFill="1" applyBorder="1" applyAlignment="1">
      <alignment vertical="center" wrapText="1"/>
    </xf>
    <xf numFmtId="0" fontId="49" fillId="0" borderId="0" xfId="98" applyFont="1" applyAlignment="1"/>
    <xf numFmtId="3" fontId="41" fillId="0" borderId="0" xfId="98" applyNumberFormat="1" applyFont="1"/>
    <xf numFmtId="0" fontId="41" fillId="0" borderId="0" xfId="98" applyFont="1"/>
    <xf numFmtId="0" fontId="41" fillId="0" borderId="0" xfId="98" applyFont="1" applyAlignment="1"/>
    <xf numFmtId="0" fontId="43" fillId="0" borderId="0" xfId="98" applyFont="1"/>
    <xf numFmtId="0" fontId="4" fillId="0" borderId="0" xfId="98"/>
    <xf numFmtId="0" fontId="43" fillId="0" borderId="0" xfId="98" applyFont="1" applyAlignment="1"/>
    <xf numFmtId="3" fontId="43" fillId="0" borderId="0" xfId="98" applyNumberFormat="1" applyFont="1"/>
    <xf numFmtId="3" fontId="42" fillId="0" borderId="2" xfId="98" applyNumberFormat="1" applyFont="1" applyBorder="1" applyAlignment="1">
      <alignment horizontal="right" vertical="center" wrapText="1"/>
    </xf>
    <xf numFmtId="3" fontId="42" fillId="0" borderId="2" xfId="98" applyNumberFormat="1" applyFont="1" applyBorder="1" applyAlignment="1">
      <alignment horizontal="right" vertical="center"/>
    </xf>
    <xf numFmtId="0" fontId="43" fillId="0" borderId="2" xfId="98" applyFont="1" applyBorder="1" applyAlignment="1">
      <alignment vertical="center" wrapText="1"/>
    </xf>
    <xf numFmtId="3" fontId="43" fillId="0" borderId="2" xfId="98" applyNumberFormat="1" applyFont="1" applyBorder="1" applyAlignment="1">
      <alignment vertical="center" wrapText="1"/>
    </xf>
    <xf numFmtId="3" fontId="94" fillId="0" borderId="2" xfId="98" applyNumberFormat="1" applyFont="1" applyFill="1" applyBorder="1" applyAlignment="1">
      <alignment vertical="center" wrapText="1"/>
    </xf>
    <xf numFmtId="3" fontId="42" fillId="0" borderId="2" xfId="97" applyNumberFormat="1" applyFont="1" applyBorder="1" applyAlignment="1">
      <alignment horizontal="right" vertical="center"/>
    </xf>
    <xf numFmtId="3" fontId="42" fillId="0" borderId="2" xfId="99" applyNumberFormat="1" applyFont="1" applyBorder="1" applyAlignment="1">
      <alignment horizontal="right" vertical="center" wrapText="1"/>
    </xf>
    <xf numFmtId="0" fontId="44" fillId="0" borderId="0" xfId="16" applyFont="1" applyFill="1"/>
    <xf numFmtId="0" fontId="44" fillId="0" borderId="0" xfId="16" applyFont="1" applyAlignment="1"/>
    <xf numFmtId="0" fontId="48" fillId="0" borderId="0" xfId="16" applyFont="1" applyFill="1" applyAlignment="1">
      <alignment horizontal="center"/>
    </xf>
    <xf numFmtId="0" fontId="48" fillId="0" borderId="0" xfId="16" applyFont="1" applyAlignment="1"/>
    <xf numFmtId="0" fontId="4" fillId="0" borderId="0" xfId="94"/>
    <xf numFmtId="3" fontId="48" fillId="0" borderId="0" xfId="16" applyNumberFormat="1" applyFont="1" applyAlignment="1"/>
    <xf numFmtId="0" fontId="44" fillId="0" borderId="2" xfId="16" applyFont="1" applyFill="1" applyBorder="1"/>
    <xf numFmtId="0" fontId="44" fillId="0" borderId="2" xfId="16" applyFont="1" applyBorder="1" applyAlignment="1"/>
    <xf numFmtId="0" fontId="44" fillId="0" borderId="2" xfId="16" applyFont="1" applyFill="1" applyBorder="1" applyAlignment="1">
      <alignment horizontal="center" vertical="center" wrapText="1"/>
    </xf>
    <xf numFmtId="0" fontId="44" fillId="0" borderId="2" xfId="16" applyFont="1" applyFill="1" applyBorder="1" applyAlignment="1">
      <alignment horizontal="right" vertical="center" wrapText="1"/>
    </xf>
    <xf numFmtId="0" fontId="48" fillId="0" borderId="0" xfId="16" applyFont="1" applyFill="1" applyAlignment="1">
      <alignment horizontal="center" vertical="center"/>
    </xf>
    <xf numFmtId="0" fontId="44" fillId="0" borderId="0" xfId="16" applyFont="1" applyFill="1" applyAlignment="1">
      <alignment vertical="center"/>
    </xf>
    <xf numFmtId="0" fontId="44" fillId="0" borderId="18" xfId="16" applyFont="1" applyFill="1" applyBorder="1" applyAlignment="1">
      <alignment horizontal="right" vertical="center" wrapText="1"/>
    </xf>
    <xf numFmtId="0" fontId="44" fillId="0" borderId="4" xfId="16" applyFont="1" applyBorder="1" applyAlignment="1">
      <alignment horizontal="center" vertical="center" wrapText="1"/>
    </xf>
    <xf numFmtId="0" fontId="45" fillId="0" borderId="2" xfId="16" applyFont="1" applyFill="1" applyBorder="1"/>
    <xf numFmtId="0" fontId="45" fillId="0" borderId="2" xfId="16" applyFont="1" applyFill="1" applyBorder="1" applyAlignment="1">
      <alignment horizontal="right" vertical="center"/>
    </xf>
    <xf numFmtId="0" fontId="44" fillId="0" borderId="0" xfId="16" applyFont="1" applyFill="1" applyAlignment="1">
      <alignment horizontal="center" vertical="center" wrapText="1"/>
    </xf>
    <xf numFmtId="3" fontId="97" fillId="0" borderId="0" xfId="16" applyNumberFormat="1" applyFont="1" applyBorder="1" applyAlignment="1">
      <alignment vertical="center"/>
    </xf>
    <xf numFmtId="3" fontId="44" fillId="0" borderId="0" xfId="16" applyNumberFormat="1" applyFont="1" applyBorder="1" applyAlignment="1">
      <alignment vertical="center"/>
    </xf>
    <xf numFmtId="0" fontId="47" fillId="0" borderId="0" xfId="16" applyBorder="1" applyAlignment="1">
      <alignment vertical="center"/>
    </xf>
    <xf numFmtId="0" fontId="48" fillId="0" borderId="0" xfId="16" applyFont="1" applyBorder="1" applyAlignment="1">
      <alignment vertical="center"/>
    </xf>
    <xf numFmtId="0" fontId="44" fillId="0" borderId="0" xfId="16" applyFont="1" applyBorder="1" applyAlignment="1">
      <alignment vertical="center"/>
    </xf>
    <xf numFmtId="0" fontId="45" fillId="0" borderId="0" xfId="16" applyFont="1" applyBorder="1" applyAlignment="1">
      <alignment vertical="center"/>
    </xf>
    <xf numFmtId="0" fontId="44" fillId="0" borderId="0" xfId="16" applyFont="1" applyFill="1" applyBorder="1" applyAlignment="1">
      <alignment vertical="center"/>
    </xf>
    <xf numFmtId="0" fontId="45" fillId="0" borderId="2" xfId="16" applyFont="1" applyFill="1" applyBorder="1" applyAlignment="1">
      <alignment vertical="center"/>
    </xf>
    <xf numFmtId="0" fontId="48" fillId="0" borderId="2" xfId="16" applyFont="1" applyFill="1" applyBorder="1" applyAlignment="1">
      <alignment horizontal="center"/>
    </xf>
    <xf numFmtId="0" fontId="48" fillId="0" borderId="0" xfId="16" applyFont="1" applyFill="1" applyBorder="1" applyAlignment="1">
      <alignment horizontal="center"/>
    </xf>
    <xf numFmtId="0" fontId="41" fillId="0" borderId="2" xfId="16" applyFont="1" applyFill="1" applyBorder="1" applyAlignment="1"/>
    <xf numFmtId="0" fontId="92" fillId="0" borderId="0" xfId="16" applyFont="1"/>
    <xf numFmtId="0" fontId="41" fillId="0" borderId="0" xfId="16" applyFont="1" applyFill="1" applyBorder="1"/>
    <xf numFmtId="0" fontId="41" fillId="0" borderId="0" xfId="16" applyFont="1" applyBorder="1"/>
    <xf numFmtId="3" fontId="45" fillId="0" borderId="0" xfId="16" applyNumberFormat="1" applyFont="1" applyBorder="1" applyAlignment="1">
      <alignment vertical="center"/>
    </xf>
    <xf numFmtId="0" fontId="52" fillId="0" borderId="2" xfId="94" applyFont="1" applyBorder="1"/>
    <xf numFmtId="0" fontId="45" fillId="0" borderId="0" xfId="16" applyFont="1" applyAlignment="1"/>
    <xf numFmtId="0" fontId="56" fillId="0" borderId="0" xfId="16" applyFont="1" applyBorder="1"/>
    <xf numFmtId="3" fontId="56" fillId="0" borderId="3" xfId="16" applyNumberFormat="1" applyFont="1" applyBorder="1" applyAlignment="1">
      <alignment vertical="center"/>
    </xf>
    <xf numFmtId="3" fontId="56" fillId="0" borderId="2" xfId="16" applyNumberFormat="1" applyFont="1" applyBorder="1" applyAlignment="1">
      <alignment vertical="center"/>
    </xf>
    <xf numFmtId="0" fontId="52" fillId="0" borderId="0" xfId="94" applyFont="1"/>
    <xf numFmtId="3" fontId="57" fillId="0" borderId="0" xfId="16" applyNumberFormat="1" applyFont="1" applyBorder="1" applyAlignment="1">
      <alignment vertical="center"/>
    </xf>
    <xf numFmtId="0" fontId="56" fillId="0" borderId="0" xfId="16" applyFont="1" applyAlignment="1">
      <alignment vertical="center"/>
    </xf>
    <xf numFmtId="3" fontId="56" fillId="0" borderId="2" xfId="16" applyNumberFormat="1" applyFont="1" applyBorder="1"/>
    <xf numFmtId="0" fontId="48" fillId="0" borderId="0" xfId="16" applyFont="1" applyAlignment="1">
      <alignment wrapText="1"/>
    </xf>
    <xf numFmtId="3" fontId="56" fillId="0" borderId="6" xfId="16" applyNumberFormat="1" applyFont="1" applyBorder="1"/>
    <xf numFmtId="3" fontId="45" fillId="0" borderId="6" xfId="16" applyNumberFormat="1" applyFont="1" applyBorder="1" applyAlignment="1">
      <alignment vertical="center"/>
    </xf>
    <xf numFmtId="0" fontId="56" fillId="0" borderId="2" xfId="16" applyFont="1" applyBorder="1"/>
    <xf numFmtId="0" fontId="48" fillId="0" borderId="0" xfId="16" applyFont="1" applyFill="1" applyAlignment="1">
      <alignment horizontal="center"/>
    </xf>
    <xf numFmtId="0" fontId="91" fillId="0" borderId="0" xfId="30" applyFont="1" applyAlignment="1">
      <alignment horizontal="right" vertical="center" readingOrder="2"/>
    </xf>
    <xf numFmtId="0" fontId="108" fillId="0" borderId="0" xfId="30" applyFont="1" applyAlignment="1">
      <alignment horizontal="right" vertical="center" readingOrder="2"/>
    </xf>
    <xf numFmtId="3" fontId="91" fillId="0" borderId="18" xfId="16" applyNumberFormat="1" applyFont="1" applyBorder="1"/>
    <xf numFmtId="0" fontId="48" fillId="0" borderId="0" xfId="16" applyFont="1" applyFill="1" applyAlignment="1">
      <alignment horizontal="center"/>
    </xf>
    <xf numFmtId="3" fontId="41" fillId="0" borderId="2" xfId="16" applyNumberFormat="1" applyFont="1" applyBorder="1"/>
    <xf numFmtId="0" fontId="109" fillId="0" borderId="0" xfId="4" applyFont="1" applyAlignment="1"/>
    <xf numFmtId="0" fontId="45" fillId="0" borderId="0" xfId="4" applyFont="1" applyBorder="1" applyAlignment="1">
      <alignment horizontal="right" vertical="center"/>
    </xf>
    <xf numFmtId="0" fontId="44" fillId="0" borderId="0" xfId="4" applyFont="1" applyBorder="1" applyAlignment="1">
      <alignment vertical="center"/>
    </xf>
    <xf numFmtId="3" fontId="45" fillId="0" borderId="0" xfId="4" applyNumberFormat="1" applyFont="1" applyBorder="1" applyAlignment="1">
      <alignment horizontal="right" vertical="center"/>
    </xf>
    <xf numFmtId="0" fontId="57" fillId="0" borderId="0" xfId="4" applyFont="1" applyBorder="1" applyAlignment="1">
      <alignment horizontal="right" vertical="center"/>
    </xf>
    <xf numFmtId="0" fontId="43" fillId="0" borderId="0" xfId="4" applyFont="1" applyAlignment="1"/>
    <xf numFmtId="0" fontId="76" fillId="0" borderId="0" xfId="4" applyFont="1"/>
    <xf numFmtId="0" fontId="76" fillId="0" borderId="0" xfId="4" applyFont="1" applyAlignment="1">
      <alignment wrapText="1"/>
    </xf>
    <xf numFmtId="3" fontId="76" fillId="0" borderId="0" xfId="4" applyNumberFormat="1" applyFont="1"/>
    <xf numFmtId="0" fontId="98" fillId="0" borderId="0" xfId="4" applyFont="1" applyAlignment="1">
      <alignment horizontal="right" vertical="center" wrapText="1"/>
    </xf>
    <xf numFmtId="0" fontId="109" fillId="0" borderId="0" xfId="4" applyFont="1" applyFill="1" applyAlignment="1"/>
    <xf numFmtId="3" fontId="42" fillId="0" borderId="0" xfId="16" applyNumberFormat="1" applyFont="1" applyFill="1" applyAlignment="1">
      <alignment horizontal="right" vertical="center" wrapText="1"/>
    </xf>
    <xf numFmtId="3" fontId="44" fillId="0" borderId="0" xfId="4" applyNumberFormat="1" applyFont="1" applyBorder="1" applyAlignment="1">
      <alignment vertical="center"/>
    </xf>
    <xf numFmtId="0" fontId="43" fillId="0" borderId="0" xfId="4" applyFont="1" applyBorder="1" applyAlignment="1">
      <alignment vertical="center" wrapText="1"/>
    </xf>
    <xf numFmtId="3" fontId="43" fillId="0" borderId="0" xfId="16" applyNumberFormat="1" applyFont="1" applyBorder="1" applyAlignment="1">
      <alignment horizontal="center"/>
    </xf>
    <xf numFmtId="3" fontId="43" fillId="0" borderId="0" xfId="16" applyNumberFormat="1" applyFont="1" applyBorder="1"/>
    <xf numFmtId="0" fontId="101" fillId="0" borderId="0" xfId="16" applyFont="1"/>
    <xf numFmtId="3" fontId="43" fillId="0" borderId="0" xfId="4" applyNumberFormat="1" applyFont="1" applyBorder="1" applyAlignment="1">
      <alignment vertical="center" wrapText="1"/>
    </xf>
    <xf numFmtId="3" fontId="94" fillId="0" borderId="0" xfId="4" applyNumberFormat="1" applyFont="1" applyBorder="1" applyAlignment="1">
      <alignment vertical="center" wrapText="1"/>
    </xf>
    <xf numFmtId="165" fontId="43" fillId="0" borderId="0" xfId="10" applyNumberFormat="1" applyFont="1" applyBorder="1" applyAlignment="1">
      <alignment vertical="center" wrapText="1"/>
    </xf>
    <xf numFmtId="3" fontId="47" fillId="0" borderId="0" xfId="16" applyNumberFormat="1" applyFont="1" applyFill="1"/>
    <xf numFmtId="0" fontId="92" fillId="0" borderId="0" xfId="17" applyFont="1" applyAlignment="1">
      <alignment horizontal="right" vertical="center" readingOrder="2"/>
    </xf>
    <xf numFmtId="0" fontId="110" fillId="0" borderId="0" xfId="17" applyFont="1"/>
    <xf numFmtId="3" fontId="57" fillId="0" borderId="0" xfId="4" applyNumberFormat="1" applyFont="1" applyBorder="1" applyAlignment="1">
      <alignment horizontal="right" vertical="center"/>
    </xf>
    <xf numFmtId="0" fontId="91" fillId="0" borderId="0" xfId="16" applyFont="1"/>
    <xf numFmtId="3" fontId="49" fillId="0" borderId="0" xfId="16" applyNumberFormat="1" applyFont="1"/>
    <xf numFmtId="3" fontId="43" fillId="0" borderId="0" xfId="16" applyNumberFormat="1" applyFont="1" applyAlignment="1">
      <alignment wrapText="1"/>
    </xf>
    <xf numFmtId="3" fontId="92" fillId="0" borderId="2" xfId="4" applyNumberFormat="1" applyFont="1" applyBorder="1" applyAlignment="1">
      <alignment horizontal="right" vertical="center"/>
    </xf>
    <xf numFmtId="3" fontId="91" fillId="0" borderId="0" xfId="16" applyNumberFormat="1" applyFont="1"/>
    <xf numFmtId="3" fontId="48" fillId="0" borderId="0" xfId="16" applyNumberFormat="1" applyFont="1" applyFill="1"/>
    <xf numFmtId="0" fontId="43" fillId="0" borderId="0" xfId="16" applyNumberFormat="1" applyFont="1" applyFill="1"/>
    <xf numFmtId="3" fontId="43" fillId="0" borderId="0" xfId="16" applyNumberFormat="1" applyFont="1" applyFill="1" applyAlignment="1">
      <alignment horizontal="right"/>
    </xf>
    <xf numFmtId="3" fontId="42" fillId="0" borderId="2" xfId="16" applyNumberFormat="1" applyFont="1" applyFill="1" applyBorder="1" applyAlignment="1">
      <alignment horizontal="center" vertical="center" wrapText="1"/>
    </xf>
    <xf numFmtId="0" fontId="42" fillId="0" borderId="2" xfId="16" applyNumberFormat="1" applyFont="1" applyFill="1" applyBorder="1" applyAlignment="1">
      <alignment horizontal="center" vertical="center" wrapText="1"/>
    </xf>
    <xf numFmtId="3" fontId="42" fillId="0" borderId="4" xfId="16" applyNumberFormat="1" applyFont="1" applyFill="1" applyBorder="1" applyAlignment="1">
      <alignment horizontal="center" vertical="center" wrapText="1"/>
    </xf>
    <xf numFmtId="3" fontId="42" fillId="0" borderId="2" xfId="16" applyNumberFormat="1" applyFont="1" applyFill="1" applyBorder="1" applyAlignment="1">
      <alignment horizontal="center" vertical="center"/>
    </xf>
    <xf numFmtId="3" fontId="43" fillId="0" borderId="0" xfId="16" applyNumberFormat="1" applyFont="1" applyFill="1" applyAlignment="1">
      <alignment horizontal="center" vertical="center"/>
    </xf>
    <xf numFmtId="3" fontId="54" fillId="0" borderId="2" xfId="16" applyNumberFormat="1" applyFont="1" applyFill="1" applyBorder="1" applyAlignment="1">
      <alignment vertical="center"/>
    </xf>
    <xf numFmtId="0" fontId="54" fillId="0" borderId="2" xfId="16" applyNumberFormat="1" applyFont="1" applyFill="1" applyBorder="1"/>
    <xf numFmtId="3" fontId="54" fillId="0" borderId="2" xfId="16" applyNumberFormat="1" applyFont="1" applyFill="1" applyBorder="1"/>
    <xf numFmtId="3" fontId="54" fillId="0" borderId="4" xfId="16" applyNumberFormat="1" applyFont="1" applyFill="1" applyBorder="1"/>
    <xf numFmtId="3" fontId="54" fillId="0" borderId="0" xfId="16" applyNumberFormat="1" applyFont="1" applyFill="1"/>
    <xf numFmtId="0" fontId="54" fillId="0" borderId="2" xfId="16" applyNumberFormat="1" applyFont="1" applyFill="1" applyBorder="1" applyAlignment="1">
      <alignment vertical="center"/>
    </xf>
    <xf numFmtId="3" fontId="54" fillId="0" borderId="4" xfId="16" applyNumberFormat="1" applyFont="1" applyFill="1" applyBorder="1" applyAlignment="1">
      <alignment vertical="center"/>
    </xf>
    <xf numFmtId="3" fontId="54" fillId="0" borderId="0" xfId="16" applyNumberFormat="1" applyFont="1" applyFill="1" applyAlignment="1">
      <alignment vertical="center"/>
    </xf>
    <xf numFmtId="3" fontId="42" fillId="0" borderId="2" xfId="16" applyNumberFormat="1" applyFont="1" applyFill="1" applyBorder="1"/>
    <xf numFmtId="0" fontId="42" fillId="0" borderId="2" xfId="16" applyNumberFormat="1" applyFont="1" applyFill="1" applyBorder="1"/>
    <xf numFmtId="3" fontId="42" fillId="0" borderId="2" xfId="16" applyNumberFormat="1" applyFont="1" applyFill="1" applyBorder="1" applyAlignment="1">
      <alignment horizontal="right"/>
    </xf>
    <xf numFmtId="3" fontId="43" fillId="0" borderId="4" xfId="16" applyNumberFormat="1" applyFont="1" applyFill="1" applyBorder="1"/>
    <xf numFmtId="0" fontId="111" fillId="0" borderId="0" xfId="16" applyFont="1" applyAlignment="1">
      <alignment horizontal="right" vertical="center" readingOrder="2"/>
    </xf>
    <xf numFmtId="0" fontId="84" fillId="0" borderId="0" xfId="30" applyFont="1"/>
    <xf numFmtId="0" fontId="112" fillId="0" borderId="0" xfId="30" applyFont="1" applyAlignment="1">
      <alignment horizontal="right" vertical="center" readingOrder="2"/>
    </xf>
    <xf numFmtId="0" fontId="83" fillId="0" borderId="0" xfId="30" applyFont="1" applyAlignment="1">
      <alignment horizontal="right" vertical="center" readingOrder="2"/>
    </xf>
    <xf numFmtId="0" fontId="75" fillId="0" borderId="28" xfId="22" applyFont="1" applyBorder="1" applyAlignment="1">
      <alignment vertical="center" readingOrder="2"/>
    </xf>
    <xf numFmtId="0" fontId="75" fillId="0" borderId="6" xfId="22" applyFont="1" applyBorder="1" applyAlignment="1">
      <alignment vertical="center" readingOrder="2"/>
    </xf>
    <xf numFmtId="0" fontId="54" fillId="0" borderId="2" xfId="0" applyFont="1" applyBorder="1" applyAlignment="1">
      <alignment horizontal="right" vertical="center" wrapText="1"/>
    </xf>
    <xf numFmtId="0" fontId="57" fillId="0" borderId="0" xfId="17" applyFont="1" applyAlignment="1">
      <alignment horizontal="right" vertical="center" readingOrder="2"/>
    </xf>
    <xf numFmtId="0" fontId="113" fillId="0" borderId="0" xfId="17" applyFont="1"/>
    <xf numFmtId="0" fontId="101" fillId="0" borderId="0" xfId="17" applyFont="1" applyAlignment="1">
      <alignment horizontal="right" vertical="center" readingOrder="2"/>
    </xf>
    <xf numFmtId="0" fontId="114" fillId="0" borderId="0" xfId="17" applyFont="1"/>
    <xf numFmtId="0" fontId="96" fillId="0" borderId="0" xfId="22" applyFont="1" applyAlignment="1">
      <alignment horizontal="right" vertical="center" readingOrder="2"/>
    </xf>
    <xf numFmtId="0" fontId="57" fillId="0" borderId="0" xfId="30" applyFont="1" applyAlignment="1">
      <alignment horizontal="right" vertical="center" readingOrder="2"/>
    </xf>
    <xf numFmtId="0" fontId="114" fillId="0" borderId="0" xfId="22" applyFont="1"/>
    <xf numFmtId="0" fontId="115" fillId="0" borderId="0" xfId="22" applyFont="1"/>
    <xf numFmtId="0" fontId="44" fillId="0" borderId="0" xfId="22" applyFont="1" applyAlignment="1">
      <alignment horizontal="right" vertical="center" readingOrder="2"/>
    </xf>
    <xf numFmtId="0" fontId="61" fillId="0" borderId="20" xfId="22" applyFont="1" applyBorder="1" applyAlignment="1">
      <alignment horizontal="right" vertical="center" wrapText="1" readingOrder="2"/>
    </xf>
    <xf numFmtId="0" fontId="44" fillId="0" borderId="0" xfId="30" applyFont="1" applyAlignment="1">
      <alignment horizontal="right" vertical="center" readingOrder="2"/>
    </xf>
    <xf numFmtId="0" fontId="114" fillId="0" borderId="0" xfId="30" applyFont="1"/>
    <xf numFmtId="0" fontId="115" fillId="0" borderId="0" xfId="30" applyFont="1"/>
    <xf numFmtId="0" fontId="55" fillId="0" borderId="2" xfId="16" applyFont="1" applyFill="1" applyBorder="1" applyAlignment="1">
      <alignment vertical="center" wrapText="1"/>
    </xf>
    <xf numFmtId="3" fontId="55" fillId="0" borderId="2" xfId="16" applyNumberFormat="1" applyFont="1" applyFill="1" applyBorder="1" applyAlignment="1">
      <alignment vertical="center" wrapText="1"/>
    </xf>
    <xf numFmtId="0" fontId="55" fillId="0" borderId="2" xfId="4" applyFont="1" applyFill="1" applyBorder="1" applyAlignment="1">
      <alignment vertical="center" wrapText="1" readingOrder="2"/>
    </xf>
    <xf numFmtId="3" fontId="55" fillId="0" borderId="0" xfId="4" applyNumberFormat="1" applyFont="1" applyFill="1" applyBorder="1" applyAlignment="1">
      <alignment horizontal="right" vertical="center" wrapText="1"/>
    </xf>
    <xf numFmtId="3" fontId="116" fillId="0" borderId="2" xfId="4" applyNumberFormat="1" applyFont="1" applyFill="1" applyBorder="1" applyAlignment="1">
      <alignment vertical="center" wrapText="1"/>
    </xf>
    <xf numFmtId="0" fontId="43" fillId="0" borderId="10" xfId="4" applyFont="1" applyBorder="1" applyAlignment="1">
      <alignment vertical="center" wrapText="1"/>
    </xf>
    <xf numFmtId="3" fontId="117" fillId="0" borderId="2" xfId="16" applyNumberFormat="1" applyFont="1" applyBorder="1" applyAlignment="1">
      <alignment vertical="center" wrapText="1"/>
    </xf>
    <xf numFmtId="3" fontId="55" fillId="0" borderId="0" xfId="16" applyNumberFormat="1" applyFont="1" applyAlignment="1">
      <alignment horizontal="right" vertical="center" wrapText="1"/>
    </xf>
    <xf numFmtId="0" fontId="54" fillId="0" borderId="0" xfId="16" applyFont="1"/>
    <xf numFmtId="3" fontId="118" fillId="0" borderId="2" xfId="16" applyNumberFormat="1" applyFont="1" applyBorder="1" applyAlignment="1">
      <alignment vertical="center" wrapText="1"/>
    </xf>
    <xf numFmtId="0" fontId="42" fillId="0" borderId="2" xfId="4" applyFont="1" applyBorder="1" applyAlignment="1">
      <alignment vertical="center"/>
    </xf>
    <xf numFmtId="3" fontId="42" fillId="0" borderId="0" xfId="4" applyNumberFormat="1" applyFont="1" applyBorder="1" applyAlignment="1">
      <alignment vertical="center" wrapText="1"/>
    </xf>
    <xf numFmtId="3" fontId="118" fillId="0" borderId="2" xfId="4" applyNumberFormat="1" applyFont="1" applyFill="1" applyBorder="1" applyAlignment="1">
      <alignment vertical="center" wrapText="1"/>
    </xf>
    <xf numFmtId="0" fontId="42" fillId="5" borderId="2" xfId="4" applyFont="1" applyFill="1" applyBorder="1" applyAlignment="1">
      <alignment vertical="center" wrapText="1"/>
    </xf>
    <xf numFmtId="3" fontId="99" fillId="0" borderId="2" xfId="4" applyNumberFormat="1" applyFont="1" applyFill="1" applyBorder="1" applyAlignment="1">
      <alignment vertical="center" wrapText="1"/>
    </xf>
    <xf numFmtId="0" fontId="88" fillId="0" borderId="0" xfId="0" applyFont="1" applyFill="1"/>
    <xf numFmtId="3" fontId="52" fillId="0" borderId="0" xfId="89" applyNumberFormat="1" applyFont="1" applyFill="1"/>
    <xf numFmtId="0" fontId="52" fillId="0" borderId="0" xfId="89" applyFont="1" applyFill="1"/>
    <xf numFmtId="0" fontId="95" fillId="0" borderId="0" xfId="16" applyFont="1" applyAlignment="1">
      <alignment wrapText="1"/>
    </xf>
    <xf numFmtId="0" fontId="55" fillId="0" borderId="2" xfId="0" applyFont="1" applyBorder="1" applyAlignment="1">
      <alignment horizontal="right" vertical="center" wrapText="1"/>
    </xf>
    <xf numFmtId="0" fontId="55" fillId="0" borderId="2" xfId="0" applyFont="1" applyBorder="1" applyAlignment="1">
      <alignment vertical="center" wrapText="1"/>
    </xf>
    <xf numFmtId="3" fontId="42" fillId="0" borderId="2" xfId="90" applyNumberFormat="1" applyFont="1" applyBorder="1" applyAlignment="1">
      <alignment vertical="center" wrapText="1"/>
    </xf>
    <xf numFmtId="0" fontId="42" fillId="0" borderId="2" xfId="90" applyFont="1" applyBorder="1" applyAlignment="1">
      <alignment vertical="center" wrapText="1"/>
    </xf>
    <xf numFmtId="3" fontId="42" fillId="0" borderId="2" xfId="90" applyNumberFormat="1" applyFont="1" applyFill="1" applyBorder="1" applyAlignment="1">
      <alignment vertical="center" wrapText="1"/>
    </xf>
    <xf numFmtId="0" fontId="42" fillId="0" borderId="0" xfId="90" applyFont="1" applyBorder="1" applyAlignment="1">
      <alignment vertical="center" wrapText="1"/>
    </xf>
    <xf numFmtId="0" fontId="88" fillId="0" borderId="0" xfId="16" applyFont="1" applyAlignment="1">
      <alignment vertical="center"/>
    </xf>
    <xf numFmtId="165" fontId="42" fillId="0" borderId="0" xfId="10" applyNumberFormat="1" applyFont="1" applyFill="1" applyAlignment="1">
      <alignment vertical="center" wrapText="1"/>
    </xf>
    <xf numFmtId="3" fontId="119" fillId="0" borderId="2" xfId="4" applyNumberFormat="1" applyFont="1" applyFill="1" applyBorder="1" applyAlignment="1">
      <alignment vertical="center" wrapText="1"/>
    </xf>
    <xf numFmtId="0" fontId="42" fillId="0" borderId="0" xfId="16" applyFont="1" applyFill="1" applyAlignment="1">
      <alignment vertical="center"/>
    </xf>
    <xf numFmtId="0" fontId="88" fillId="0" borderId="0" xfId="16" applyFont="1" applyFill="1" applyAlignment="1">
      <alignment wrapText="1"/>
    </xf>
    <xf numFmtId="0" fontId="88" fillId="0" borderId="0" xfId="16" applyFont="1" applyFill="1"/>
    <xf numFmtId="0" fontId="55" fillId="0" borderId="0" xfId="16" applyFont="1" applyFill="1" applyAlignment="1">
      <alignment vertical="center" wrapText="1"/>
    </xf>
    <xf numFmtId="0" fontId="55" fillId="0" borderId="0" xfId="16" applyFont="1" applyFill="1" applyAlignment="1">
      <alignment wrapText="1"/>
    </xf>
    <xf numFmtId="0" fontId="101" fillId="0" borderId="0" xfId="22" applyFont="1" applyAlignment="1">
      <alignment horizontal="right" vertical="center" readingOrder="2"/>
    </xf>
    <xf numFmtId="0" fontId="120" fillId="0" borderId="0" xfId="16" applyFont="1"/>
    <xf numFmtId="3" fontId="54" fillId="0" borderId="0" xfId="4" applyNumberFormat="1" applyFont="1" applyFill="1" applyAlignment="1">
      <alignment horizontal="right" wrapText="1"/>
    </xf>
    <xf numFmtId="0" fontId="54" fillId="0" borderId="0" xfId="4" applyFont="1" applyFill="1"/>
    <xf numFmtId="0" fontId="54" fillId="0" borderId="0" xfId="4" applyFont="1" applyFill="1" applyAlignment="1">
      <alignment wrapText="1"/>
    </xf>
    <xf numFmtId="0" fontId="55" fillId="0" borderId="2" xfId="4" quotePrefix="1" applyFont="1" applyFill="1" applyBorder="1" applyAlignment="1">
      <alignment vertical="center"/>
    </xf>
    <xf numFmtId="0" fontId="43" fillId="0" borderId="2" xfId="16" applyFont="1" applyBorder="1" applyAlignment="1"/>
    <xf numFmtId="0" fontId="42" fillId="0" borderId="2" xfId="16" applyFont="1" applyBorder="1" applyAlignment="1">
      <alignment horizontal="center"/>
    </xf>
    <xf numFmtId="0" fontId="42" fillId="0" borderId="2" xfId="16" applyFont="1" applyBorder="1" applyAlignment="1">
      <alignment horizontal="center" wrapText="1"/>
    </xf>
    <xf numFmtId="0" fontId="43" fillId="0" borderId="2" xfId="16" applyFont="1" applyBorder="1" applyAlignment="1">
      <alignment horizontal="center" vertical="center" wrapText="1"/>
    </xf>
    <xf numFmtId="0" fontId="42" fillId="0" borderId="2" xfId="16" applyFont="1" applyBorder="1" applyAlignment="1">
      <alignment horizontal="center" vertical="center" wrapText="1"/>
    </xf>
    <xf numFmtId="0" fontId="42" fillId="0" borderId="2" xfId="16" applyFont="1" applyBorder="1" applyAlignment="1">
      <alignment wrapText="1"/>
    </xf>
    <xf numFmtId="0" fontId="121" fillId="0" borderId="2" xfId="16" applyFont="1" applyFill="1" applyBorder="1" applyAlignment="1">
      <alignment horizontal="center" vertical="center"/>
    </xf>
    <xf numFmtId="0" fontId="120" fillId="0" borderId="2" xfId="16" applyFont="1" applyBorder="1" applyAlignment="1">
      <alignment vertical="center"/>
    </xf>
    <xf numFmtId="0" fontId="42" fillId="0" borderId="2" xfId="16" applyFont="1" applyBorder="1"/>
    <xf numFmtId="0" fontId="42" fillId="0" borderId="2" xfId="16" applyFont="1" applyBorder="1" applyAlignment="1"/>
    <xf numFmtId="3" fontId="42" fillId="0" borderId="2" xfId="16" applyNumberFormat="1" applyFont="1" applyBorder="1" applyAlignment="1">
      <alignment vertical="center"/>
    </xf>
    <xf numFmtId="0" fontId="42" fillId="0" borderId="2" xfId="16" applyFont="1" applyFill="1" applyBorder="1" applyAlignment="1">
      <alignment horizontal="right" vertical="center"/>
    </xf>
    <xf numFmtId="0" fontId="42" fillId="0" borderId="2" xfId="16" applyFont="1" applyFill="1" applyBorder="1" applyAlignment="1">
      <alignment horizontal="center" vertical="center" wrapText="1"/>
    </xf>
    <xf numFmtId="3" fontId="43" fillId="3" borderId="2" xfId="16" applyNumberFormat="1" applyFont="1" applyFill="1" applyBorder="1" applyAlignment="1">
      <alignment vertical="center"/>
    </xf>
    <xf numFmtId="3" fontId="94" fillId="0" borderId="2" xfId="16" applyNumberFormat="1" applyFont="1" applyBorder="1" applyAlignment="1">
      <alignment vertical="center"/>
    </xf>
    <xf numFmtId="0" fontId="121" fillId="0" borderId="2" xfId="16" applyFont="1" applyFill="1" applyBorder="1" applyAlignment="1">
      <alignment horizontal="center"/>
    </xf>
    <xf numFmtId="0" fontId="44" fillId="0" borderId="4" xfId="16" applyFont="1" applyBorder="1"/>
    <xf numFmtId="0" fontId="45" fillId="0" borderId="4" xfId="16" applyFont="1" applyBorder="1"/>
    <xf numFmtId="0" fontId="45" fillId="0" borderId="4" xfId="16" applyFont="1" applyFill="1" applyBorder="1" applyAlignment="1">
      <alignment horizontal="right" vertical="center"/>
    </xf>
    <xf numFmtId="0" fontId="45" fillId="0" borderId="4" xfId="16" applyFont="1" applyBorder="1" applyAlignment="1">
      <alignment vertical="center"/>
    </xf>
    <xf numFmtId="0" fontId="41" fillId="0" borderId="4" xfId="16" applyFont="1" applyBorder="1" applyAlignment="1">
      <alignment wrapText="1"/>
    </xf>
    <xf numFmtId="0" fontId="121" fillId="0" borderId="2" xfId="16" applyFont="1" applyBorder="1" applyAlignment="1">
      <alignment vertical="center"/>
    </xf>
    <xf numFmtId="0" fontId="43" fillId="0" borderId="2" xfId="101" applyFont="1" applyBorder="1" applyAlignment="1">
      <alignment vertical="center" wrapText="1"/>
    </xf>
    <xf numFmtId="0" fontId="1" fillId="0" borderId="0" xfId="17" applyFont="1"/>
    <xf numFmtId="0" fontId="81" fillId="0" borderId="0" xfId="22" applyFont="1" applyAlignment="1">
      <alignment horizontal="left" vertical="center" readingOrder="2"/>
    </xf>
    <xf numFmtId="0" fontId="44" fillId="0" borderId="2" xfId="16" applyFont="1" applyFill="1" applyBorder="1" applyAlignment="1">
      <alignment vertical="center"/>
    </xf>
    <xf numFmtId="0" fontId="44" fillId="0" borderId="4" xfId="16" applyFont="1" applyBorder="1" applyAlignment="1">
      <alignment vertical="center"/>
    </xf>
    <xf numFmtId="0" fontId="59" fillId="0" borderId="0" xfId="16" applyFont="1" applyAlignment="1">
      <alignment horizontal="center"/>
    </xf>
    <xf numFmtId="3" fontId="44" fillId="0" borderId="27" xfId="16" applyNumberFormat="1" applyFont="1" applyBorder="1" applyAlignment="1">
      <alignment horizontal="center"/>
    </xf>
    <xf numFmtId="3" fontId="44" fillId="0" borderId="29" xfId="16" applyNumberFormat="1" applyFont="1" applyBorder="1" applyAlignment="1">
      <alignment horizontal="center"/>
    </xf>
    <xf numFmtId="3" fontId="44" fillId="0" borderId="23" xfId="16" applyNumberFormat="1" applyFont="1" applyBorder="1" applyAlignment="1">
      <alignment horizontal="center"/>
    </xf>
    <xf numFmtId="0" fontId="45" fillId="0" borderId="2" xfId="4" applyFont="1" applyBorder="1" applyAlignment="1">
      <alignment horizontal="center" vertical="center"/>
    </xf>
    <xf numFmtId="0" fontId="45" fillId="0" borderId="10" xfId="4" applyFont="1" applyBorder="1" applyAlignment="1">
      <alignment horizontal="center" vertical="center"/>
    </xf>
    <xf numFmtId="3" fontId="61" fillId="0" borderId="4" xfId="22" applyNumberFormat="1" applyFont="1" applyBorder="1" applyAlignment="1">
      <alignment horizontal="center" vertical="center" readingOrder="2"/>
    </xf>
    <xf numFmtId="3" fontId="61" fillId="0" borderId="5" xfId="22" applyNumberFormat="1" applyFont="1" applyBorder="1" applyAlignment="1">
      <alignment horizontal="center" vertical="center" readingOrder="2"/>
    </xf>
    <xf numFmtId="3" fontId="61" fillId="0" borderId="6" xfId="22" applyNumberFormat="1" applyFont="1" applyBorder="1" applyAlignment="1">
      <alignment horizontal="center" vertical="center" readingOrder="2"/>
    </xf>
    <xf numFmtId="3" fontId="63" fillId="0" borderId="42" xfId="22" applyNumberFormat="1" applyFont="1" applyBorder="1" applyAlignment="1">
      <alignment horizontal="center" vertical="center" readingOrder="2"/>
    </xf>
    <xf numFmtId="3" fontId="63" fillId="0" borderId="38" xfId="22" applyNumberFormat="1" applyFont="1" applyBorder="1" applyAlignment="1">
      <alignment horizontal="center" vertical="center" readingOrder="2"/>
    </xf>
    <xf numFmtId="3" fontId="63" fillId="0" borderId="25" xfId="22" applyNumberFormat="1" applyFont="1" applyBorder="1" applyAlignment="1">
      <alignment horizontal="center" vertical="center" readingOrder="2"/>
    </xf>
    <xf numFmtId="0" fontId="63" fillId="0" borderId="27" xfId="22" applyFont="1" applyBorder="1" applyAlignment="1">
      <alignment vertical="center" readingOrder="2"/>
    </xf>
    <xf numFmtId="0" fontId="63" fillId="0" borderId="41" xfId="22" applyFont="1" applyBorder="1" applyAlignment="1">
      <alignment vertical="center" readingOrder="2"/>
    </xf>
    <xf numFmtId="0" fontId="75" fillId="0" borderId="28" xfId="22" applyFont="1" applyBorder="1" applyAlignment="1">
      <alignment vertical="center" readingOrder="2"/>
    </xf>
    <xf numFmtId="0" fontId="75" fillId="0" borderId="6" xfId="22" applyFont="1" applyBorder="1" applyAlignment="1">
      <alignment vertical="center" readingOrder="2"/>
    </xf>
    <xf numFmtId="0" fontId="75" fillId="0" borderId="45" xfId="22" applyFont="1" applyBorder="1" applyAlignment="1">
      <alignment vertical="center" readingOrder="2"/>
    </xf>
    <xf numFmtId="0" fontId="75" fillId="0" borderId="25" xfId="22" applyFont="1" applyBorder="1" applyAlignment="1">
      <alignment vertical="center" readingOrder="2"/>
    </xf>
    <xf numFmtId="0" fontId="63" fillId="0" borderId="40" xfId="22" applyFont="1" applyBorder="1" applyAlignment="1">
      <alignment horizontal="center" vertical="center" readingOrder="2"/>
    </xf>
    <xf numFmtId="0" fontId="63" fillId="0" borderId="29" xfId="22" applyFont="1" applyBorder="1" applyAlignment="1">
      <alignment horizontal="center" vertical="center" readingOrder="2"/>
    </xf>
    <xf numFmtId="0" fontId="63" fillId="0" borderId="41" xfId="22" applyFont="1" applyBorder="1" applyAlignment="1">
      <alignment horizontal="center" vertical="center" readingOrder="2"/>
    </xf>
    <xf numFmtId="0" fontId="86" fillId="0" borderId="2" xfId="4" quotePrefix="1" applyFont="1" applyFill="1" applyBorder="1" applyAlignment="1">
      <alignment horizontal="center" vertical="center"/>
    </xf>
    <xf numFmtId="0" fontId="86" fillId="0" borderId="2" xfId="4" quotePrefix="1" applyFont="1" applyBorder="1" applyAlignment="1">
      <alignment horizontal="center" vertical="center"/>
    </xf>
    <xf numFmtId="0" fontId="49" fillId="0" borderId="0" xfId="16" applyFont="1" applyFill="1" applyAlignment="1">
      <alignment horizontal="center"/>
    </xf>
    <xf numFmtId="0" fontId="49" fillId="0" borderId="0" xfId="16" applyFont="1" applyAlignment="1">
      <alignment horizontal="center"/>
    </xf>
    <xf numFmtId="0" fontId="45" fillId="0" borderId="2" xfId="4" applyFont="1" applyFill="1" applyBorder="1" applyAlignment="1">
      <alignment horizontal="center" vertical="center"/>
    </xf>
    <xf numFmtId="0" fontId="45" fillId="0" borderId="4" xfId="4" quotePrefix="1" applyFont="1" applyFill="1" applyBorder="1" applyAlignment="1">
      <alignment horizontal="center" vertical="center"/>
    </xf>
    <xf numFmtId="0" fontId="45" fillId="0" borderId="5" xfId="4" quotePrefix="1" applyFont="1" applyFill="1" applyBorder="1" applyAlignment="1">
      <alignment horizontal="center" vertical="center"/>
    </xf>
    <xf numFmtId="0" fontId="45" fillId="0" borderId="6" xfId="4" quotePrefix="1" applyFont="1" applyFill="1" applyBorder="1" applyAlignment="1">
      <alignment horizontal="center" vertical="center"/>
    </xf>
    <xf numFmtId="0" fontId="45" fillId="0" borderId="4" xfId="4" quotePrefix="1" applyFont="1" applyBorder="1" applyAlignment="1">
      <alignment horizontal="center" vertical="center" wrapText="1"/>
    </xf>
    <xf numFmtId="0" fontId="45" fillId="0" borderId="5" xfId="4" quotePrefix="1" applyFont="1" applyBorder="1" applyAlignment="1">
      <alignment horizontal="center" vertical="center" wrapText="1"/>
    </xf>
    <xf numFmtId="0" fontId="45" fillId="0" borderId="6" xfId="4" quotePrefix="1" applyFont="1" applyBorder="1" applyAlignment="1">
      <alignment horizontal="center" vertical="center" wrapText="1"/>
    </xf>
    <xf numFmtId="0" fontId="45" fillId="0" borderId="4" xfId="4" applyFont="1" applyFill="1" applyBorder="1" applyAlignment="1">
      <alignment horizontal="center" vertical="center"/>
    </xf>
    <xf numFmtId="0" fontId="45" fillId="0" borderId="5" xfId="4" applyFont="1" applyFill="1" applyBorder="1" applyAlignment="1">
      <alignment horizontal="center" vertical="center"/>
    </xf>
    <xf numFmtId="0" fontId="45" fillId="0" borderId="6" xfId="4" applyFont="1" applyFill="1" applyBorder="1" applyAlignment="1">
      <alignment horizontal="center" vertical="center"/>
    </xf>
    <xf numFmtId="0" fontId="42" fillId="0" borderId="4" xfId="4" quotePrefix="1" applyFont="1" applyFill="1" applyBorder="1" applyAlignment="1">
      <alignment horizontal="center" vertical="center"/>
    </xf>
    <xf numFmtId="0" fontId="42" fillId="0" borderId="5" xfId="4" quotePrefix="1" applyFont="1" applyFill="1" applyBorder="1" applyAlignment="1">
      <alignment horizontal="center" vertical="center"/>
    </xf>
    <xf numFmtId="0" fontId="42" fillId="0" borderId="6" xfId="4" quotePrefix="1" applyFont="1" applyFill="1" applyBorder="1" applyAlignment="1">
      <alignment horizontal="center" vertical="center"/>
    </xf>
    <xf numFmtId="0" fontId="42" fillId="0" borderId="2" xfId="4" quotePrefix="1" applyFont="1" applyFill="1" applyBorder="1" applyAlignment="1">
      <alignment horizontal="center" vertical="center"/>
    </xf>
    <xf numFmtId="0" fontId="42" fillId="0" borderId="2" xfId="4" quotePrefix="1" applyFont="1" applyFill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/>
    </xf>
    <xf numFmtId="0" fontId="42" fillId="0" borderId="6" xfId="4" applyFont="1" applyFill="1" applyBorder="1" applyAlignment="1">
      <alignment horizontal="center" vertical="center"/>
    </xf>
    <xf numFmtId="0" fontId="42" fillId="0" borderId="4" xfId="4" quotePrefix="1" applyFont="1" applyBorder="1" applyAlignment="1">
      <alignment horizontal="center" vertical="center" wrapText="1"/>
    </xf>
    <xf numFmtId="0" fontId="42" fillId="0" borderId="5" xfId="4" quotePrefix="1" applyFont="1" applyBorder="1" applyAlignment="1">
      <alignment horizontal="center" vertical="center" wrapText="1"/>
    </xf>
    <xf numFmtId="0" fontId="42" fillId="0" borderId="6" xfId="4" quotePrefix="1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/>
    </xf>
    <xf numFmtId="0" fontId="55" fillId="0" borderId="2" xfId="4" quotePrefix="1" applyFont="1" applyFill="1" applyBorder="1" applyAlignment="1">
      <alignment horizontal="center" vertical="center"/>
    </xf>
    <xf numFmtId="0" fontId="55" fillId="0" borderId="4" xfId="4" quotePrefix="1" applyFont="1" applyBorder="1" applyAlignment="1">
      <alignment horizontal="center" vertical="center" wrapText="1"/>
    </xf>
    <xf numFmtId="0" fontId="55" fillId="0" borderId="5" xfId="4" quotePrefix="1" applyFont="1" applyBorder="1" applyAlignment="1">
      <alignment horizontal="center" vertical="center" wrapText="1"/>
    </xf>
    <xf numFmtId="0" fontId="55" fillId="0" borderId="6" xfId="4" quotePrefix="1" applyFont="1" applyBorder="1" applyAlignment="1">
      <alignment horizontal="center" vertical="center" wrapText="1"/>
    </xf>
    <xf numFmtId="0" fontId="55" fillId="0" borderId="2" xfId="4" applyFont="1" applyBorder="1" applyAlignment="1">
      <alignment horizontal="center" vertical="center"/>
    </xf>
    <xf numFmtId="0" fontId="55" fillId="0" borderId="4" xfId="4" quotePrefix="1" applyFont="1" applyFill="1" applyBorder="1" applyAlignment="1">
      <alignment horizontal="center" vertical="center"/>
    </xf>
    <xf numFmtId="0" fontId="55" fillId="0" borderId="5" xfId="4" quotePrefix="1" applyFont="1" applyFill="1" applyBorder="1" applyAlignment="1">
      <alignment horizontal="center" vertical="center"/>
    </xf>
    <xf numFmtId="0" fontId="55" fillId="0" borderId="6" xfId="4" quotePrefix="1" applyFont="1" applyFill="1" applyBorder="1" applyAlignment="1">
      <alignment horizontal="center" vertical="center"/>
    </xf>
    <xf numFmtId="0" fontId="42" fillId="0" borderId="4" xfId="4" quotePrefix="1" applyFont="1" applyBorder="1" applyAlignment="1">
      <alignment horizontal="center" vertical="center"/>
    </xf>
    <xf numFmtId="0" fontId="42" fillId="0" borderId="5" xfId="4" quotePrefix="1" applyFont="1" applyBorder="1" applyAlignment="1">
      <alignment horizontal="center" vertical="center"/>
    </xf>
    <xf numFmtId="0" fontId="42" fillId="0" borderId="6" xfId="4" quotePrefix="1" applyFont="1" applyBorder="1" applyAlignment="1">
      <alignment horizontal="center" vertical="center"/>
    </xf>
    <xf numFmtId="0" fontId="42" fillId="0" borderId="2" xfId="16" applyFont="1" applyBorder="1" applyAlignment="1">
      <alignment horizontal="center"/>
    </xf>
    <xf numFmtId="0" fontId="48" fillId="0" borderId="0" xfId="16" applyFont="1" applyFill="1" applyAlignment="1">
      <alignment horizontal="right"/>
    </xf>
    <xf numFmtId="0" fontId="42" fillId="0" borderId="4" xfId="16" applyFont="1" applyBorder="1" applyAlignment="1">
      <alignment horizontal="center"/>
    </xf>
    <xf numFmtId="0" fontId="42" fillId="0" borderId="5" xfId="16" applyFont="1" applyBorder="1" applyAlignment="1">
      <alignment horizontal="center"/>
    </xf>
    <xf numFmtId="0" fontId="42" fillId="0" borderId="6" xfId="16" applyFont="1" applyBorder="1" applyAlignment="1">
      <alignment horizontal="center"/>
    </xf>
    <xf numFmtId="0" fontId="54" fillId="0" borderId="10" xfId="16" applyNumberFormat="1" applyFont="1" applyFill="1" applyBorder="1" applyAlignment="1">
      <alignment horizontal="right" vertical="center"/>
    </xf>
    <xf numFmtId="0" fontId="54" fillId="0" borderId="3" xfId="16" applyNumberFormat="1" applyFont="1" applyFill="1" applyBorder="1" applyAlignment="1">
      <alignment horizontal="right" vertical="center"/>
    </xf>
    <xf numFmtId="3" fontId="48" fillId="0" borderId="0" xfId="16" applyNumberFormat="1" applyFont="1" applyFill="1" applyAlignment="1">
      <alignment horizontal="center"/>
    </xf>
    <xf numFmtId="0" fontId="43" fillId="0" borderId="10" xfId="16" applyFont="1" applyBorder="1" applyAlignment="1">
      <alignment horizontal="right" vertical="center" wrapText="1"/>
    </xf>
    <xf numFmtId="0" fontId="43" fillId="0" borderId="3" xfId="16" applyFont="1" applyBorder="1" applyAlignment="1">
      <alignment horizontal="right" vertical="center" wrapText="1"/>
    </xf>
    <xf numFmtId="3" fontId="54" fillId="0" borderId="10" xfId="16" applyNumberFormat="1" applyFont="1" applyFill="1" applyBorder="1" applyAlignment="1">
      <alignment horizontal="right" vertical="center"/>
    </xf>
    <xf numFmtId="3" fontId="54" fillId="0" borderId="3" xfId="16" applyNumberFormat="1" applyFont="1" applyFill="1" applyBorder="1" applyAlignment="1">
      <alignment horizontal="right" vertical="center"/>
    </xf>
  </cellXfs>
  <cellStyles count="102">
    <cellStyle name="Comma" xfId="12" builtinId="3"/>
    <cellStyle name="Comma 2" xfId="10"/>
    <cellStyle name="Comma 3" xfId="14"/>
    <cellStyle name="Comma 3 2" xfId="18"/>
    <cellStyle name="Comma 3 3" xfId="21"/>
    <cellStyle name="Comma 3 4" xfId="23"/>
    <cellStyle name="Comma 4" xfId="36"/>
    <cellStyle name="Comma 5" xfId="49"/>
    <cellStyle name="Comma 5 2" xfId="76"/>
    <cellStyle name="Comma 5 2 2" xfId="84"/>
    <cellStyle name="Normal" xfId="0" builtinId="0"/>
    <cellStyle name="Normal 10" xfId="64"/>
    <cellStyle name="Normal 11" xfId="72"/>
    <cellStyle name="Normal 2" xfId="1"/>
    <cellStyle name="Normal 2 2" xfId="5"/>
    <cellStyle name="Normal 2 2 2" xfId="19"/>
    <cellStyle name="Normal 2 3" xfId="16"/>
    <cellStyle name="Normal 2_ריכוז אגפים" xfId="6"/>
    <cellStyle name="Normal 3" xfId="2"/>
    <cellStyle name="Normal 4" xfId="4"/>
    <cellStyle name="Normal 5" xfId="11"/>
    <cellStyle name="Normal 5 2" xfId="15"/>
    <cellStyle name="Normal 5 2 2" xfId="28"/>
    <cellStyle name="Normal 5 3" xfId="26"/>
    <cellStyle name="Normal 5 3 2" xfId="31"/>
    <cellStyle name="Normal 5 3 2 2" xfId="33"/>
    <cellStyle name="Normal 5 3 3" xfId="32"/>
    <cellStyle name="Normal 5 3 4" xfId="34"/>
    <cellStyle name="Normal 5 3 4 2" xfId="38"/>
    <cellStyle name="Normal 5 3 4 3" xfId="43"/>
    <cellStyle name="Normal 5 3 4 3 2" xfId="52"/>
    <cellStyle name="Normal 5 3 4 3 2 2" xfId="68"/>
    <cellStyle name="Normal 5 3 4 3 2 2 2" xfId="92"/>
    <cellStyle name="Normal 5 3 4 3 2 2 3" xfId="94"/>
    <cellStyle name="Normal 5 3 4 3 2 3" xfId="78"/>
    <cellStyle name="Normal 5 3 4 3 3" xfId="59"/>
    <cellStyle name="Normal 5 3 4 4" xfId="45"/>
    <cellStyle name="Normal 5 3 4 5" xfId="47"/>
    <cellStyle name="Normal 5 3 5" xfId="35"/>
    <cellStyle name="Normal 5 3 5 2" xfId="37"/>
    <cellStyle name="Normal 5 3 5 3" xfId="39"/>
    <cellStyle name="Normal 5 3 5 3 2" xfId="56"/>
    <cellStyle name="Normal 5 3 5 3 2 2" xfId="71"/>
    <cellStyle name="Normal 5 3 5 3 2 2 2" xfId="89"/>
    <cellStyle name="Normal 5 3 5 3 2 2 3" xfId="97"/>
    <cellStyle name="Normal 5 3 5 3 2 3" xfId="81"/>
    <cellStyle name="Normal 5 3 5 3 3" xfId="62"/>
    <cellStyle name="Normal 5 3 5 4" xfId="40"/>
    <cellStyle name="Normal 5 3 5 4 2" xfId="51"/>
    <cellStyle name="Normal 5 3 5 4 3" xfId="53"/>
    <cellStyle name="Normal 5 3 5 4 3 2" xfId="69"/>
    <cellStyle name="Normal 5 3 5 4 3 2 2" xfId="90"/>
    <cellStyle name="Normal 5 3 5 4 3 2 2 2" xfId="100"/>
    <cellStyle name="Normal 5 3 5 4 3 2 2 3" xfId="101"/>
    <cellStyle name="Normal 5 3 5 4 3 2 3" xfId="98"/>
    <cellStyle name="Normal 5 3 5 4 3 3" xfId="73"/>
    <cellStyle name="Normal 5 3 5 4 3 3 2" xfId="86"/>
    <cellStyle name="Normal 5 3 5 4 3 3 3" xfId="95"/>
    <cellStyle name="Normal 5 3 5 4 3 4" xfId="79"/>
    <cellStyle name="Normal 5 3 5 4 4" xfId="60"/>
    <cellStyle name="Normal 5 3 5 4 5" xfId="66"/>
    <cellStyle name="Normal 5 3 5 5" xfId="41"/>
    <cellStyle name="Normal 5 3 5 5 2" xfId="57"/>
    <cellStyle name="Normal 5 3 5 5 2 2" xfId="82"/>
    <cellStyle name="Normal 5 3 5 5 2 3" xfId="91"/>
    <cellStyle name="Normal 5 3 5 5 2 4" xfId="99"/>
    <cellStyle name="Normal 5 3 5 5 3" xfId="63"/>
    <cellStyle name="Normal 5 3 5 6" xfId="42"/>
    <cellStyle name="Normal 5 3 5 6 2" xfId="54"/>
    <cellStyle name="Normal 5 3 5 6 2 2" xfId="70"/>
    <cellStyle name="Normal 5 3 5 6 2 2 2" xfId="87"/>
    <cellStyle name="Normal 5 3 5 6 2 2 3" xfId="96"/>
    <cellStyle name="Normal 5 3 5 6 2 3" xfId="80"/>
    <cellStyle name="Normal 5 3 5 6 3" xfId="61"/>
    <cellStyle name="Normal 5 4" xfId="29"/>
    <cellStyle name="Normal 6" xfId="13"/>
    <cellStyle name="Normal 6 2" xfId="17"/>
    <cellStyle name="Normal 6 3" xfId="20"/>
    <cellStyle name="Normal 6 4" xfId="22"/>
    <cellStyle name="Normal 6 4 2" xfId="30"/>
    <cellStyle name="Normal 7" xfId="24"/>
    <cellStyle name="Normal 8" xfId="44"/>
    <cellStyle name="Normal 8 2" xfId="46"/>
    <cellStyle name="Normal 8 2 2" xfId="58"/>
    <cellStyle name="Normal 8 2 2 3" xfId="50"/>
    <cellStyle name="Normal 8 2 2 3 2" xfId="65"/>
    <cellStyle name="Normal 8 2 2 3 2 2" xfId="85"/>
    <cellStyle name="Normal 8 2 2 3 2 3" xfId="93"/>
    <cellStyle name="Normal 8 2 2 3 3" xfId="77"/>
    <cellStyle name="Normal 9" xfId="48"/>
    <cellStyle name="Normal 9 2" xfId="75"/>
    <cellStyle name="Normal 9 2 2" xfId="83"/>
    <cellStyle name="Percent 2" xfId="9"/>
    <cellStyle name="Percent 3" xfId="25"/>
    <cellStyle name="Percent 4" xfId="27"/>
    <cellStyle name="Percent 5" xfId="55"/>
    <cellStyle name="Percent 6" xfId="67"/>
    <cellStyle name="Percent 7" xfId="74"/>
    <cellStyle name="Percent 8" xfId="88"/>
    <cellStyle name="הערה 2" xfId="3"/>
    <cellStyle name="הערה 2 2" xfId="7"/>
    <cellStyle name="הערה 2_ריכוז אגפים" xfId="8"/>
  </cellStyles>
  <dxfs count="46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5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1">
              <a:defRPr sz="132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kumimoji="0" lang="he-IL" sz="16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David"/>
              <a:cs typeface="David"/>
            </a:endParaRPr>
          </a:p>
          <a:p>
            <a:pPr algn="ctr" rtl="1">
              <a:defRPr sz="132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חלוקת ההשקעה בתקציב  לפי אגפים</a:t>
            </a:r>
            <a:endParaRPr kumimoji="0" lang="he-IL" sz="1320" b="0" i="0" u="sng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David"/>
              <a:cs typeface="David"/>
            </a:endParaRPr>
          </a:p>
          <a:p>
            <a:pPr algn="ctr" rtl="1">
              <a:defRPr sz="132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kumimoji="0" lang="he-IL" sz="14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ea typeface="David"/>
                <a:cs typeface="David"/>
              </a:rPr>
              <a:t>באלפי ₪</a:t>
            </a: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ea typeface="David"/>
                <a:cs typeface="David"/>
              </a:rPr>
              <a:t> </a:t>
            </a:r>
          </a:p>
        </cx:rich>
      </cx:tx>
    </cx:title>
    <cx:plotArea>
      <cx:plotAreaRegion>
        <cx:series layoutId="sunburst" uniqueId="{73292393-C808-4341-BF4A-25998629D0B1}"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1">
              <a:defRPr sz="110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kumimoji="0" lang="he-IL" sz="140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David"/>
              <a:cs typeface="David"/>
            </a:endParaRPr>
          </a:p>
          <a:p>
            <a:pPr algn="ctr" rtl="1">
              <a:defRPr sz="110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חלוקת ההשקעה בתקציב לפי פרקים</a:t>
            </a:r>
            <a:r>
              <a:rPr kumimoji="0" lang="en-US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/>
            </a:r>
            <a:br>
              <a:rPr kumimoji="0" lang="en-US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</a:br>
            <a:r>
              <a:rPr kumimoji="0" lang="he-IL" sz="14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באלפי ₪</a:t>
            </a: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  </a:t>
            </a:r>
          </a:p>
        </cx:rich>
      </cx:tx>
    </cx:title>
    <cx:plotArea>
      <cx:plotAreaRegion>
        <cx:series layoutId="sunburst" uniqueId="{12CDAEE9-78C2-4B8A-8E23-70C6B6751AC6}"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algn="ctr" rtl="1">
              <a:defRPr sz="1100" b="0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התקציב לפי מקורות מימון</a:t>
            </a:r>
            <a:r>
              <a:rPr kumimoji="0" lang="en-US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/>
            </a:r>
            <a:br>
              <a:rPr kumimoji="0" lang="en-US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</a:br>
            <a:r>
              <a:rPr kumimoji="0" lang="he-IL" sz="14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באלפי ₪</a:t>
            </a:r>
            <a:r>
              <a:rPr kumimoji="0" lang="he-IL" sz="1800" b="1" i="0" u="sng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David"/>
                <a:cs typeface="David"/>
              </a:rPr>
              <a:t> </a:t>
            </a:r>
          </a:p>
        </cx:rich>
      </cx:tx>
    </cx:title>
    <cx:plotArea>
      <cx:plotAreaRegion>
        <cx:series layoutId="sunburst" uniqueId="{D7E84A5A-E96D-45B6-9910-25C250F90FEC}">
          <cx:dataLabels>
            <cx:txPr>
              <a:bodyPr spcFirstLastPara="1" vertOverflow="ellipsis" wrap="square" lIns="0" tIns="0" rIns="0" bIns="0" anchor="ctr" anchorCtr="1"/>
              <a:lstStyle/>
              <a:p>
                <a:pPr>
                  <a:defRPr/>
                </a:pPr>
                <a:endParaRPr lang="he-IL"/>
              </a:p>
            </cx:txPr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30480</xdr:rowOff>
    </xdr:from>
    <xdr:to>
      <xdr:col>15</xdr:col>
      <xdr:colOff>594360</xdr:colOff>
      <xdr:row>40</xdr:row>
      <xdr:rowOff>30480</xdr:rowOff>
    </xdr:to>
    <xdr:pic>
      <xdr:nvPicPr>
        <xdr:cNvPr id="6" name="תמונה 5" descr="שער תקציב בלתי רגיל לשנת 2024, עיריית הרצליה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948040" y="30480"/>
          <a:ext cx="9738359" cy="6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</xdr:colOff>
      <xdr:row>0</xdr:row>
      <xdr:rowOff>165562</xdr:rowOff>
    </xdr:from>
    <xdr:to>
      <xdr:col>21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rot="16200000">
          <a:off x="9980114891" y="-142009"/>
          <a:ext cx="604058" cy="121920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  <xdr:twoCellAnchor>
    <xdr:from>
      <xdr:col>6</xdr:col>
      <xdr:colOff>6922</xdr:colOff>
      <xdr:row>0</xdr:row>
      <xdr:rowOff>145472</xdr:rowOff>
    </xdr:from>
    <xdr:to>
      <xdr:col>14</xdr:col>
      <xdr:colOff>706581</xdr:colOff>
      <xdr:row>3</xdr:row>
      <xdr:rowOff>1385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 rot="16200000">
          <a:off x="9982036863" y="-855172"/>
          <a:ext cx="625533" cy="2626821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21</xdr:col>
      <xdr:colOff>7620</xdr:colOff>
      <xdr:row>0</xdr:row>
      <xdr:rowOff>150322</xdr:rowOff>
    </xdr:from>
    <xdr:to>
      <xdr:col>26</xdr:col>
      <xdr:colOff>480060</xdr:colOff>
      <xdr:row>2</xdr:row>
      <xdr:rowOff>297180</xdr:rowOff>
    </xdr:to>
    <xdr:sp macro="" textlink="">
      <xdr:nvSpPr>
        <xdr:cNvPr id="5" name="סוגר מסולסל ימני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 rot="16200000">
          <a:off x="9978571841" y="-473479"/>
          <a:ext cx="604058" cy="18516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מקורות מימון לתקציב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</xdr:colOff>
      <xdr:row>0</xdr:row>
      <xdr:rowOff>165562</xdr:rowOff>
    </xdr:from>
    <xdr:to>
      <xdr:col>21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rot="16200000">
          <a:off x="9980694011" y="-142009"/>
          <a:ext cx="604058" cy="121920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  <xdr:twoCellAnchor>
    <xdr:from>
      <xdr:col>6</xdr:col>
      <xdr:colOff>6922</xdr:colOff>
      <xdr:row>0</xdr:row>
      <xdr:rowOff>145472</xdr:rowOff>
    </xdr:from>
    <xdr:to>
      <xdr:col>14</xdr:col>
      <xdr:colOff>706581</xdr:colOff>
      <xdr:row>3</xdr:row>
      <xdr:rowOff>1385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rot="16200000">
          <a:off x="9982642653" y="-881842"/>
          <a:ext cx="625533" cy="2680161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</xdr:colOff>
      <xdr:row>26</xdr:row>
      <xdr:rowOff>68580</xdr:rowOff>
    </xdr:from>
    <xdr:to>
      <xdr:col>4</xdr:col>
      <xdr:colOff>1432560</xdr:colOff>
      <xdr:row>36</xdr:row>
      <xdr:rowOff>15240</xdr:rowOff>
    </xdr:to>
    <xdr:pic>
      <xdr:nvPicPr>
        <xdr:cNvPr id="3" name="תמונה 2" descr="תמונה פרויקט שטח ציבורי פתוח העצמאות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5244960" y="5029200"/>
          <a:ext cx="38862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24</xdr:row>
      <xdr:rowOff>22860</xdr:rowOff>
    </xdr:from>
    <xdr:to>
      <xdr:col>4</xdr:col>
      <xdr:colOff>1996440</xdr:colOff>
      <xdr:row>36</xdr:row>
      <xdr:rowOff>137160</xdr:rowOff>
    </xdr:to>
    <xdr:pic>
      <xdr:nvPicPr>
        <xdr:cNvPr id="5" name="תמונה 4" descr="תמונה פרויקט קריית חינוך שמעון פרס (גליל ים ב' מגרש 406)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627740" y="4960620"/>
          <a:ext cx="4884420" cy="2217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106680</xdr:rowOff>
    </xdr:from>
    <xdr:to>
      <xdr:col>15</xdr:col>
      <xdr:colOff>0</xdr:colOff>
      <xdr:row>2</xdr:row>
      <xdr:rowOff>213360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 rot="16200000">
          <a:off x="10233210420" y="-1104900"/>
          <a:ext cx="563880" cy="298704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14</xdr:col>
      <xdr:colOff>784860</xdr:colOff>
      <xdr:row>0</xdr:row>
      <xdr:rowOff>53340</xdr:rowOff>
    </xdr:from>
    <xdr:to>
      <xdr:col>21</xdr:col>
      <xdr:colOff>0</xdr:colOff>
      <xdr:row>3</xdr:row>
      <xdr:rowOff>15240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rot="16200000">
          <a:off x="10230973950" y="-331470"/>
          <a:ext cx="647700" cy="141732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  <xdr:twoCellAnchor>
    <xdr:from>
      <xdr:col>21</xdr:col>
      <xdr:colOff>0</xdr:colOff>
      <xdr:row>0</xdr:row>
      <xdr:rowOff>106680</xdr:rowOff>
    </xdr:from>
    <xdr:to>
      <xdr:col>26</xdr:col>
      <xdr:colOff>617220</xdr:colOff>
      <xdr:row>2</xdr:row>
      <xdr:rowOff>213360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 rot="16200000">
          <a:off x="10228924170" y="-994410"/>
          <a:ext cx="563880" cy="27660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מקורות מימון לתקציב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76200</xdr:rowOff>
    </xdr:from>
    <xdr:to>
      <xdr:col>14</xdr:col>
      <xdr:colOff>792480</xdr:colOff>
      <xdr:row>3</xdr:row>
      <xdr:rowOff>7620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 rot="16200000">
          <a:off x="10231899780" y="-1310640"/>
          <a:ext cx="563880" cy="33375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14</xdr:col>
      <xdr:colOff>777240</xdr:colOff>
      <xdr:row>0</xdr:row>
      <xdr:rowOff>0</xdr:rowOff>
    </xdr:from>
    <xdr:to>
      <xdr:col>20</xdr:col>
      <xdr:colOff>693420</xdr:colOff>
      <xdr:row>2</xdr:row>
      <xdr:rowOff>146858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rot="16200000">
          <a:off x="10229502251" y="-421871"/>
          <a:ext cx="604058" cy="144780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2023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76200</xdr:rowOff>
    </xdr:from>
    <xdr:to>
      <xdr:col>14</xdr:col>
      <xdr:colOff>792480</xdr:colOff>
      <xdr:row>3</xdr:row>
      <xdr:rowOff>7620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 rot="16200000">
          <a:off x="10232577960" y="-1257300"/>
          <a:ext cx="563880" cy="323088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14</xdr:col>
      <xdr:colOff>777240</xdr:colOff>
      <xdr:row>0</xdr:row>
      <xdr:rowOff>0</xdr:rowOff>
    </xdr:from>
    <xdr:to>
      <xdr:col>20</xdr:col>
      <xdr:colOff>693420</xdr:colOff>
      <xdr:row>2</xdr:row>
      <xdr:rowOff>146858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 rot="16200000">
          <a:off x="10230233771" y="-421871"/>
          <a:ext cx="604058" cy="144780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2023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769620</xdr:colOff>
      <xdr:row>0</xdr:row>
      <xdr:rowOff>99060</xdr:rowOff>
    </xdr:from>
    <xdr:to>
      <xdr:col>14</xdr:col>
      <xdr:colOff>769620</xdr:colOff>
      <xdr:row>2</xdr:row>
      <xdr:rowOff>205740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 rot="16200000">
          <a:off x="10235054460" y="-1112520"/>
          <a:ext cx="563880" cy="298704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76200</xdr:rowOff>
    </xdr:from>
    <xdr:to>
      <xdr:col>21</xdr:col>
      <xdr:colOff>7620</xdr:colOff>
      <xdr:row>3</xdr:row>
      <xdr:rowOff>7620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 rot="16200000">
          <a:off x="10232802750" y="-323850"/>
          <a:ext cx="617220" cy="141732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  <xdr:twoCellAnchor>
    <xdr:from>
      <xdr:col>21</xdr:col>
      <xdr:colOff>0</xdr:colOff>
      <xdr:row>0</xdr:row>
      <xdr:rowOff>68580</xdr:rowOff>
    </xdr:from>
    <xdr:to>
      <xdr:col>26</xdr:col>
      <xdr:colOff>609600</xdr:colOff>
      <xdr:row>2</xdr:row>
      <xdr:rowOff>205740</xdr:rowOff>
    </xdr:to>
    <xdr:sp macro="" textlink="">
      <xdr:nvSpPr>
        <xdr:cNvPr id="5" name="סוגר מסולסל ימני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 rot="16200000">
          <a:off x="10230733920" y="-1013460"/>
          <a:ext cx="594360" cy="275844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מקורות מימון לתקציב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807720</xdr:colOff>
      <xdr:row>0</xdr:row>
      <xdr:rowOff>45720</xdr:rowOff>
    </xdr:from>
    <xdr:to>
      <xdr:col>14</xdr:col>
      <xdr:colOff>876300</xdr:colOff>
      <xdr:row>2</xdr:row>
      <xdr:rowOff>152400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 rot="16200000">
          <a:off x="10235763120" y="-1165860"/>
          <a:ext cx="563880" cy="298704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7620</xdr:rowOff>
    </xdr:from>
    <xdr:to>
      <xdr:col>21</xdr:col>
      <xdr:colOff>7620</xdr:colOff>
      <xdr:row>2</xdr:row>
      <xdr:rowOff>167640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 rot="16200000">
          <a:off x="10233534270" y="-392430"/>
          <a:ext cx="617220" cy="141732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</xdr:colOff>
      <xdr:row>19</xdr:row>
      <xdr:rowOff>45720</xdr:rowOff>
    </xdr:from>
    <xdr:to>
      <xdr:col>5</xdr:col>
      <xdr:colOff>0</xdr:colOff>
      <xdr:row>34</xdr:row>
      <xdr:rowOff>152400</xdr:rowOff>
    </xdr:to>
    <xdr:pic>
      <xdr:nvPicPr>
        <xdr:cNvPr id="2" name="תמונה 1" descr="תמונה פרויקט מעון יום נווה ישראל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543920" y="4427220"/>
          <a:ext cx="4777740" cy="280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90500" y="190500"/>
    <xdr:ext cx="9201150" cy="5619750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תרשים 1" descr="תרשים חלוקת ההשקעה בתקציב לפי אגפים">
              <a:extLst>
                <a:ext uri="{FF2B5EF4-FFF2-40B4-BE49-F238E27FC236}">
                  <a16:creationId xmlns:a16="http://schemas.microsoft.com/office/drawing/2014/main" id="{00000000-0008-0000-0A00-000002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תרשים זה אינו זמין בגירסת Excel שברשותך.
עריכת צורה זו או שמירת חוברת עבודה זו בתבנית קובץ אחרת תנתק את התרשים לצמיתות.</a:t>
              </a:r>
            </a:p>
          </xdr:txBody>
        </xdr:sp>
      </mc:Fallback>
    </mc:AlternateContent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658088</xdr:colOff>
      <xdr:row>0</xdr:row>
      <xdr:rowOff>0</xdr:rowOff>
    </xdr:from>
    <xdr:to>
      <xdr:col>14</xdr:col>
      <xdr:colOff>734292</xdr:colOff>
      <xdr:row>2</xdr:row>
      <xdr:rowOff>235526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 rot="16200000">
          <a:off x="9974137001" y="-999953"/>
          <a:ext cx="639386" cy="263929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13854</xdr:colOff>
      <xdr:row>0</xdr:row>
      <xdr:rowOff>0</xdr:rowOff>
    </xdr:from>
    <xdr:to>
      <xdr:col>20</xdr:col>
      <xdr:colOff>670560</xdr:colOff>
      <xdr:row>2</xdr:row>
      <xdr:rowOff>242454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 rot="16200000">
          <a:off x="9972162036" y="-317616"/>
          <a:ext cx="646314" cy="1281546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21</xdr:col>
      <xdr:colOff>15240</xdr:colOff>
      <xdr:row>0</xdr:row>
      <xdr:rowOff>0</xdr:rowOff>
    </xdr:from>
    <xdr:to>
      <xdr:col>27</xdr:col>
      <xdr:colOff>0</xdr:colOff>
      <xdr:row>2</xdr:row>
      <xdr:rowOff>243840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 rot="16200000">
          <a:off x="9983796390" y="-1047750"/>
          <a:ext cx="647700" cy="27432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22857</xdr:colOff>
      <xdr:row>0</xdr:row>
      <xdr:rowOff>0</xdr:rowOff>
    </xdr:from>
    <xdr:to>
      <xdr:col>19</xdr:col>
      <xdr:colOff>22860</xdr:colOff>
      <xdr:row>2</xdr:row>
      <xdr:rowOff>213356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 rot="16200000">
          <a:off x="9984741274" y="-1070614"/>
          <a:ext cx="617216" cy="2758443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30480</xdr:colOff>
      <xdr:row>0</xdr:row>
      <xdr:rowOff>0</xdr:rowOff>
    </xdr:from>
    <xdr:to>
      <xdr:col>20</xdr:col>
      <xdr:colOff>838200</xdr:colOff>
      <xdr:row>2</xdr:row>
      <xdr:rowOff>228600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 rot="16200000">
          <a:off x="9982695300" y="-335280"/>
          <a:ext cx="632460" cy="13030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22857</xdr:colOff>
      <xdr:row>0</xdr:row>
      <xdr:rowOff>0</xdr:rowOff>
    </xdr:from>
    <xdr:to>
      <xdr:col>19</xdr:col>
      <xdr:colOff>22860</xdr:colOff>
      <xdr:row>2</xdr:row>
      <xdr:rowOff>213356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 rot="16200000">
          <a:off x="9984741274" y="-1070614"/>
          <a:ext cx="617216" cy="2758443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30480</xdr:colOff>
      <xdr:row>0</xdr:row>
      <xdr:rowOff>0</xdr:rowOff>
    </xdr:from>
    <xdr:to>
      <xdr:col>20</xdr:col>
      <xdr:colOff>838200</xdr:colOff>
      <xdr:row>2</xdr:row>
      <xdr:rowOff>228600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 rot="16200000">
          <a:off x="9982695300" y="-335280"/>
          <a:ext cx="632460" cy="13030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658088</xdr:colOff>
      <xdr:row>0</xdr:row>
      <xdr:rowOff>0</xdr:rowOff>
    </xdr:from>
    <xdr:to>
      <xdr:col>14</xdr:col>
      <xdr:colOff>734292</xdr:colOff>
      <xdr:row>2</xdr:row>
      <xdr:rowOff>235526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 rot="16200000">
          <a:off x="9987851617" y="-1105249"/>
          <a:ext cx="639386" cy="2849884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13854</xdr:colOff>
      <xdr:row>0</xdr:row>
      <xdr:rowOff>0</xdr:rowOff>
    </xdr:from>
    <xdr:to>
      <xdr:col>20</xdr:col>
      <xdr:colOff>670560</xdr:colOff>
      <xdr:row>2</xdr:row>
      <xdr:rowOff>242454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 rot="16200000">
          <a:off x="9985798026" y="-290946"/>
          <a:ext cx="646314" cy="1228206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21</xdr:col>
      <xdr:colOff>15240</xdr:colOff>
      <xdr:row>0</xdr:row>
      <xdr:rowOff>0</xdr:rowOff>
    </xdr:from>
    <xdr:to>
      <xdr:col>27</xdr:col>
      <xdr:colOff>0</xdr:colOff>
      <xdr:row>2</xdr:row>
      <xdr:rowOff>243840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 rot="16200000">
          <a:off x="9983796390" y="-1047750"/>
          <a:ext cx="647700" cy="27432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658088</xdr:colOff>
      <xdr:row>0</xdr:row>
      <xdr:rowOff>0</xdr:rowOff>
    </xdr:from>
    <xdr:to>
      <xdr:col>14</xdr:col>
      <xdr:colOff>734292</xdr:colOff>
      <xdr:row>2</xdr:row>
      <xdr:rowOff>235526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 rot="16200000">
          <a:off x="9990404317" y="-1105249"/>
          <a:ext cx="639386" cy="2849884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13854</xdr:colOff>
      <xdr:row>0</xdr:row>
      <xdr:rowOff>0</xdr:rowOff>
    </xdr:from>
    <xdr:to>
      <xdr:col>20</xdr:col>
      <xdr:colOff>670560</xdr:colOff>
      <xdr:row>2</xdr:row>
      <xdr:rowOff>242454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 rot="16200000">
          <a:off x="9988350726" y="-290946"/>
          <a:ext cx="646314" cy="1228206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83820</xdr:rowOff>
    </xdr:from>
    <xdr:to>
      <xdr:col>20</xdr:col>
      <xdr:colOff>655320</xdr:colOff>
      <xdr:row>2</xdr:row>
      <xdr:rowOff>243840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 rot="16200000">
          <a:off x="8726999310" y="57150"/>
          <a:ext cx="556260" cy="6096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6</xdr:col>
      <xdr:colOff>0</xdr:colOff>
      <xdr:row>0</xdr:row>
      <xdr:rowOff>91440</xdr:rowOff>
    </xdr:from>
    <xdr:to>
      <xdr:col>14</xdr:col>
      <xdr:colOff>655320</xdr:colOff>
      <xdr:row>3</xdr:row>
      <xdr:rowOff>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 rot="16200000">
          <a:off x="8728629990" y="-933450"/>
          <a:ext cx="563880" cy="26136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 לפרויקט</a:t>
          </a:r>
        </a:p>
      </xdr:txBody>
    </xdr:sp>
    <xdr:clientData/>
  </xdr:twoCellAnchor>
  <xdr:twoCellAnchor>
    <xdr:from>
      <xdr:col>22</xdr:col>
      <xdr:colOff>30480</xdr:colOff>
      <xdr:row>0</xdr:row>
      <xdr:rowOff>106680</xdr:rowOff>
    </xdr:from>
    <xdr:to>
      <xdr:col>26</xdr:col>
      <xdr:colOff>647700</xdr:colOff>
      <xdr:row>3</xdr:row>
      <xdr:rowOff>7620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 rot="16200000">
          <a:off x="8735994720" y="-228600"/>
          <a:ext cx="556260" cy="12268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83820</xdr:rowOff>
    </xdr:from>
    <xdr:to>
      <xdr:col>20</xdr:col>
      <xdr:colOff>655320</xdr:colOff>
      <xdr:row>2</xdr:row>
      <xdr:rowOff>243840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 rot="16200000">
          <a:off x="8975567520" y="-259080"/>
          <a:ext cx="556260" cy="12420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  <xdr:twoCellAnchor>
    <xdr:from>
      <xdr:col>6</xdr:col>
      <xdr:colOff>0</xdr:colOff>
      <xdr:row>0</xdr:row>
      <xdr:rowOff>91440</xdr:rowOff>
    </xdr:from>
    <xdr:to>
      <xdr:col>14</xdr:col>
      <xdr:colOff>655320</xdr:colOff>
      <xdr:row>3</xdr:row>
      <xdr:rowOff>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 rot="16200000">
          <a:off x="8977563960" y="-967740"/>
          <a:ext cx="563880" cy="26822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 לפרויקט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83820</xdr:rowOff>
    </xdr:from>
    <xdr:to>
      <xdr:col>20</xdr:col>
      <xdr:colOff>655320</xdr:colOff>
      <xdr:row>2</xdr:row>
      <xdr:rowOff>243840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 rot="16200000">
          <a:off x="8739324660" y="-1851660"/>
          <a:ext cx="556260" cy="44272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6</xdr:col>
      <xdr:colOff>0</xdr:colOff>
      <xdr:row>0</xdr:row>
      <xdr:rowOff>91440</xdr:rowOff>
    </xdr:from>
    <xdr:to>
      <xdr:col>14</xdr:col>
      <xdr:colOff>655320</xdr:colOff>
      <xdr:row>3</xdr:row>
      <xdr:rowOff>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 rot="16200000">
          <a:off x="8744513880" y="-2583180"/>
          <a:ext cx="563880" cy="59131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 לפרויקט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3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 rot="16200000">
          <a:off x="10223121540" y="-853440"/>
          <a:ext cx="647700" cy="25222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114299</xdr:rowOff>
    </xdr:from>
    <xdr:to>
      <xdr:col>20</xdr:col>
      <xdr:colOff>695322</xdr:colOff>
      <xdr:row>2</xdr:row>
      <xdr:rowOff>247648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 rot="16200000">
          <a:off x="10221198444" y="-280987"/>
          <a:ext cx="590549" cy="138112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21</xdr:col>
      <xdr:colOff>15241</xdr:colOff>
      <xdr:row>0</xdr:row>
      <xdr:rowOff>114299</xdr:rowOff>
    </xdr:from>
    <xdr:to>
      <xdr:col>22</xdr:col>
      <xdr:colOff>641983</xdr:colOff>
      <xdr:row>2</xdr:row>
      <xdr:rowOff>247648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 rot="16200000">
          <a:off x="10228845113" y="-193357"/>
          <a:ext cx="590549" cy="120586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3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 rot="16200000">
          <a:off x="10231899780" y="-853440"/>
          <a:ext cx="647700" cy="25222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114299</xdr:rowOff>
    </xdr:from>
    <xdr:to>
      <xdr:col>20</xdr:col>
      <xdr:colOff>695322</xdr:colOff>
      <xdr:row>2</xdr:row>
      <xdr:rowOff>247648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 rot="16200000">
          <a:off x="10230064314" y="-193357"/>
          <a:ext cx="590549" cy="120586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0</xdr:row>
      <xdr:rowOff>76200</xdr:rowOff>
    </xdr:from>
    <xdr:to>
      <xdr:col>13</xdr:col>
      <xdr:colOff>0</xdr:colOff>
      <xdr:row>2</xdr:row>
      <xdr:rowOff>213360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16200000">
          <a:off x="10227842130" y="-1245870"/>
          <a:ext cx="624840" cy="326898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13</xdr:col>
      <xdr:colOff>0</xdr:colOff>
      <xdr:row>0</xdr:row>
      <xdr:rowOff>68580</xdr:rowOff>
    </xdr:from>
    <xdr:to>
      <xdr:col>19</xdr:col>
      <xdr:colOff>0</xdr:colOff>
      <xdr:row>2</xdr:row>
      <xdr:rowOff>243840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 rot="16200000">
          <a:off x="10226466720" y="-373380"/>
          <a:ext cx="662940" cy="15468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3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 rot="16200000">
          <a:off x="10221875670" y="-994410"/>
          <a:ext cx="647700" cy="28041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114299</xdr:rowOff>
    </xdr:from>
    <xdr:to>
      <xdr:col>20</xdr:col>
      <xdr:colOff>695322</xdr:colOff>
      <xdr:row>2</xdr:row>
      <xdr:rowOff>247648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 rot="16200000">
          <a:off x="10220169744" y="77153"/>
          <a:ext cx="590549" cy="66484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20</xdr:col>
      <xdr:colOff>655321</xdr:colOff>
      <xdr:row>0</xdr:row>
      <xdr:rowOff>114300</xdr:rowOff>
    </xdr:from>
    <xdr:to>
      <xdr:col>27</xdr:col>
      <xdr:colOff>15240</xdr:colOff>
      <xdr:row>2</xdr:row>
      <xdr:rowOff>243840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 rot="16200000">
          <a:off x="10231427340" y="-266700"/>
          <a:ext cx="586740" cy="1348739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3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 rot="16200000">
          <a:off x="10229800470" y="-1055370"/>
          <a:ext cx="647700" cy="29260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114299</xdr:rowOff>
    </xdr:from>
    <xdr:to>
      <xdr:col>20</xdr:col>
      <xdr:colOff>695322</xdr:colOff>
      <xdr:row>2</xdr:row>
      <xdr:rowOff>247648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 rot="16200000">
          <a:off x="10227705924" y="-250507"/>
          <a:ext cx="590549" cy="132016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3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 rot="16200000">
          <a:off x="10234745850" y="-994410"/>
          <a:ext cx="647700" cy="28041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114299</xdr:rowOff>
    </xdr:from>
    <xdr:to>
      <xdr:col>20</xdr:col>
      <xdr:colOff>695322</xdr:colOff>
      <xdr:row>2</xdr:row>
      <xdr:rowOff>247648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 rot="16200000">
          <a:off x="10232731314" y="-231457"/>
          <a:ext cx="590549" cy="1282062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</xdr:colOff>
      <xdr:row>0</xdr:row>
      <xdr:rowOff>76200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 rot="16200000">
          <a:off x="10227971670" y="-1040130"/>
          <a:ext cx="685800" cy="29184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7620</xdr:colOff>
      <xdr:row>0</xdr:row>
      <xdr:rowOff>152400</xdr:rowOff>
    </xdr:from>
    <xdr:to>
      <xdr:col>21</xdr:col>
      <xdr:colOff>0</xdr:colOff>
      <xdr:row>2</xdr:row>
      <xdr:rowOff>289560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 rot="16200000">
          <a:off x="10226226690" y="118110"/>
          <a:ext cx="594360" cy="6629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21</xdr:col>
      <xdr:colOff>0</xdr:colOff>
      <xdr:row>0</xdr:row>
      <xdr:rowOff>144780</xdr:rowOff>
    </xdr:from>
    <xdr:to>
      <xdr:col>26</xdr:col>
      <xdr:colOff>617220</xdr:colOff>
      <xdr:row>2</xdr:row>
      <xdr:rowOff>266700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 rot="16200000">
          <a:off x="10227022980" y="-205740"/>
          <a:ext cx="579120" cy="12801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</xdr:colOff>
      <xdr:row>0</xdr:row>
      <xdr:rowOff>76200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 rot="16200000">
          <a:off x="10228790820" y="-960120"/>
          <a:ext cx="685800" cy="27584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7620</xdr:colOff>
      <xdr:row>0</xdr:row>
      <xdr:rowOff>152400</xdr:rowOff>
    </xdr:from>
    <xdr:to>
      <xdr:col>21</xdr:col>
      <xdr:colOff>0</xdr:colOff>
      <xdr:row>2</xdr:row>
      <xdr:rowOff>289560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 rot="16200000">
          <a:off x="10226760090" y="-240030"/>
          <a:ext cx="594360" cy="13792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</xdr:colOff>
      <xdr:row>0</xdr:row>
      <xdr:rowOff>76200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 rot="16200000">
          <a:off x="10231579740" y="-792480"/>
          <a:ext cx="685800" cy="24231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7620</xdr:colOff>
      <xdr:row>0</xdr:row>
      <xdr:rowOff>152400</xdr:rowOff>
    </xdr:from>
    <xdr:to>
      <xdr:col>21</xdr:col>
      <xdr:colOff>0</xdr:colOff>
      <xdr:row>2</xdr:row>
      <xdr:rowOff>289560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 rot="16200000">
          <a:off x="10229769990" y="-186690"/>
          <a:ext cx="594360" cy="12725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68580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 rot="16200000">
          <a:off x="9351138270" y="-1291590"/>
          <a:ext cx="563880" cy="32842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76200</xdr:rowOff>
    </xdr:from>
    <xdr:to>
      <xdr:col>21</xdr:col>
      <xdr:colOff>0</xdr:colOff>
      <xdr:row>3</xdr:row>
      <xdr:rowOff>7620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 rot="16200000">
          <a:off x="9348825600" y="-312420"/>
          <a:ext cx="563880" cy="13411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  <xdr:twoCellAnchor>
    <xdr:from>
      <xdr:col>21</xdr:col>
      <xdr:colOff>15240</xdr:colOff>
      <xdr:row>0</xdr:row>
      <xdr:rowOff>83820</xdr:rowOff>
    </xdr:from>
    <xdr:to>
      <xdr:col>26</xdr:col>
      <xdr:colOff>556260</xdr:colOff>
      <xdr:row>3</xdr:row>
      <xdr:rowOff>15240</xdr:rowOff>
    </xdr:to>
    <xdr:sp macro="" textlink="">
      <xdr:nvSpPr>
        <xdr:cNvPr id="5" name="סוגר מסולסל ימני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>
        <a:xfrm rot="16200000">
          <a:off x="9355470240" y="-548640"/>
          <a:ext cx="563880" cy="18288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68580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 rot="16200000">
          <a:off x="9357954360" y="-891540"/>
          <a:ext cx="563880" cy="24841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76200</xdr:rowOff>
    </xdr:from>
    <xdr:to>
      <xdr:col>21</xdr:col>
      <xdr:colOff>0</xdr:colOff>
      <xdr:row>3</xdr:row>
      <xdr:rowOff>7620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 rot="16200000">
          <a:off x="9356079840" y="-274320"/>
          <a:ext cx="563880" cy="126492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2023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68580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 rot="16200000">
          <a:off x="9359657430" y="-1055370"/>
          <a:ext cx="563880" cy="28117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76200</xdr:rowOff>
    </xdr:from>
    <xdr:to>
      <xdr:col>21</xdr:col>
      <xdr:colOff>0</xdr:colOff>
      <xdr:row>3</xdr:row>
      <xdr:rowOff>7620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 rot="16200000">
          <a:off x="9357611460" y="-281940"/>
          <a:ext cx="563880" cy="12801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 2024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</xdr:colOff>
      <xdr:row>0</xdr:row>
      <xdr:rowOff>15240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 rot="16200000">
          <a:off x="9976073520" y="-982980"/>
          <a:ext cx="708660" cy="27051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38100</xdr:rowOff>
    </xdr:from>
    <xdr:to>
      <xdr:col>21</xdr:col>
      <xdr:colOff>0</xdr:colOff>
      <xdr:row>2</xdr:row>
      <xdr:rowOff>251460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 rot="16200000">
          <a:off x="9974061840" y="-304800"/>
          <a:ext cx="670560" cy="13563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  <xdr:twoCellAnchor>
    <xdr:from>
      <xdr:col>21</xdr:col>
      <xdr:colOff>0</xdr:colOff>
      <xdr:row>0</xdr:row>
      <xdr:rowOff>53340</xdr:rowOff>
    </xdr:from>
    <xdr:to>
      <xdr:col>24</xdr:col>
      <xdr:colOff>0</xdr:colOff>
      <xdr:row>2</xdr:row>
      <xdr:rowOff>243840</xdr:rowOff>
    </xdr:to>
    <xdr:sp macro="" textlink="">
      <xdr:nvSpPr>
        <xdr:cNvPr id="4" name="סוגר מסולסל ימני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 rot="16200000">
          <a:off x="9977593710" y="-240030"/>
          <a:ext cx="647700" cy="12344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160020"/>
    <xdr:ext cx="9201150" cy="5619750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תרשים 1" descr="תרשים חלוקת ההשקעה בתקציב לפי פרקים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תרשים זה אינו זמין בגירסת Excel שברשותך.
עריכת צורה זו או שמירת חוברת עבודה זו בתבנית קובץ אחרת תנתק את התרשים לצמיתות.</a:t>
              </a:r>
            </a:p>
          </xdr:txBody>
        </xdr:sp>
      </mc:Fallback>
    </mc:AlternateContent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</xdr:colOff>
      <xdr:row>0</xdr:row>
      <xdr:rowOff>15240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 rot="16200000">
          <a:off x="9978359520" y="-1013460"/>
          <a:ext cx="708660" cy="27660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38100</xdr:rowOff>
    </xdr:from>
    <xdr:to>
      <xdr:col>21</xdr:col>
      <xdr:colOff>0</xdr:colOff>
      <xdr:row>2</xdr:row>
      <xdr:rowOff>251460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 rot="16200000">
          <a:off x="9976359270" y="-262890"/>
          <a:ext cx="670560" cy="12725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2023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</xdr:colOff>
      <xdr:row>0</xdr:row>
      <xdr:rowOff>15240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 rot="16200000">
          <a:off x="9981308460" y="-982980"/>
          <a:ext cx="708660" cy="27051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38100</xdr:rowOff>
    </xdr:from>
    <xdr:to>
      <xdr:col>21</xdr:col>
      <xdr:colOff>0</xdr:colOff>
      <xdr:row>2</xdr:row>
      <xdr:rowOff>251460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 rot="16200000">
          <a:off x="9979327260" y="-274320"/>
          <a:ext cx="670560" cy="12954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38100</xdr:rowOff>
    </xdr:from>
    <xdr:to>
      <xdr:col>14</xdr:col>
      <xdr:colOff>457200</xdr:colOff>
      <xdr:row>3</xdr:row>
      <xdr:rowOff>15240</xdr:rowOff>
    </xdr:to>
    <xdr:sp macro="" textlink="">
      <xdr:nvSpPr>
        <xdr:cNvPr id="9" name="סוגר מסולסל ימני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SpPr/>
      </xdr:nvSpPr>
      <xdr:spPr>
        <a:xfrm rot="16200000">
          <a:off x="10233919080" y="-777240"/>
          <a:ext cx="609600" cy="22402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19</xdr:col>
      <xdr:colOff>7620</xdr:colOff>
      <xdr:row>0</xdr:row>
      <xdr:rowOff>0</xdr:rowOff>
    </xdr:from>
    <xdr:to>
      <xdr:col>20</xdr:col>
      <xdr:colOff>601980</xdr:colOff>
      <xdr:row>2</xdr:row>
      <xdr:rowOff>167640</xdr:rowOff>
    </xdr:to>
    <xdr:sp macro="" textlink="">
      <xdr:nvSpPr>
        <xdr:cNvPr id="11" name="סוגר מסולסל ימני 10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SpPr/>
      </xdr:nvSpPr>
      <xdr:spPr>
        <a:xfrm rot="16200000">
          <a:off x="10232334120" y="-236220"/>
          <a:ext cx="624840" cy="10972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  <xdr:twoCellAnchor>
    <xdr:from>
      <xdr:col>21</xdr:col>
      <xdr:colOff>7620</xdr:colOff>
      <xdr:row>0</xdr:row>
      <xdr:rowOff>0</xdr:rowOff>
    </xdr:from>
    <xdr:to>
      <xdr:col>26</xdr:col>
      <xdr:colOff>495300</xdr:colOff>
      <xdr:row>2</xdr:row>
      <xdr:rowOff>160020</xdr:rowOff>
    </xdr:to>
    <xdr:sp macro="" textlink="">
      <xdr:nvSpPr>
        <xdr:cNvPr id="12" name="סוגר מסולסל ימני 11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SpPr/>
      </xdr:nvSpPr>
      <xdr:spPr>
        <a:xfrm rot="16200000">
          <a:off x="10230996810" y="-468630"/>
          <a:ext cx="617220" cy="15544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114300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 rot="16200000">
          <a:off x="10234441050" y="-750570"/>
          <a:ext cx="518160" cy="22479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91440</xdr:rowOff>
    </xdr:from>
    <xdr:to>
      <xdr:col>21</xdr:col>
      <xdr:colOff>0</xdr:colOff>
      <xdr:row>2</xdr:row>
      <xdr:rowOff>205740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 rot="16200000">
          <a:off x="10232802750" y="-140970"/>
          <a:ext cx="541020" cy="10058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22860</xdr:rowOff>
    </xdr:from>
    <xdr:to>
      <xdr:col>14</xdr:col>
      <xdr:colOff>640080</xdr:colOff>
      <xdr:row>2</xdr:row>
      <xdr:rowOff>144780</xdr:rowOff>
    </xdr:to>
    <xdr:sp macro="" textlink="">
      <xdr:nvSpPr>
        <xdr:cNvPr id="6" name="סוגר מסולסל ימני 5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 rot="16200000">
          <a:off x="10231724520" y="-952500"/>
          <a:ext cx="579120" cy="25298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14</xdr:col>
      <xdr:colOff>655320</xdr:colOff>
      <xdr:row>0</xdr:row>
      <xdr:rowOff>38100</xdr:rowOff>
    </xdr:from>
    <xdr:to>
      <xdr:col>20</xdr:col>
      <xdr:colOff>624840</xdr:colOff>
      <xdr:row>2</xdr:row>
      <xdr:rowOff>152400</xdr:rowOff>
    </xdr:to>
    <xdr:sp macro="" textlink="">
      <xdr:nvSpPr>
        <xdr:cNvPr id="7" name="סוגר מסולסל ימני 6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/>
      </xdr:nvSpPr>
      <xdr:spPr>
        <a:xfrm rot="16200000">
          <a:off x="10229846190" y="-278130"/>
          <a:ext cx="571500" cy="12039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  <xdr:twoCellAnchor>
    <xdr:from>
      <xdr:col>20</xdr:col>
      <xdr:colOff>640080</xdr:colOff>
      <xdr:row>0</xdr:row>
      <xdr:rowOff>53340</xdr:rowOff>
    </xdr:from>
    <xdr:to>
      <xdr:col>22</xdr:col>
      <xdr:colOff>617220</xdr:colOff>
      <xdr:row>2</xdr:row>
      <xdr:rowOff>167640</xdr:rowOff>
    </xdr:to>
    <xdr:sp macro="" textlink="">
      <xdr:nvSpPr>
        <xdr:cNvPr id="8" name="סוגר מסולסל ימני 7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/>
      </xdr:nvSpPr>
      <xdr:spPr>
        <a:xfrm rot="16200000">
          <a:off x="10228626990" y="-262890"/>
          <a:ext cx="571500" cy="12039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מקורות מימון לתקציב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114300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 rot="16200000">
          <a:off x="10238220570" y="-2533650"/>
          <a:ext cx="571500" cy="58674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91440</xdr:rowOff>
    </xdr:from>
    <xdr:to>
      <xdr:col>21</xdr:col>
      <xdr:colOff>0</xdr:colOff>
      <xdr:row>2</xdr:row>
      <xdr:rowOff>205740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 rot="16200000">
          <a:off x="10233138030" y="-1771650"/>
          <a:ext cx="571500" cy="429768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2023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114300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 rot="16200000">
          <a:off x="10229232780" y="-838200"/>
          <a:ext cx="571500" cy="247650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91440</xdr:rowOff>
    </xdr:from>
    <xdr:to>
      <xdr:col>21</xdr:col>
      <xdr:colOff>0</xdr:colOff>
      <xdr:row>2</xdr:row>
      <xdr:rowOff>205740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 rot="16200000">
          <a:off x="10227411600" y="-205740"/>
          <a:ext cx="571500" cy="11658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2023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114300</xdr:rowOff>
    </xdr:from>
    <xdr:to>
      <xdr:col>15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 rot="16200000">
          <a:off x="10232307450" y="-910590"/>
          <a:ext cx="518160" cy="256794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  <xdr:twoCellAnchor>
    <xdr:from>
      <xdr:col>15</xdr:col>
      <xdr:colOff>0</xdr:colOff>
      <xdr:row>0</xdr:row>
      <xdr:rowOff>91440</xdr:rowOff>
    </xdr:from>
    <xdr:to>
      <xdr:col>21</xdr:col>
      <xdr:colOff>0</xdr:colOff>
      <xdr:row>2</xdr:row>
      <xdr:rowOff>205740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 rot="16200000">
          <a:off x="10230410070" y="-240030"/>
          <a:ext cx="541020" cy="120396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לביצוע 2024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0</xdr:row>
      <xdr:rowOff>76200</xdr:rowOff>
    </xdr:from>
    <xdr:to>
      <xdr:col>13</xdr:col>
      <xdr:colOff>0</xdr:colOff>
      <xdr:row>2</xdr:row>
      <xdr:rowOff>213360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 rot="16200000">
          <a:off x="10229232780" y="388620"/>
          <a:ext cx="624840" cy="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6922</xdr:colOff>
      <xdr:row>0</xdr:row>
      <xdr:rowOff>145472</xdr:rowOff>
    </xdr:from>
    <xdr:to>
      <xdr:col>14</xdr:col>
      <xdr:colOff>706581</xdr:colOff>
      <xdr:row>4</xdr:row>
      <xdr:rowOff>1385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 rot="16200000">
          <a:off x="9975760753" y="458239"/>
          <a:ext cx="625533" cy="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754380</xdr:colOff>
      <xdr:row>0</xdr:row>
      <xdr:rowOff>99060</xdr:rowOff>
    </xdr:from>
    <xdr:to>
      <xdr:col>12</xdr:col>
      <xdr:colOff>853440</xdr:colOff>
      <xdr:row>2</xdr:row>
      <xdr:rowOff>236220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 rot="16200000">
          <a:off x="10228939410" y="-1238250"/>
          <a:ext cx="624840" cy="32994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13</xdr:col>
      <xdr:colOff>0</xdr:colOff>
      <xdr:row>0</xdr:row>
      <xdr:rowOff>68580</xdr:rowOff>
    </xdr:from>
    <xdr:to>
      <xdr:col>19</xdr:col>
      <xdr:colOff>0</xdr:colOff>
      <xdr:row>2</xdr:row>
      <xdr:rowOff>281940</xdr:rowOff>
    </xdr:to>
    <xdr:sp macro="" textlink="">
      <xdr:nvSpPr>
        <xdr:cNvPr id="5" name="סוגר מסולסל ימני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 rot="16200000">
          <a:off x="10226470530" y="-354330"/>
          <a:ext cx="701040" cy="154686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45720</xdr:rowOff>
    </xdr:from>
    <xdr:to>
      <xdr:col>15</xdr:col>
      <xdr:colOff>0</xdr:colOff>
      <xdr:row>3</xdr:row>
      <xdr:rowOff>152400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 rot="16200000">
          <a:off x="10221597540" y="-1203960"/>
          <a:ext cx="563880" cy="306324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658088</xdr:colOff>
      <xdr:row>0</xdr:row>
      <xdr:rowOff>0</xdr:rowOff>
    </xdr:from>
    <xdr:to>
      <xdr:col>14</xdr:col>
      <xdr:colOff>734292</xdr:colOff>
      <xdr:row>3</xdr:row>
      <xdr:rowOff>235526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 rot="16200000">
          <a:off x="9970229327" y="319693"/>
          <a:ext cx="639386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91440</xdr:rowOff>
    </xdr:from>
    <xdr:to>
      <xdr:col>14</xdr:col>
      <xdr:colOff>655320</xdr:colOff>
      <xdr:row>4</xdr:row>
      <xdr:rowOff>0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 rot="16200000">
          <a:off x="8979491820" y="373380"/>
          <a:ext cx="56388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 לפרויקט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83820</xdr:rowOff>
    </xdr:from>
    <xdr:to>
      <xdr:col>15</xdr:col>
      <xdr:colOff>0</xdr:colOff>
      <xdr:row>4</xdr:row>
      <xdr:rowOff>15240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 rot="16200000">
          <a:off x="10218393330" y="407670"/>
          <a:ext cx="64770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</xdr:colOff>
      <xdr:row>0</xdr:row>
      <xdr:rowOff>76200</xdr:rowOff>
    </xdr:from>
    <xdr:to>
      <xdr:col>15</xdr:col>
      <xdr:colOff>0</xdr:colOff>
      <xdr:row>4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 rot="16200000">
          <a:off x="10224127380" y="419100"/>
          <a:ext cx="68580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68580</xdr:rowOff>
    </xdr:from>
    <xdr:to>
      <xdr:col>15</xdr:col>
      <xdr:colOff>0</xdr:colOff>
      <xdr:row>4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 rot="16200000">
          <a:off x="9346985370" y="361950"/>
          <a:ext cx="58674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</xdr:colOff>
      <xdr:row>0</xdr:row>
      <xdr:rowOff>15240</xdr:rowOff>
    </xdr:from>
    <xdr:to>
      <xdr:col>15</xdr:col>
      <xdr:colOff>0</xdr:colOff>
      <xdr:row>4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 rot="16200000">
          <a:off x="9974431410" y="369570"/>
          <a:ext cx="70866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114300</xdr:rowOff>
    </xdr:from>
    <xdr:to>
      <xdr:col>15</xdr:col>
      <xdr:colOff>0</xdr:colOff>
      <xdr:row>4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 rot="16200000">
          <a:off x="10218873390" y="384810"/>
          <a:ext cx="541020" cy="0"/>
        </a:xfrm>
        <a:prstGeom prst="rightBrace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vert="vert" rtlCol="1" anchor="ctr" anchorCtr="0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Arial" panose="020B0604020202020204" pitchFamily="34" charset="0"/>
            </a:rPr>
            <a:t>אומדן כולל לפרויקט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76200" y="333375"/>
    <xdr:ext cx="9201150" cy="5619750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תרשים 1" descr="תרשים התקציב לפי מקורות מימון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תרשים זה אינו זמין בגירסת Excel שברשותך.
עריכת צורה זו או שמירת חוברת עבודה זו בתבנית קובץ אחרת תנתק את התרשים לצמיתות.</a:t>
              </a:r>
            </a:p>
          </xdr:txBody>
        </xdr:sp>
      </mc:Fallback>
    </mc:AlternateContent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17</xdr:row>
      <xdr:rowOff>45720</xdr:rowOff>
    </xdr:from>
    <xdr:to>
      <xdr:col>4</xdr:col>
      <xdr:colOff>693420</xdr:colOff>
      <xdr:row>34</xdr:row>
      <xdr:rowOff>15240</xdr:rowOff>
    </xdr:to>
    <xdr:pic>
      <xdr:nvPicPr>
        <xdr:cNvPr id="9" name="תמונה 8" descr="תמונה פרויקט שביל אופניים בז'בוטינסקי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235633580" y="3764280"/>
          <a:ext cx="322326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1371600</xdr:colOff>
      <xdr:row>17</xdr:row>
      <xdr:rowOff>22860</xdr:rowOff>
    </xdr:from>
    <xdr:to>
      <xdr:col>13</xdr:col>
      <xdr:colOff>45720</xdr:colOff>
      <xdr:row>34</xdr:row>
      <xdr:rowOff>7620</xdr:rowOff>
    </xdr:to>
    <xdr:pic>
      <xdr:nvPicPr>
        <xdr:cNvPr id="6" name="תמונה 5" descr="תמונה פרויקט אופני דן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209920" y="3596640"/>
          <a:ext cx="589026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274320</xdr:colOff>
      <xdr:row>17</xdr:row>
      <xdr:rowOff>7620</xdr:rowOff>
    </xdr:from>
    <xdr:to>
      <xdr:col>4</xdr:col>
      <xdr:colOff>2682240</xdr:colOff>
      <xdr:row>37</xdr:row>
      <xdr:rowOff>76200</xdr:rowOff>
    </xdr:to>
    <xdr:pic>
      <xdr:nvPicPr>
        <xdr:cNvPr id="2" name="תמונה 1" descr="תמונה פרויקט רחוב דליה רביקוביץ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4132440" y="3421380"/>
          <a:ext cx="5120640" cy="359664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</xdr:colOff>
      <xdr:row>0</xdr:row>
      <xdr:rowOff>165562</xdr:rowOff>
    </xdr:from>
    <xdr:to>
      <xdr:col>21</xdr:col>
      <xdr:colOff>0</xdr:colOff>
      <xdr:row>3</xdr:row>
      <xdr:rowOff>0</xdr:rowOff>
    </xdr:to>
    <xdr:sp macro="" textlink="">
      <xdr:nvSpPr>
        <xdr:cNvPr id="2" name="סוגר מסולסל ימני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 rot="16200000">
          <a:off x="9970330811" y="-233449"/>
          <a:ext cx="604058" cy="140208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לביצוע  2024</a:t>
          </a:r>
        </a:p>
      </xdr:txBody>
    </xdr:sp>
    <xdr:clientData/>
  </xdr:twoCellAnchor>
  <xdr:twoCellAnchor>
    <xdr:from>
      <xdr:col>6</xdr:col>
      <xdr:colOff>6922</xdr:colOff>
      <xdr:row>0</xdr:row>
      <xdr:rowOff>145472</xdr:rowOff>
    </xdr:from>
    <xdr:to>
      <xdr:col>14</xdr:col>
      <xdr:colOff>706581</xdr:colOff>
      <xdr:row>3</xdr:row>
      <xdr:rowOff>1385</xdr:rowOff>
    </xdr:to>
    <xdr:sp macro="" textlink="">
      <xdr:nvSpPr>
        <xdr:cNvPr id="3" name="סוגר מסולסל ימני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 rot="16200000">
          <a:off x="9972511863" y="-969472"/>
          <a:ext cx="625533" cy="2855421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אומדן כולל לפרויקט</a:t>
          </a:r>
        </a:p>
      </xdr:txBody>
    </xdr:sp>
    <xdr:clientData/>
  </xdr:twoCellAnchor>
  <xdr:twoCellAnchor>
    <xdr:from>
      <xdr:col>20</xdr:col>
      <xdr:colOff>601980</xdr:colOff>
      <xdr:row>0</xdr:row>
      <xdr:rowOff>173182</xdr:rowOff>
    </xdr:from>
    <xdr:to>
      <xdr:col>26</xdr:col>
      <xdr:colOff>480060</xdr:colOff>
      <xdr:row>2</xdr:row>
      <xdr:rowOff>304800</xdr:rowOff>
    </xdr:to>
    <xdr:sp macro="" textlink="">
      <xdr:nvSpPr>
        <xdr:cNvPr id="5" name="סוגר מסולסל ימני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 rot="16200000">
          <a:off x="9976179161" y="-465859"/>
          <a:ext cx="588818" cy="1866900"/>
        </a:xfrm>
        <a:prstGeom prst="rightBrace">
          <a:avLst/>
        </a:prstGeom>
        <a:noFill/>
        <a:ln w="31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 rtlCol="1" anchor="ctr" anchorCtr="0"/>
        <a:lstStyle/>
        <a:p>
          <a:pPr marL="0" indent="0" algn="ctr" rtl="1"/>
          <a:r>
            <a:rPr lang="he-IL" sz="900">
              <a:solidFill>
                <a:schemeClr val="tx1"/>
              </a:solidFill>
              <a:latin typeface="+mn-lt"/>
              <a:ea typeface="+mn-ea"/>
              <a:cs typeface="+mn-cs"/>
            </a:rPr>
            <a:t>מקורות מימון לתקציב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493;&#1499;&#1504;&#1497;&#1514;%20&#1506;&#1489;&#1493;&#1491;&#1492;%202023/&#1492;&#1499;&#1504;&#1514;%20&#1514;&#1511;&#1510;&#1497;&#1489;%202023/&#1502;&#1497;&#1502;&#1493;&#1513;%20&#1514;&#1511;&#1510;&#1497;&#1489;&#1497;&#1501;%202022/&#1499;&#1493;&#1500;&#1500;%20&#1510;&#1508;&#1497;%20%20&#1502;&#1497;&#1502;&#1493;&#1513;%20&#1489;&#1508;&#1493;&#1506;&#1500;%20&#1514;&#1511;&#1510;&#1497;&#1489;%208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493;&#1499;&#1504;&#1497;&#1514;%20&#1506;&#1489;&#1493;&#1491;&#1492;%202024/&#1502;&#1497;&#1502;&#1493;&#1513;%20&#1514;&#1511;&#1510;&#1497;&#1489;&#1497;&#1501;%202023%20&#1514;.&#1506;.%202024/&#1502;&#1497;&#1502;&#1493;&#1513;%20&#1489;&#1508;&#1493;&#1506;&#1500;%20&#1500;&#1514;.&#1506;.%202024%20&#1502;&#1506;&#1493;&#1491;&#1499;&#1503;%20&#1514;&#1511;&#1510;&#1497;&#1489;%2010.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511;&#1510;&#1497;&#1489;%202023/&#1506;&#1491;&#1499;&#1493;&#1504;&#1497;%20&#1514;&#1511;&#1510;&#1497;&#1489;%202023/&#1506;&#1491;&#1499;&#1493;&#1504;&#1497;%20&#1514;&#1511;&#1510;&#1497;&#1489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493;&#1499;&#1504;&#1497;&#1514;%20&#1506;&#1489;&#1493;&#1491;&#1492;%202024/&#1502;&#1497;&#1502;&#1493;&#1513;%20&#1514;&#1511;&#1510;&#1497;&#1489;&#1497;&#1501;%202023%20&#1514;.&#1506;.%202024/&#1506;&#1491;&#1499;&#1493;&#1504;&#1497;%20&#1514;&#1511;&#1510;&#1497;&#1489;%202023%20&#1502;&#1506;&#1493;&#1491;&#1499;&#1503;%20&#1502;&#1510;&#1496;&#1489;&#1512;%20&#1500;&#1514;.&#1506;.%20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493;&#1499;&#1504;&#1497;&#1514;%20&#1506;&#1489;&#1493;&#1491;&#1492;%202024/&#1502;&#1497;&#1502;&#1493;&#1513;%20&#1514;&#1511;&#1510;&#1497;&#1489;&#1497;&#1501;%202023%20&#1514;.&#1506;.%202024/&#1506;&#1491;&#1499;&#1493;&#1504;&#1497;%20&#1514;&#1511;&#1510;&#1497;&#1489;%202023%20&#1502;&#1506;&#1493;&#1491;&#1499;&#1503;%20&#1493;&#1505;&#1493;&#1508;&#1497;%20&#1502;&#1510;&#1496;&#1489;&#1512;%20&#1500;&#1514;.&#1506;.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r\Gizbarut\&#1502;&#1513;&#1493;&#1514;&#1507;\&#1502;&#1495;&#1500;&#1511;&#1514;%20&#1495;&#1493;&#1494;&#1497;&#1501;%20&#1493;&#1514;&#1489;&#1512;\&#1502;&#1513;&#1493;&#1514;&#1507;%20&#1490;&#1488;&#1493;&#1500;&#1492;\&#1514;&#1511;&#1510;&#1497;&#1489;%20&#1508;&#1497;&#1514;&#1493;&#1495;%202023\&#1505;&#1490;&#1497;&#1512;&#1514;%20&#1514;&#1489;&#1512;&#1497;&#1501;%202023\&#1505;&#1490;&#1497;&#1512;&#1514;%20&#1514;&#1489;&#1512;&#1497;&#1501;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כותרת"/>
      <sheetName val="תוכן ענינים"/>
      <sheetName val="מבוא"/>
      <sheetName val="תקציב 2021"/>
      <sheetName val="תקציב 2022 "/>
      <sheetName val="תקציב 2022 פרקים"/>
      <sheetName val="תקציב 2022  אגפים "/>
      <sheetName val="תקציב 2022  מקורות "/>
      <sheetName val="תקציב 2022 קרנות הרשות"/>
      <sheetName val="תקציב 2022 מקורות אחרים"/>
      <sheetName val="תרשים אגפים"/>
      <sheetName val="ריכוז אגפים"/>
      <sheetName val="תרשים פרקים"/>
      <sheetName val="ריכוז פרקים"/>
      <sheetName val="פרוט מקורות אחרים"/>
      <sheetName val="תרשים מקורות מימון"/>
      <sheetName val="הנדסה 2022"/>
      <sheetName val="הנדסה 2022 "/>
      <sheetName val="תקציב הנדסה 2022 "/>
      <sheetName val="תקציב הנדסה 2022 פרקים"/>
      <sheetName val="החברה לפיתוח 2022"/>
      <sheetName val="החב. לפיתוח 2022"/>
      <sheetName val="תקציב החברה לפיתוח 2022 תאור"/>
      <sheetName val="תקציב החברה לפיתוח 2022 פרקים"/>
      <sheetName val="מינהל תפעול 2022"/>
      <sheetName val="מינהל תפעול  2022 "/>
      <sheetName val="תקציב החברה לפיתוח 2022"/>
      <sheetName val="תקציב מינהל תפעול 2022"/>
      <sheetName val="תקציב מינהל תפעול 2022 תאור"/>
      <sheetName val="תקציב מינהל תפעול 2022 פרקים"/>
      <sheetName val="אגף חינוך 2022"/>
      <sheetName val="תקציב אגף חינוך 2022"/>
      <sheetName val="תקציב אגף חינוך 2022 פרקים"/>
      <sheetName val="אגף תנוס 2021"/>
      <sheetName val="תקציב אגף תנוס 2022 "/>
      <sheetName val="תקציב אגף תנוס 2022 פרקים"/>
      <sheetName val="החברה לתירות 2022"/>
      <sheetName val="תקציב החברה לתירות 2022 "/>
      <sheetName val="תקציב החברה לתירות 2022  פרקים"/>
      <sheetName val="אגף תקשוב ומע. מידע 2022"/>
      <sheetName val="אגף תקשוב ומע. מידע  2022 "/>
      <sheetName val="תקציב אגף המיחשוב 2022"/>
      <sheetName val="תקציב אגף המיחשוב 2022 פרקים"/>
      <sheetName val="אגף נכסים וביטוח 2022"/>
      <sheetName val="תקציב אגף נכסים וביטוח 2022 "/>
      <sheetName val="תקציב אגף נכסים ביטוח 2022 פרק"/>
      <sheetName val="מינהל כללי 2022"/>
      <sheetName val="תקציב מינהל כללי 2022  "/>
      <sheetName val="תקציב מינהל כללי 2022 פרקים"/>
      <sheetName val="תקציב 2021 - ביצוע"/>
      <sheetName val="ריכוז אגפים 2021"/>
      <sheetName val="תקציב הנדסה 2021"/>
      <sheetName val="תקציב החברה לפיתוח 2021 "/>
      <sheetName val="תקציב אגף ת.ב.ל 2021  "/>
      <sheetName val="תקציב אגף בטחון פיקוח סד&quot;צ 2021"/>
      <sheetName val="תקציב אגף חינוך 2021 "/>
      <sheetName val="תקציב אגף תנוס 2021 "/>
      <sheetName val="תקציב אגף שאיפה  2021 "/>
      <sheetName val="תקציב רשות החופים 2021 "/>
      <sheetName val="תקציב החברה לתירות 2021 "/>
      <sheetName val="תקציב אגף תקשוב 2021 "/>
      <sheetName val="תקציב אגף נכסים וביטוח 2021"/>
      <sheetName val="תקציב מינהל כללי 2021  "/>
      <sheetName val="ריכוז תקציב מעבר לתוכנית 2021"/>
      <sheetName val="פרויקטים החב. לפיתוח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">
          <cell r="AI30">
            <v>98266989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30">
          <cell r="AO130">
            <v>183383517</v>
          </cell>
        </row>
        <row r="135">
          <cell r="AL135">
            <v>83905023</v>
          </cell>
        </row>
      </sheetData>
      <sheetData sheetId="27">
        <row r="127">
          <cell r="AL127">
            <v>10450000</v>
          </cell>
        </row>
      </sheetData>
      <sheetData sheetId="28"/>
      <sheetData sheetId="29"/>
      <sheetData sheetId="30"/>
      <sheetData sheetId="31">
        <row r="28">
          <cell r="AP28">
            <v>2430100</v>
          </cell>
        </row>
      </sheetData>
      <sheetData sheetId="32"/>
      <sheetData sheetId="33"/>
      <sheetData sheetId="34">
        <row r="15">
          <cell r="AO15">
            <v>210000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כותרת"/>
      <sheetName val="תוכן ענינים"/>
      <sheetName val="מבוא"/>
      <sheetName val="תקציב 2022"/>
      <sheetName val="תקציב 2023 "/>
      <sheetName val="תקציב 2023 פרקים"/>
      <sheetName val="תקציב 2023  אגפים "/>
      <sheetName val="תקציב 2023  מקורות "/>
      <sheetName val="תקציב 2023 קרנות הרשות"/>
      <sheetName val="תקציב 2023 מקורות אחרים"/>
      <sheetName val="תרשים אגפים"/>
      <sheetName val="ריכוז אגפים"/>
      <sheetName val="תרשים פרקים"/>
      <sheetName val="ריכוז פרקים"/>
      <sheetName val="פרוט מקורות אחרים"/>
      <sheetName val="תרשים מקורות מימון"/>
      <sheetName val="הנדסה 2023"/>
      <sheetName val="הנדסה 2023 "/>
      <sheetName val="תקציב הנדסה 2023"/>
      <sheetName val="תקציב מינהל הנדסה 2023 פרקים"/>
      <sheetName val="החברה לפיתוח 2023"/>
      <sheetName val="החב. לפיתוח 2023"/>
      <sheetName val="תקציב החברה לפיתוח 2023"/>
      <sheetName val="תקציב החברה לפיתוח 2023 תאור"/>
      <sheetName val="תקציב החברה לפיתוח 2023  פרקים"/>
      <sheetName val="מינהל תפעול 2023"/>
      <sheetName val="מינהל תפעול  2023 "/>
      <sheetName val="תקציב מינהל תפעול 2023 "/>
      <sheetName val="תקציב מינהל תפעול 2023 תאור"/>
      <sheetName val="תקציב מינהל תפעול 2023 פרקים"/>
      <sheetName val="מינהל חינוך 2023"/>
      <sheetName val="תקציב מינהל חינוך 2023"/>
      <sheetName val="תקציב מינהל חינוך 2023 פרקים"/>
      <sheetName val="אגף תנוס 2023"/>
      <sheetName val="תקציב אגף תנוס 2023 "/>
      <sheetName val="תקציב אגף תנוס 2023  פרקים"/>
      <sheetName val="החברה לתירות 2023"/>
      <sheetName val="תקציב החברה לתירות 2023 "/>
      <sheetName val="תקציב החברה לתירות 2023 פרקים"/>
      <sheetName val="אגף תקשוב ומע. מידע 2023"/>
      <sheetName val="תקציב אגף המיחשוב 2023"/>
      <sheetName val="תקציב אגף המיחשוב 2023 פרקים"/>
      <sheetName val="אגף נכסים וביטוח 2023"/>
      <sheetName val="תקציב אגף נכסים וביטוח 2023 "/>
      <sheetName val="תקציב אגף נכסים וביטוח 2023 פרק"/>
      <sheetName val="מינהל כללי 2023"/>
      <sheetName val="תקציב מינהל כללי 2023  "/>
      <sheetName val="תקציב מינהל כללי 2023 פרקים"/>
      <sheetName val="תקציב מינהל כללי 2023  תאור"/>
      <sheetName val="תקציב 2022 - ביצוע"/>
      <sheetName val="ריכוז אגפים 2022"/>
      <sheetName val="תקציב הנדסה 2022 "/>
      <sheetName val="תקציב החברה לפיתוח 2022"/>
      <sheetName val="תקציב מינהל תפעול 2022"/>
      <sheetName val="תקציב אגף חינוך 2022"/>
      <sheetName val="תקציב אגף תנוס 2022 "/>
      <sheetName val="תקציב החברה לתירות 2022 "/>
      <sheetName val="תקציב אגף המיחשוב 2022"/>
      <sheetName val="תקציב אגף נכסים וביטוח 2022 "/>
      <sheetName val="תקציב מינהל כללי 2022  "/>
      <sheetName val="ריכוז תקציב מעבר לתוכנית 2022"/>
      <sheetName val="פרויקטים החב. לפיתוח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1">
          <cell r="F11">
            <v>866</v>
          </cell>
        </row>
        <row r="12">
          <cell r="F12">
            <v>0</v>
          </cell>
        </row>
      </sheetData>
      <sheetData sheetId="8">
        <row r="20">
          <cell r="C20">
            <v>258902</v>
          </cell>
          <cell r="D20">
            <v>110000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3">
          <cell r="O13">
            <v>96402203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צטבר כולל 11.2023מעודכן סופי"/>
      <sheetName val="וע. 11.2023  נוסף "/>
      <sheetName val="מצטבר כולל 11.2023מעודכן 19.11"/>
      <sheetName val="מצטבר כולל 11.2023 מעודכן"/>
      <sheetName val="מצטבר כולל 11.2023"/>
      <sheetName val="וע. 11.2023  מעודכן"/>
      <sheetName val="וע. 11.2023  "/>
      <sheetName val="מצטבר וע.8.2023 מימוש  8.23"/>
      <sheetName val="וע. 8.2023  "/>
      <sheetName val="וע. 7.2023  להגשה כולל"/>
      <sheetName val="וע. 7.2023  תוספת"/>
      <sheetName val="מצטבר וע.6.2023מימוש  7.23"/>
      <sheetName val="תקציבים  הקפאות"/>
      <sheetName val="וע. 7.2023  להגשה"/>
      <sheetName val="וע. 7.2023  לאחר מנכל "/>
      <sheetName val="וע. 7.2023  לדיון מנכל "/>
      <sheetName val="מצטבר וע.6.2023מימוש  (2)"/>
      <sheetName val="מצטבר וע.6.2023מימוש "/>
      <sheetName val="וע. 6.2023  להגשה "/>
      <sheetName val="מצטבר אחרי וע. 5.2023מימוש 15.6"/>
      <sheetName val="מצט' אחרי וע. 5.2023מימוש 13.6"/>
      <sheetName val="מצטבר אחרי וע. 5.2023  מימוש"/>
      <sheetName val="וע. 5.2023  להגשה כולל"/>
      <sheetName val="וע. 5.2023  להגשה תוספת"/>
      <sheetName val="וע. 5.2023  להגשה"/>
      <sheetName val="וע. 5.2023  לדיון גזבר, מנכל"/>
      <sheetName val="מצטבר אחרי וע. 4.2023  מימוש"/>
      <sheetName val="מצטבר אחרי וע. 4.2023  "/>
      <sheetName val="מצטבר אחרי וע. 3.2023 "/>
      <sheetName val="וע. 4.2023  כולל"/>
      <sheetName val="וע. 4.2023 תוספת"/>
      <sheetName val="וע. 4.2023 "/>
      <sheetName val="וע. 3.2023 להגשה מימוש 4-5.2023"/>
      <sheetName val="וע. 3.2023 להגשה"/>
      <sheetName val="וע. 3.2023  (2)"/>
      <sheetName val="וע. 3.2023 "/>
      <sheetName val="מצטבר אחרי וע. 2.2023"/>
      <sheetName val="וע. 2.2023 מאוחד מימוש 3.2023"/>
      <sheetName val="וע. 1.2023 מימוש"/>
      <sheetName val="וע. 2.2023 מאוחד"/>
      <sheetName val="וע. 2.2023  (2)"/>
      <sheetName val="וע. 2.2023 "/>
      <sheetName val="וע. 1.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1">
          <cell r="C41">
            <v>3</v>
          </cell>
          <cell r="F41">
            <v>43975000</v>
          </cell>
          <cell r="G41">
            <v>36275000</v>
          </cell>
          <cell r="H41">
            <v>7700000</v>
          </cell>
          <cell r="I41">
            <v>17775000</v>
          </cell>
          <cell r="J41">
            <v>14266512</v>
          </cell>
          <cell r="K41">
            <v>107406</v>
          </cell>
          <cell r="L41">
            <v>399115</v>
          </cell>
          <cell r="M41">
            <v>506521</v>
          </cell>
          <cell r="N41">
            <v>14773033</v>
          </cell>
          <cell r="O41">
            <v>13260865</v>
          </cell>
          <cell r="P41">
            <v>15941102</v>
          </cell>
          <cell r="Q41">
            <v>3001967</v>
          </cell>
          <cell r="R41">
            <v>10258898</v>
          </cell>
          <cell r="S41">
            <v>6858898</v>
          </cell>
          <cell r="T41">
            <v>3400000</v>
          </cell>
          <cell r="U41">
            <v>3400000</v>
          </cell>
          <cell r="V41">
            <v>0</v>
          </cell>
          <cell r="W41">
            <v>0</v>
          </cell>
        </row>
      </sheetData>
      <sheetData sheetId="9">
        <row r="51">
          <cell r="C51">
            <v>14</v>
          </cell>
          <cell r="F51">
            <v>644740079</v>
          </cell>
          <cell r="G51">
            <v>622630365</v>
          </cell>
          <cell r="H51">
            <v>22109714</v>
          </cell>
          <cell r="I51">
            <v>259261438</v>
          </cell>
          <cell r="J51">
            <v>249570975</v>
          </cell>
          <cell r="K51">
            <v>0</v>
          </cell>
          <cell r="L51">
            <v>0</v>
          </cell>
          <cell r="M51">
            <v>0</v>
          </cell>
          <cell r="N51">
            <v>249570975</v>
          </cell>
          <cell r="O51">
            <v>207522978</v>
          </cell>
          <cell r="P51">
            <v>187646126</v>
          </cell>
          <cell r="Q51">
            <v>9690463</v>
          </cell>
          <cell r="R51">
            <v>197832515</v>
          </cell>
          <cell r="S51">
            <v>147651623</v>
          </cell>
          <cell r="T51">
            <v>50180892</v>
          </cell>
          <cell r="U51">
            <v>35490000</v>
          </cell>
          <cell r="V51">
            <v>3000000</v>
          </cell>
          <cell r="W51">
            <v>11690892</v>
          </cell>
        </row>
        <row r="63">
          <cell r="C63">
            <v>2</v>
          </cell>
          <cell r="F63">
            <v>9050000</v>
          </cell>
          <cell r="G63">
            <v>8100000</v>
          </cell>
          <cell r="H63">
            <v>950000</v>
          </cell>
          <cell r="I63">
            <v>1500000</v>
          </cell>
          <cell r="J63">
            <v>1155067</v>
          </cell>
          <cell r="K63">
            <v>0</v>
          </cell>
          <cell r="L63">
            <v>0</v>
          </cell>
          <cell r="M63">
            <v>0</v>
          </cell>
          <cell r="N63">
            <v>1155067</v>
          </cell>
          <cell r="O63">
            <v>6944933</v>
          </cell>
          <cell r="P63">
            <v>950000</v>
          </cell>
          <cell r="Q63">
            <v>344933</v>
          </cell>
          <cell r="R63">
            <v>6600000</v>
          </cell>
          <cell r="S63">
            <v>6600000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9">
          <cell r="C49">
            <v>12</v>
          </cell>
          <cell r="F49">
            <v>210211953</v>
          </cell>
          <cell r="G49">
            <v>210292000</v>
          </cell>
          <cell r="H49">
            <v>-80047</v>
          </cell>
          <cell r="I49">
            <v>109210000</v>
          </cell>
          <cell r="J49">
            <v>91510214</v>
          </cell>
          <cell r="K49">
            <v>0</v>
          </cell>
          <cell r="L49">
            <v>0</v>
          </cell>
          <cell r="M49">
            <v>0</v>
          </cell>
          <cell r="N49">
            <v>91510214</v>
          </cell>
          <cell r="O49">
            <v>36952528</v>
          </cell>
          <cell r="P49">
            <v>81749211</v>
          </cell>
          <cell r="Q49">
            <v>17699786</v>
          </cell>
          <cell r="R49">
            <v>19252742</v>
          </cell>
          <cell r="S49">
            <v>20779234</v>
          </cell>
          <cell r="T49">
            <v>-1526492</v>
          </cell>
          <cell r="U49">
            <v>998000</v>
          </cell>
          <cell r="V49">
            <v>-220000</v>
          </cell>
          <cell r="W49">
            <v>-2304492</v>
          </cell>
        </row>
      </sheetData>
      <sheetData sheetId="19"/>
      <sheetData sheetId="20"/>
      <sheetData sheetId="21"/>
      <sheetData sheetId="22">
        <row r="61">
          <cell r="C61">
            <v>23</v>
          </cell>
          <cell r="F61">
            <v>276154018</v>
          </cell>
          <cell r="G61">
            <v>254268705</v>
          </cell>
          <cell r="H61">
            <v>21885313</v>
          </cell>
          <cell r="I61">
            <v>126188705</v>
          </cell>
          <cell r="J61">
            <v>100599515</v>
          </cell>
          <cell r="K61">
            <v>107406</v>
          </cell>
          <cell r="L61">
            <v>730355</v>
          </cell>
          <cell r="M61">
            <v>837761</v>
          </cell>
          <cell r="N61">
            <v>101437276</v>
          </cell>
          <cell r="O61">
            <v>93535640</v>
          </cell>
          <cell r="P61">
            <v>81181102</v>
          </cell>
          <cell r="Q61">
            <v>24751429</v>
          </cell>
          <cell r="R61">
            <v>68784211</v>
          </cell>
          <cell r="S61">
            <v>37000000</v>
          </cell>
          <cell r="T61">
            <v>31784211</v>
          </cell>
          <cell r="U61">
            <v>23601606</v>
          </cell>
          <cell r="V61">
            <v>5470000</v>
          </cell>
          <cell r="W61">
            <v>2712605</v>
          </cell>
        </row>
        <row r="68">
          <cell r="C68">
            <v>1</v>
          </cell>
          <cell r="F68">
            <v>1000000</v>
          </cell>
          <cell r="G68">
            <v>0</v>
          </cell>
          <cell r="H68">
            <v>1000000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1000000</v>
          </cell>
          <cell r="P68">
            <v>0</v>
          </cell>
          <cell r="Q68">
            <v>0</v>
          </cell>
          <cell r="R68">
            <v>1000000</v>
          </cell>
          <cell r="S68">
            <v>0</v>
          </cell>
          <cell r="T68">
            <v>1000000</v>
          </cell>
          <cell r="U68">
            <v>0</v>
          </cell>
          <cell r="V68">
            <v>0</v>
          </cell>
          <cell r="W68">
            <v>1000000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44">
          <cell r="C44">
            <v>2</v>
          </cell>
          <cell r="F44">
            <v>1030000</v>
          </cell>
          <cell r="G44">
            <v>0</v>
          </cell>
          <cell r="H44">
            <v>1030000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1030000</v>
          </cell>
          <cell r="P44">
            <v>0</v>
          </cell>
          <cell r="Q44">
            <v>0</v>
          </cell>
          <cell r="R44">
            <v>1030000</v>
          </cell>
          <cell r="S44">
            <v>0</v>
          </cell>
          <cell r="T44">
            <v>1030000</v>
          </cell>
          <cell r="U44">
            <v>530000</v>
          </cell>
          <cell r="V44">
            <v>500000</v>
          </cell>
          <cell r="W44">
            <v>0</v>
          </cell>
        </row>
        <row r="82">
          <cell r="C82">
            <v>2</v>
          </cell>
          <cell r="F82">
            <v>1750000</v>
          </cell>
          <cell r="G82">
            <v>500000</v>
          </cell>
          <cell r="H82">
            <v>1250000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750000</v>
          </cell>
          <cell r="P82">
            <v>1000000</v>
          </cell>
          <cell r="Q82">
            <v>0</v>
          </cell>
          <cell r="R82">
            <v>750000</v>
          </cell>
          <cell r="S82">
            <v>500000</v>
          </cell>
          <cell r="T82">
            <v>250000</v>
          </cell>
          <cell r="U82">
            <v>250000</v>
          </cell>
          <cell r="V82">
            <v>0</v>
          </cell>
          <cell r="W82">
            <v>0</v>
          </cell>
        </row>
      </sheetData>
      <sheetData sheetId="30"/>
      <sheetData sheetId="31"/>
      <sheetData sheetId="32">
        <row r="52">
          <cell r="C52">
            <v>15</v>
          </cell>
          <cell r="F52">
            <v>303946240</v>
          </cell>
          <cell r="G52">
            <v>286886240</v>
          </cell>
          <cell r="H52">
            <v>17060000</v>
          </cell>
          <cell r="I52">
            <v>185756873</v>
          </cell>
          <cell r="J52">
            <v>169074006.99000001</v>
          </cell>
          <cell r="K52">
            <v>0</v>
          </cell>
          <cell r="L52">
            <v>2502652.42</v>
          </cell>
          <cell r="M52">
            <v>2502652.42</v>
          </cell>
          <cell r="N52">
            <v>171576659.41</v>
          </cell>
          <cell r="O52">
            <v>60614878</v>
          </cell>
          <cell r="P52">
            <v>71754702.590000004</v>
          </cell>
          <cell r="Q52">
            <v>14180213.59</v>
          </cell>
          <cell r="R52">
            <v>46434664.409999996</v>
          </cell>
          <cell r="S52">
            <v>35024664</v>
          </cell>
          <cell r="T52">
            <v>11410000.41</v>
          </cell>
          <cell r="U52">
            <v>-1768397.5899999999</v>
          </cell>
          <cell r="V52">
            <v>1600000</v>
          </cell>
          <cell r="W52">
            <v>11578398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80">
          <cell r="C80">
            <v>8</v>
          </cell>
          <cell r="F80">
            <v>36960000</v>
          </cell>
          <cell r="G80">
            <v>3200000</v>
          </cell>
          <cell r="H80">
            <v>33760000</v>
          </cell>
          <cell r="I80">
            <v>800000</v>
          </cell>
          <cell r="J80">
            <v>552536</v>
          </cell>
          <cell r="K80">
            <v>0</v>
          </cell>
          <cell r="L80">
            <v>30142</v>
          </cell>
          <cell r="M80">
            <v>30142</v>
          </cell>
          <cell r="N80">
            <v>582678</v>
          </cell>
          <cell r="O80">
            <v>14977322</v>
          </cell>
          <cell r="P80">
            <v>21400000</v>
          </cell>
          <cell r="Q80">
            <v>217322</v>
          </cell>
          <cell r="R80">
            <v>14760000</v>
          </cell>
          <cell r="S80">
            <v>500000</v>
          </cell>
          <cell r="T80">
            <v>14260000</v>
          </cell>
          <cell r="U80">
            <v>6550000</v>
          </cell>
          <cell r="V80">
            <v>0</v>
          </cell>
          <cell r="W80">
            <v>7710000</v>
          </cell>
        </row>
      </sheetData>
      <sheetData sheetId="40"/>
      <sheetData sheetId="41"/>
      <sheetData sheetId="42">
        <row r="47">
          <cell r="C47">
            <v>1</v>
          </cell>
          <cell r="F47">
            <v>500000</v>
          </cell>
          <cell r="G47">
            <v>0</v>
          </cell>
          <cell r="H47">
            <v>500000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500000</v>
          </cell>
          <cell r="P47">
            <v>0</v>
          </cell>
          <cell r="Q47">
            <v>0</v>
          </cell>
          <cell r="R47">
            <v>500000</v>
          </cell>
          <cell r="S47">
            <v>0</v>
          </cell>
          <cell r="T47">
            <v>500000</v>
          </cell>
          <cell r="U47">
            <v>500000</v>
          </cell>
          <cell r="V47">
            <v>0</v>
          </cell>
          <cell r="W4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צטבר כולל 11.2023 מעודכן"/>
    </sheetNames>
    <sheetDataSet>
      <sheetData sheetId="0">
        <row r="143">
          <cell r="C143">
            <v>13</v>
          </cell>
          <cell r="E143" t="str">
            <v>ועדה  2.11.23</v>
          </cell>
          <cell r="F143">
            <v>74012535</v>
          </cell>
          <cell r="G143">
            <v>73153002</v>
          </cell>
          <cell r="H143">
            <v>859533</v>
          </cell>
          <cell r="I143">
            <v>55523002</v>
          </cell>
          <cell r="J143">
            <v>47531611</v>
          </cell>
          <cell r="K143">
            <v>0</v>
          </cell>
          <cell r="L143">
            <v>0</v>
          </cell>
          <cell r="M143">
            <v>0</v>
          </cell>
          <cell r="N143">
            <v>47531611</v>
          </cell>
          <cell r="O143">
            <v>10400924</v>
          </cell>
          <cell r="P143">
            <v>16080000</v>
          </cell>
          <cell r="Q143">
            <v>7991391</v>
          </cell>
          <cell r="R143">
            <v>2409533</v>
          </cell>
          <cell r="S143">
            <v>2618000</v>
          </cell>
          <cell r="T143">
            <v>-208467</v>
          </cell>
          <cell r="U143">
            <v>-281123</v>
          </cell>
          <cell r="V143">
            <v>256250</v>
          </cell>
          <cell r="W143">
            <v>770000</v>
          </cell>
          <cell r="X143">
            <v>-953594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צטבר כולל 11.2023מעודכן סופי"/>
    </sheetNames>
    <sheetDataSet>
      <sheetData sheetId="0">
        <row r="148">
          <cell r="C148">
            <v>4</v>
          </cell>
          <cell r="E148" t="str">
            <v>ועדה  21.11.23</v>
          </cell>
          <cell r="F148">
            <v>72700000</v>
          </cell>
          <cell r="G148">
            <v>62000000</v>
          </cell>
          <cell r="H148">
            <v>10700000</v>
          </cell>
          <cell r="I148">
            <v>28500000</v>
          </cell>
          <cell r="J148">
            <v>28022737</v>
          </cell>
          <cell r="K148">
            <v>0</v>
          </cell>
          <cell r="L148">
            <v>0</v>
          </cell>
          <cell r="M148">
            <v>0</v>
          </cell>
          <cell r="N148">
            <v>28022737</v>
          </cell>
          <cell r="O148">
            <v>42677263</v>
          </cell>
          <cell r="P148">
            <v>2000000</v>
          </cell>
          <cell r="Q148">
            <v>477263</v>
          </cell>
          <cell r="R148">
            <v>42200000</v>
          </cell>
          <cell r="S148">
            <v>32200000</v>
          </cell>
          <cell r="T148">
            <v>10000000</v>
          </cell>
          <cell r="U148">
            <v>0</v>
          </cell>
          <cell r="V148">
            <v>10000000</v>
          </cell>
          <cell r="W148">
            <v>0</v>
          </cell>
          <cell r="X14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לסגירה 8.2023  (2)"/>
      <sheetName val="סגירה 12.2023"/>
      <sheetName val="סגירה 10.2023מקור מימון מצטבר "/>
      <sheetName val="סגירה 10.2023אגף מצטבר "/>
      <sheetName val="סגירה 10.2023רצף מצטבר "/>
      <sheetName val="סגירה 10.2023 מעודכן מקור מימון"/>
      <sheetName val="סגירה 10.2023 מעודכן"/>
      <sheetName val="סגירה 10.2023  אגף"/>
      <sheetName val="סגירה 10.2023  מקור מימון"/>
      <sheetName val="סגירה 10.2023 "/>
      <sheetName val="סגירה 7.2023מקור מצטבר "/>
      <sheetName val="סגירה 7.2023  רצף מצטבר"/>
      <sheetName val="סגירה 7.2023 מקור"/>
      <sheetName val="סגירה 7.2023  רצף"/>
      <sheetName val="סגירה 6.2023 "/>
      <sheetName val="לסגירה 1.2023"/>
      <sheetName val="לסגירה 8.2023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H10">
            <v>158046.91999999993</v>
          </cell>
        </row>
        <row r="18">
          <cell r="H18">
            <v>43746.500000000087</v>
          </cell>
        </row>
      </sheetData>
      <sheetData sheetId="9"/>
      <sheetData sheetId="10">
        <row r="19">
          <cell r="H19">
            <v>149693.78000000093</v>
          </cell>
        </row>
        <row r="25">
          <cell r="H25">
            <v>50007.33000000022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6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1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1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1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14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1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1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T10" sqref="T10"/>
    </sheetView>
  </sheetViews>
  <sheetFormatPr defaultRowHeight="13.2"/>
  <sheetData/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71" customWidth="1"/>
    <col min="4" max="4" width="33" style="71" customWidth="1"/>
    <col min="5" max="5" width="9.5546875" style="71" customWidth="1"/>
    <col min="6" max="6" width="26.6640625" style="71" customWidth="1"/>
    <col min="7" max="7" width="27.109375" style="71" customWidth="1"/>
    <col min="8" max="9" width="12.109375" style="71" customWidth="1"/>
    <col min="10" max="10" width="7.88671875" style="71" customWidth="1"/>
    <col min="11" max="16384" width="9.109375" style="71"/>
  </cols>
  <sheetData>
    <row r="1" spans="1:17" ht="21">
      <c r="E1" s="72"/>
    </row>
    <row r="2" spans="1:17" ht="15.6">
      <c r="A2" s="73">
        <v>3.7</v>
      </c>
      <c r="C2" s="73" t="s">
        <v>176</v>
      </c>
      <c r="D2" s="73"/>
      <c r="E2" s="73"/>
      <c r="F2" s="73"/>
      <c r="G2" s="73"/>
      <c r="H2" s="73"/>
      <c r="I2" s="73"/>
      <c r="J2" s="73"/>
      <c r="K2" s="73"/>
      <c r="L2" s="73"/>
    </row>
    <row r="3" spans="1:17" ht="16.2" thickBot="1"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1:17" ht="20.100000000000001" customHeight="1">
      <c r="A4" s="73"/>
      <c r="C4" s="91" t="s">
        <v>135</v>
      </c>
      <c r="D4" s="92"/>
      <c r="E4" s="93"/>
      <c r="F4" s="94" t="s">
        <v>1248</v>
      </c>
      <c r="G4" s="113" t="s">
        <v>772</v>
      </c>
      <c r="M4" s="73"/>
      <c r="N4" s="73"/>
      <c r="O4" s="73"/>
    </row>
    <row r="5" spans="1:17" ht="20.100000000000001" customHeight="1">
      <c r="A5" s="73"/>
      <c r="C5" s="96" t="s">
        <v>177</v>
      </c>
      <c r="D5" s="97"/>
      <c r="E5" s="98"/>
      <c r="F5" s="99">
        <f>'פרוט מקורות אחרים'!M14/1000</f>
        <v>29.832999999999998</v>
      </c>
      <c r="G5" s="100">
        <v>1340</v>
      </c>
      <c r="M5" s="73"/>
      <c r="N5" s="73"/>
      <c r="O5" s="73"/>
    </row>
    <row r="6" spans="1:17" ht="20.100000000000001" customHeight="1">
      <c r="A6" s="73"/>
      <c r="C6" s="96" t="s">
        <v>178</v>
      </c>
      <c r="D6" s="102"/>
      <c r="E6" s="98"/>
      <c r="F6" s="99">
        <f>'פרוט מקורות אחרים'!D14/1000</f>
        <v>39839.264000000003</v>
      </c>
      <c r="G6" s="100">
        <v>77104</v>
      </c>
      <c r="M6" s="73"/>
      <c r="N6" s="73"/>
      <c r="O6" s="73"/>
    </row>
    <row r="7" spans="1:17" ht="20.100000000000001" hidden="1" customHeight="1">
      <c r="A7" s="73"/>
      <c r="C7" s="96" t="s">
        <v>179</v>
      </c>
      <c r="D7" s="97"/>
      <c r="E7" s="98"/>
      <c r="F7" s="99"/>
      <c r="G7" s="100"/>
      <c r="M7" s="73"/>
      <c r="N7" s="73"/>
      <c r="O7" s="73"/>
    </row>
    <row r="8" spans="1:17" ht="20.100000000000001" customHeight="1">
      <c r="A8" s="73"/>
      <c r="C8" s="96" t="s">
        <v>180</v>
      </c>
      <c r="D8" s="97"/>
      <c r="E8" s="98"/>
      <c r="F8" s="99">
        <f>'פרוט מקורות אחרים'!B14/1000</f>
        <v>34041.324999999997</v>
      </c>
      <c r="G8" s="100">
        <v>627</v>
      </c>
      <c r="M8" s="73"/>
      <c r="N8" s="73"/>
      <c r="O8" s="73"/>
    </row>
    <row r="9" spans="1:17" ht="20.100000000000001" customHeight="1">
      <c r="A9" s="73"/>
      <c r="C9" s="96" t="s">
        <v>163</v>
      </c>
      <c r="D9" s="114"/>
      <c r="E9" s="115"/>
      <c r="F9" s="99">
        <f>('פרוט מקורות אחרים'!C14+'פרוט מקורות אחרים'!E14+'פרוט מקורות אחרים'!F14+'פרוט מקורות אחרים'!I14+'פרוט מקורות אחרים'!J14+'פרוט מקורות אחרים'!K14+'פרוט מקורות אחרים'!L14)/1000+'פרוט מקורות אחרים'!G14/1000</f>
        <v>14159.861000000001</v>
      </c>
      <c r="G9" s="100">
        <v>6414</v>
      </c>
      <c r="L9" s="106"/>
      <c r="M9" s="73"/>
      <c r="N9" s="73"/>
      <c r="O9" s="73"/>
    </row>
    <row r="10" spans="1:17" ht="20.100000000000001" customHeight="1">
      <c r="A10" s="73"/>
      <c r="C10" s="96" t="s">
        <v>181</v>
      </c>
      <c r="D10" s="97"/>
      <c r="E10" s="98"/>
      <c r="F10" s="99">
        <f>'פרוט מקורות אחרים'!H14/1000</f>
        <v>10847.793</v>
      </c>
      <c r="G10" s="100">
        <v>4000</v>
      </c>
      <c r="M10" s="73"/>
      <c r="N10" s="73"/>
      <c r="O10" s="73"/>
    </row>
    <row r="11" spans="1:17" ht="20.100000000000001" customHeight="1">
      <c r="A11" s="73"/>
      <c r="C11" s="96" t="s">
        <v>182</v>
      </c>
      <c r="D11" s="102"/>
      <c r="E11" s="98"/>
      <c r="F11" s="99">
        <f>'פרוט מקורות אחרים'!N14/1000</f>
        <v>10375.929</v>
      </c>
      <c r="G11" s="100">
        <v>6917</v>
      </c>
      <c r="M11" s="73"/>
      <c r="N11" s="73"/>
      <c r="O11" s="73"/>
    </row>
    <row r="12" spans="1:17" ht="20.100000000000001" customHeight="1" thickBot="1">
      <c r="A12" s="73"/>
      <c r="C12" s="107" t="s">
        <v>84</v>
      </c>
      <c r="D12" s="108"/>
      <c r="E12" s="109"/>
      <c r="F12" s="110">
        <f>SUM(F5:F11)</f>
        <v>109294.005</v>
      </c>
      <c r="G12" s="116">
        <f>SUM(G5:G11)</f>
        <v>96402</v>
      </c>
      <c r="M12" s="73"/>
      <c r="N12" s="73"/>
      <c r="O12" s="73"/>
    </row>
    <row r="13" spans="1:17" ht="15.6">
      <c r="C13" s="73"/>
      <c r="D13" s="73"/>
      <c r="E13" s="73"/>
      <c r="F13" s="73"/>
      <c r="G13" s="73"/>
      <c r="H13" s="73"/>
      <c r="I13" s="73"/>
      <c r="J13" s="73"/>
      <c r="K13" s="73"/>
      <c r="L13" s="237"/>
    </row>
    <row r="14" spans="1:17" ht="15.6">
      <c r="B14" s="71" t="s">
        <v>183</v>
      </c>
      <c r="C14" s="73" t="s">
        <v>184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</row>
    <row r="15" spans="1:17" ht="15.6">
      <c r="C15" s="73" t="s">
        <v>185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1:17" ht="15.6"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</row>
    <row r="17" spans="1:17" ht="15.6">
      <c r="A17" s="73"/>
      <c r="B17" s="73"/>
      <c r="C17" s="155" t="s">
        <v>354</v>
      </c>
      <c r="D17" s="155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15.6">
      <c r="A18" s="73"/>
      <c r="B18" s="73"/>
      <c r="C18" s="155"/>
      <c r="D18" s="155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</row>
    <row r="19" spans="1:17" ht="15.6">
      <c r="A19" s="73">
        <v>3.8</v>
      </c>
      <c r="B19" s="74" t="s">
        <v>186</v>
      </c>
    </row>
    <row r="20" spans="1:17" ht="15" customHeight="1">
      <c r="B20" s="73"/>
      <c r="C20" s="73"/>
      <c r="D20" s="73"/>
      <c r="E20" s="295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</row>
    <row r="21" spans="1:17" ht="20.100000000000001" customHeight="1">
      <c r="B21" s="73" t="s">
        <v>187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</row>
    <row r="22" spans="1:17" ht="20.100000000000001" customHeight="1">
      <c r="B22" s="73" t="s">
        <v>188</v>
      </c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</row>
    <row r="23" spans="1:17" ht="20.100000000000001" customHeight="1">
      <c r="B23" s="73" t="s">
        <v>1268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</row>
    <row r="24" spans="1:17" ht="9.6" customHeight="1"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</row>
    <row r="25" spans="1:17" ht="20.100000000000001" customHeight="1">
      <c r="B25" s="347" t="s">
        <v>1627</v>
      </c>
      <c r="C25" s="347"/>
      <c r="D25" s="347"/>
      <c r="E25" s="155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</row>
    <row r="26" spans="1:17" ht="15.6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</row>
    <row r="27" spans="1:17" s="798" customFormat="1" ht="15.6">
      <c r="A27" s="345">
        <v>3.9</v>
      </c>
      <c r="B27" s="797" t="s">
        <v>1241</v>
      </c>
      <c r="C27" s="345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</row>
    <row r="28" spans="1:17" s="798" customFormat="1" ht="15.6">
      <c r="A28" s="345"/>
      <c r="B28" s="797"/>
      <c r="C28" s="345"/>
      <c r="D28" s="345"/>
      <c r="E28" s="345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</row>
    <row r="29" spans="1:17" s="798" customFormat="1" ht="15.6">
      <c r="A29" s="345"/>
      <c r="B29" s="345" t="s">
        <v>1591</v>
      </c>
      <c r="C29" s="345"/>
      <c r="D29" s="345"/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</row>
    <row r="30" spans="1:17" s="798" customFormat="1" ht="15.6">
      <c r="A30" s="345"/>
      <c r="B30" s="345" t="s">
        <v>1489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</row>
    <row r="31" spans="1:17" s="798" customFormat="1" ht="15.6"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</row>
    <row r="32" spans="1:17" s="798" customFormat="1" ht="15.6">
      <c r="A32" s="345"/>
      <c r="B32" s="345" t="s">
        <v>1602</v>
      </c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</row>
    <row r="33" spans="2:17" s="798" customFormat="1" ht="8.4" customHeight="1">
      <c r="E33" s="345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</row>
    <row r="34" spans="2:17" s="798" customFormat="1" ht="20.100000000000001" customHeight="1">
      <c r="B34" s="347" t="s">
        <v>1629</v>
      </c>
      <c r="C34" s="347"/>
      <c r="D34" s="347"/>
      <c r="E34" s="347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4"/>
  <sheetViews>
    <sheetView rightToLeft="1" workbookViewId="0">
      <selection activeCell="T10" sqref="T10"/>
    </sheetView>
  </sheetViews>
  <sheetFormatPr defaultColWidth="9.109375" defaultRowHeight="13.8"/>
  <cols>
    <col min="1" max="3" width="4.109375" style="163" customWidth="1"/>
    <col min="4" max="4" width="33" style="163" customWidth="1"/>
    <col min="5" max="9" width="12.109375" style="163" customWidth="1"/>
    <col min="10" max="10" width="7.88671875" style="163" customWidth="1"/>
    <col min="11" max="16384" width="9.109375" style="163"/>
  </cols>
  <sheetData>
    <row r="3" spans="1:17" ht="21">
      <c r="E3" s="164"/>
    </row>
    <row r="4" spans="1:17" ht="15.6">
      <c r="A4" s="165"/>
      <c r="C4" s="165"/>
      <c r="D4" s="165"/>
      <c r="E4" s="165"/>
      <c r="F4" s="165"/>
      <c r="G4" s="165"/>
      <c r="H4" s="165"/>
      <c r="I4" s="165"/>
      <c r="J4" s="165"/>
      <c r="K4" s="165"/>
      <c r="L4" s="165"/>
    </row>
    <row r="5" spans="1:17" ht="15.6">
      <c r="C5" s="165"/>
      <c r="D5" s="165"/>
      <c r="E5" s="165"/>
      <c r="F5" s="165"/>
      <c r="G5" s="165"/>
      <c r="H5" s="165"/>
      <c r="I5" s="165"/>
      <c r="J5" s="165"/>
      <c r="K5" s="165"/>
      <c r="L5" s="165"/>
    </row>
    <row r="6" spans="1:17" ht="20.100000000000001" customHeight="1">
      <c r="A6" s="165"/>
      <c r="C6" s="166"/>
      <c r="D6" s="167"/>
      <c r="F6" s="168"/>
      <c r="G6" s="168"/>
      <c r="M6" s="165"/>
      <c r="N6" s="165"/>
      <c r="O6" s="165"/>
    </row>
    <row r="7" spans="1:17" ht="20.100000000000001" customHeight="1">
      <c r="A7" s="165"/>
      <c r="C7" s="165"/>
      <c r="D7" s="165"/>
      <c r="F7" s="169"/>
      <c r="G7" s="169"/>
      <c r="M7" s="165"/>
      <c r="N7" s="165"/>
      <c r="O7" s="165"/>
    </row>
    <row r="8" spans="1:17" ht="20.100000000000001" customHeight="1">
      <c r="A8" s="165"/>
      <c r="C8" s="165"/>
      <c r="D8" s="165"/>
      <c r="F8" s="169"/>
      <c r="G8" s="169"/>
      <c r="M8" s="165"/>
      <c r="N8" s="165"/>
      <c r="O8" s="165"/>
    </row>
    <row r="9" spans="1:17" ht="20.100000000000001" customHeight="1">
      <c r="A9" s="165"/>
      <c r="C9" s="165"/>
      <c r="D9" s="165"/>
      <c r="F9" s="169"/>
      <c r="G9" s="169"/>
      <c r="M9" s="165"/>
      <c r="N9" s="165"/>
      <c r="O9" s="165"/>
    </row>
    <row r="10" spans="1:17" ht="20.100000000000001" customHeight="1">
      <c r="A10" s="165"/>
      <c r="C10" s="165"/>
      <c r="D10" s="165"/>
      <c r="F10" s="169"/>
      <c r="G10" s="169"/>
      <c r="M10" s="165"/>
      <c r="N10" s="165"/>
      <c r="O10" s="165"/>
    </row>
    <row r="11" spans="1:17" ht="20.100000000000001" customHeight="1">
      <c r="A11" s="165"/>
      <c r="C11" s="165"/>
      <c r="D11" s="166"/>
      <c r="E11" s="170"/>
      <c r="F11" s="169"/>
      <c r="G11" s="169"/>
      <c r="L11" s="169"/>
      <c r="M11" s="165"/>
      <c r="N11" s="165"/>
      <c r="O11" s="165"/>
    </row>
    <row r="12" spans="1:17" ht="20.100000000000001" customHeight="1">
      <c r="A12" s="165"/>
      <c r="C12" s="165"/>
      <c r="D12" s="165"/>
      <c r="F12" s="169"/>
      <c r="G12" s="169"/>
      <c r="M12" s="165"/>
      <c r="N12" s="165"/>
      <c r="O12" s="165"/>
    </row>
    <row r="13" spans="1:17" ht="20.100000000000001" customHeight="1">
      <c r="A13" s="165"/>
      <c r="C13" s="165"/>
      <c r="D13" s="165"/>
      <c r="F13" s="169"/>
      <c r="G13" s="169"/>
      <c r="M13" s="165"/>
      <c r="N13" s="165"/>
      <c r="O13" s="165"/>
    </row>
    <row r="14" spans="1:17" ht="20.100000000000001" customHeight="1">
      <c r="A14" s="165"/>
      <c r="C14" s="166"/>
      <c r="D14" s="165"/>
      <c r="F14" s="171"/>
      <c r="G14" s="168"/>
      <c r="M14" s="165"/>
      <c r="N14" s="165"/>
      <c r="O14" s="165"/>
    </row>
    <row r="15" spans="1:17" ht="15.6">
      <c r="C15" s="165"/>
      <c r="D15" s="165"/>
      <c r="E15" s="165"/>
      <c r="F15" s="165"/>
      <c r="G15" s="165"/>
      <c r="H15" s="165"/>
      <c r="I15" s="165"/>
      <c r="J15" s="165"/>
      <c r="K15" s="165"/>
      <c r="L15" s="165"/>
    </row>
    <row r="16" spans="1:17" ht="15.6"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</row>
    <row r="17" spans="1:17" ht="15.6"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</row>
    <row r="18" spans="1:17" ht="15.6"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</row>
    <row r="19" spans="1:17" ht="15.6" hidden="1">
      <c r="A19" s="172"/>
      <c r="B19" s="173"/>
    </row>
    <row r="20" spans="1:17" ht="15.6" hidden="1"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</row>
    <row r="21" spans="1:17" ht="22.8" hidden="1">
      <c r="A21" s="165"/>
      <c r="B21" s="165"/>
      <c r="C21" s="165"/>
      <c r="D21" s="165"/>
      <c r="E21" s="165"/>
      <c r="F21" s="165"/>
      <c r="G21" s="165"/>
      <c r="H21" s="165"/>
      <c r="I21" s="174"/>
      <c r="J21" s="165"/>
      <c r="K21" s="165"/>
      <c r="L21" s="165"/>
      <c r="M21" s="165"/>
      <c r="N21" s="165"/>
      <c r="O21" s="165"/>
      <c r="P21" s="165"/>
      <c r="Q21" s="165"/>
    </row>
    <row r="22" spans="1:17" ht="15.6" hidden="1"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</row>
    <row r="23" spans="1:17" ht="15.6" hidden="1"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</row>
    <row r="24" spans="1:17" ht="15.6" hidden="1"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</row>
    <row r="25" spans="1:17" ht="15.6" hidden="1"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</row>
    <row r="26" spans="1:17" ht="15.6" hidden="1"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</row>
    <row r="27" spans="1:17" ht="15.6" hidden="1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</row>
    <row r="28" spans="1:17" ht="15.6" hidden="1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</row>
    <row r="29" spans="1:17" ht="15.6" hidden="1">
      <c r="A29" s="165"/>
      <c r="B29" s="165"/>
      <c r="C29" s="165"/>
      <c r="D29" s="165"/>
      <c r="E29" s="165"/>
      <c r="F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</row>
    <row r="30" spans="1:17" ht="15.6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</row>
    <row r="31" spans="1:17" ht="20.100000000000001" customHeight="1"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</row>
    <row r="32" spans="1:17" ht="15.6">
      <c r="A32" s="172"/>
      <c r="B32" s="173"/>
    </row>
    <row r="33" spans="1:17" ht="20.100000000000001" customHeight="1"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</row>
    <row r="34" spans="1:17" ht="20.100000000000001" customHeight="1"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</row>
    <row r="35" spans="1:17" ht="20.100000000000001" customHeight="1"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</row>
    <row r="36" spans="1:17" ht="20.100000000000001" customHeight="1"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</row>
    <row r="37" spans="1:17" ht="20.100000000000001" customHeight="1"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</row>
    <row r="38" spans="1:17" ht="20.100000000000001" customHeight="1"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</row>
    <row r="39" spans="1:17" ht="15.6">
      <c r="A39" s="165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</row>
    <row r="40" spans="1:17" ht="15.6">
      <c r="A40" s="165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</row>
    <row r="41" spans="1:17" ht="15.6">
      <c r="A41" s="165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</row>
    <row r="42" spans="1:17" ht="15.6">
      <c r="A42" s="172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</row>
    <row r="43" spans="1:17" ht="15.6"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</row>
    <row r="44" spans="1:17" ht="15.6"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46"/>
  <sheetViews>
    <sheetView showZeros="0" rightToLeft="1" zoomScaleNormal="100" workbookViewId="0">
      <pane xSplit="1" ySplit="5" topLeftCell="B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5.6"/>
  <cols>
    <col min="1" max="1" width="12" style="35" customWidth="1"/>
    <col min="2" max="2" width="13.109375" style="36" bestFit="1" customWidth="1"/>
    <col min="3" max="3" width="13" style="36" customWidth="1"/>
    <col min="4" max="4" width="11.44140625" style="36" customWidth="1"/>
    <col min="5" max="5" width="13.6640625" style="36" hidden="1" customWidth="1"/>
    <col min="6" max="6" width="14.33203125" style="36" hidden="1" customWidth="1"/>
    <col min="7" max="9" width="11.109375" style="36" hidden="1" customWidth="1"/>
    <col min="10" max="10" width="12.6640625" style="31" customWidth="1"/>
    <col min="11" max="11" width="9.44140625" style="36" customWidth="1"/>
    <col min="12" max="12" width="11.5546875" style="36" customWidth="1"/>
    <col min="13" max="13" width="13.33203125" style="36" customWidth="1"/>
    <col min="14" max="14" width="12.6640625" style="31" hidden="1" customWidth="1"/>
    <col min="15" max="17" width="11.109375" style="36" hidden="1" customWidth="1"/>
    <col min="18" max="18" width="11.6640625" style="36" customWidth="1"/>
    <col min="19" max="19" width="11.44140625" style="36" customWidth="1"/>
    <col min="20" max="20" width="11.33203125" style="36" customWidth="1"/>
    <col min="21" max="21" width="10.6640625" style="36" customWidth="1"/>
    <col min="22" max="22" width="9" style="36" customWidth="1"/>
    <col min="23" max="23" width="10.33203125" style="36" customWidth="1"/>
    <col min="24" max="24" width="9.6640625" style="36" hidden="1" customWidth="1"/>
    <col min="25" max="25" width="11.44140625" style="36" customWidth="1"/>
    <col min="26" max="26" width="7.5546875" style="33" hidden="1" customWidth="1"/>
    <col min="27" max="33" width="10.6640625" style="22" customWidth="1"/>
    <col min="34" max="34" width="11.6640625" style="22" customWidth="1"/>
    <col min="35" max="35" width="11.109375" style="22" bestFit="1" customWidth="1"/>
    <col min="36" max="41" width="10.6640625" style="22" customWidth="1"/>
    <col min="42" max="16384" width="9.109375" style="33"/>
  </cols>
  <sheetData>
    <row r="2" spans="1:41" s="23" customFormat="1" ht="22.8">
      <c r="A2" s="208" t="s">
        <v>562</v>
      </c>
      <c r="B2" s="26"/>
      <c r="C2" s="26"/>
      <c r="D2" s="26"/>
      <c r="E2" s="26"/>
      <c r="F2" s="343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1:41" s="233" customFormat="1" ht="20.100000000000001" customHeight="1">
      <c r="A3" s="231"/>
      <c r="B3" s="202"/>
      <c r="C3" s="232"/>
      <c r="D3" s="232"/>
      <c r="E3" s="232"/>
      <c r="F3" s="232"/>
      <c r="G3" s="232"/>
      <c r="H3" s="232"/>
      <c r="I3" s="23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</row>
    <row r="4" spans="1:41" s="28" customFormat="1">
      <c r="A4" s="27"/>
      <c r="B4" s="878" t="s">
        <v>78</v>
      </c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330"/>
      <c r="Q4" s="330"/>
      <c r="R4" s="878" t="s">
        <v>79</v>
      </c>
      <c r="S4" s="878"/>
      <c r="T4" s="878"/>
      <c r="U4" s="878"/>
      <c r="V4" s="878"/>
      <c r="W4" s="878"/>
      <c r="X4" s="878"/>
      <c r="Y4" s="878"/>
      <c r="Z4" s="331" t="s">
        <v>295</v>
      </c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1:41" s="22" customFormat="1" ht="63" customHeight="1">
      <c r="A5" s="27" t="s">
        <v>561</v>
      </c>
      <c r="B5" s="27" t="s">
        <v>80</v>
      </c>
      <c r="C5" s="27" t="s">
        <v>4</v>
      </c>
      <c r="D5" s="27" t="s">
        <v>81</v>
      </c>
      <c r="E5" s="15" t="s">
        <v>88</v>
      </c>
      <c r="F5" s="15" t="s">
        <v>7</v>
      </c>
      <c r="G5" s="15" t="s">
        <v>8</v>
      </c>
      <c r="H5" s="15" t="s">
        <v>9</v>
      </c>
      <c r="I5" s="15" t="s">
        <v>10</v>
      </c>
      <c r="J5" s="2" t="s">
        <v>11</v>
      </c>
      <c r="K5" s="2" t="s">
        <v>917</v>
      </c>
      <c r="L5" s="2" t="s">
        <v>918</v>
      </c>
      <c r="M5" s="2" t="s">
        <v>919</v>
      </c>
      <c r="N5" s="2" t="s">
        <v>12</v>
      </c>
      <c r="O5" s="2" t="s">
        <v>920</v>
      </c>
      <c r="P5" s="2" t="s">
        <v>921</v>
      </c>
      <c r="Q5" s="2" t="s">
        <v>922</v>
      </c>
      <c r="R5" s="2" t="s">
        <v>923</v>
      </c>
      <c r="S5" s="2" t="s">
        <v>924</v>
      </c>
      <c r="T5" s="15" t="s">
        <v>13</v>
      </c>
      <c r="U5" s="15" t="s">
        <v>14</v>
      </c>
      <c r="V5" s="15" t="s">
        <v>15</v>
      </c>
      <c r="W5" s="15" t="s">
        <v>214</v>
      </c>
      <c r="X5" s="15" t="s">
        <v>502</v>
      </c>
      <c r="Y5" s="13" t="s">
        <v>75</v>
      </c>
      <c r="Z5" s="313"/>
    </row>
    <row r="6" spans="1:41" s="22" customFormat="1">
      <c r="A6" s="27"/>
      <c r="B6" s="27"/>
      <c r="C6" s="27"/>
      <c r="D6" s="27"/>
      <c r="E6" s="27"/>
      <c r="F6" s="15"/>
      <c r="G6" s="15"/>
      <c r="H6" s="15"/>
      <c r="I6" s="15"/>
      <c r="J6" s="21"/>
      <c r="K6" s="2"/>
      <c r="L6" s="27"/>
      <c r="M6" s="27"/>
      <c r="N6" s="21"/>
      <c r="O6" s="15"/>
      <c r="P6" s="15"/>
      <c r="Q6" s="15"/>
      <c r="R6" s="15"/>
      <c r="S6" s="27"/>
      <c r="T6" s="27"/>
      <c r="U6" s="27"/>
      <c r="V6" s="15"/>
      <c r="W6" s="15"/>
      <c r="X6" s="15"/>
      <c r="Y6" s="27"/>
      <c r="Z6" s="313"/>
    </row>
    <row r="7" spans="1:41" s="22" customFormat="1" ht="32.1" customHeight="1">
      <c r="A7" s="2" t="s">
        <v>316</v>
      </c>
      <c r="B7" s="9">
        <f>'תקציב הנדסה 2024'!D65</f>
        <v>382469372</v>
      </c>
      <c r="C7" s="9">
        <f>'תקציב הנדסה 2024'!E65</f>
        <v>368254490</v>
      </c>
      <c r="D7" s="9">
        <f>'תקציב הנדסה 2024'!F65</f>
        <v>14214882</v>
      </c>
      <c r="E7" s="9">
        <f>'תקציב הנדסה 2024'!G65</f>
        <v>138033668</v>
      </c>
      <c r="F7" s="9">
        <f>'תקציב הנדסה 2024'!H65</f>
        <v>112863046</v>
      </c>
      <c r="G7" s="9">
        <f>'תקציב הנדסה 2024'!I65</f>
        <v>2835671</v>
      </c>
      <c r="H7" s="9">
        <f>'תקציב הנדסה 2024'!J65</f>
        <v>9659935</v>
      </c>
      <c r="I7" s="9">
        <f>'תקציב הנדסה 2024'!K65</f>
        <v>12495606</v>
      </c>
      <c r="J7" s="9">
        <f>'תקציב הנדסה 2024'!L65</f>
        <v>125358652</v>
      </c>
      <c r="K7" s="9">
        <f>'תקציב הנדסה 2024'!M65</f>
        <v>267243</v>
      </c>
      <c r="L7" s="9">
        <f>'תקציב הנדסה 2024'!N65</f>
        <v>14068800</v>
      </c>
      <c r="M7" s="9">
        <f>'תקציב הנדסה 2024'!O65</f>
        <v>242774677</v>
      </c>
      <c r="N7" s="9">
        <f>'תקציב הנדסה 2024'!P65</f>
        <v>12675016</v>
      </c>
      <c r="O7" s="9">
        <f>'תקציב הנדסה 2024'!Q65</f>
        <v>1140000</v>
      </c>
      <c r="P7" s="9">
        <f>'תקציב הנדסה 2024'!R65</f>
        <v>0</v>
      </c>
      <c r="Q7" s="9">
        <f>'תקציב הנדסה 2024'!S65</f>
        <v>1140000</v>
      </c>
      <c r="R7" s="9">
        <f>'תקציב הנדסה 2024'!T65</f>
        <v>13547773</v>
      </c>
      <c r="S7" s="9">
        <f>'תקציב הנדסה 2024'!U65</f>
        <v>521027</v>
      </c>
      <c r="T7" s="9">
        <f>'תקציב הנדסה 2024'!V65</f>
        <v>791194</v>
      </c>
      <c r="U7" s="9">
        <f>'תקציב הנדסה 2024'!W65</f>
        <v>-750000</v>
      </c>
      <c r="V7" s="9">
        <f>'תקציב הנדסה 2024'!X65</f>
        <v>0</v>
      </c>
      <c r="W7" s="9">
        <f>'תקציב הנדסה 2024'!Y65</f>
        <v>0</v>
      </c>
      <c r="X7" s="9">
        <f>'תקציב הנדסה 2024'!Z65</f>
        <v>0</v>
      </c>
      <c r="Y7" s="9">
        <f>'תקציב הנדסה 2024'!AA65</f>
        <v>479833</v>
      </c>
      <c r="Z7" s="9">
        <f>'תקציב הנדסה 2024'!A65</f>
        <v>60</v>
      </c>
    </row>
    <row r="8" spans="1:41" s="31" customFormat="1" ht="36.6" customHeight="1">
      <c r="A8" s="2" t="s">
        <v>171</v>
      </c>
      <c r="B8" s="29">
        <f>'תקציב החברה לפיתוח 2024'!D133</f>
        <v>3899445537</v>
      </c>
      <c r="C8" s="29">
        <f>'תקציב החברה לפיתוח 2024'!E133</f>
        <v>3502520292</v>
      </c>
      <c r="D8" s="29">
        <f>'תקציב החברה לפיתוח 2024'!F133</f>
        <v>396925245</v>
      </c>
      <c r="E8" s="29">
        <f>'תקציב החברה לפיתוח 2024'!G133</f>
        <v>1854025664</v>
      </c>
      <c r="F8" s="29">
        <f>'תקציב החברה לפיתוח 2024'!H133</f>
        <v>1826049527</v>
      </c>
      <c r="G8" s="29">
        <f>'תקציב החברה לפיתוח 2024'!I133</f>
        <v>449944</v>
      </c>
      <c r="H8" s="29">
        <f>'תקציב החברה לפיתוח 2024'!J133</f>
        <v>1996222</v>
      </c>
      <c r="I8" s="29">
        <f>'תקציב החברה לפיתוח 2024'!K133</f>
        <v>2446166</v>
      </c>
      <c r="J8" s="29">
        <f>'תקציב החברה לפיתוח 2024'!L133</f>
        <v>1828495693</v>
      </c>
      <c r="K8" s="29">
        <f>'תקציב החברה לפיתוח 2024'!M133</f>
        <v>677795</v>
      </c>
      <c r="L8" s="29">
        <f>'תקציב החברה לפיתוח 2024'!N133</f>
        <v>485183155</v>
      </c>
      <c r="M8" s="29">
        <f>'תקציב החברה לפיתוח 2024'!O133</f>
        <v>1585088894</v>
      </c>
      <c r="N8" s="29">
        <f>'תקציב החברה לפיתוח 2024'!P133</f>
        <v>25529971</v>
      </c>
      <c r="O8" s="29">
        <f>'תקציב החברה לפיתוח 2024'!Q133</f>
        <v>97530155</v>
      </c>
      <c r="P8" s="29">
        <f>'תקציב החברה לפיתוח 2024'!R133</f>
        <v>7500000</v>
      </c>
      <c r="Q8" s="29">
        <f>'תקציב החברה לפיתוח 2024'!S133</f>
        <v>105030155</v>
      </c>
      <c r="R8" s="29">
        <f>'תקציב החברה לפיתוח 2024'!T133</f>
        <v>129882331</v>
      </c>
      <c r="S8" s="29">
        <f>'תקציב החברה לפיתוח 2024'!U133</f>
        <v>355300824</v>
      </c>
      <c r="T8" s="29">
        <f>'תקציב החברה לפיתוח 2024'!V133</f>
        <v>240768931</v>
      </c>
      <c r="U8" s="29">
        <f>'תקציב החברה לפיתוח 2024'!W133</f>
        <v>2216408</v>
      </c>
      <c r="V8" s="29">
        <f>'תקציב החברה לפיתוח 2024'!X133</f>
        <v>0</v>
      </c>
      <c r="W8" s="29">
        <f>'תקציב החברה לפיתוח 2024'!Y133</f>
        <v>16236186</v>
      </c>
      <c r="X8" s="29">
        <f>'תקציב החברה לפיתוח 2024'!Z133</f>
        <v>0</v>
      </c>
      <c r="Y8" s="29">
        <f>'תקציב החברה לפיתוח 2024'!AA133</f>
        <v>96079299</v>
      </c>
      <c r="Z8" s="29">
        <f>'תקציב החברה לפיתוח 2024'!A133</f>
        <v>124</v>
      </c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31" customFormat="1" ht="32.1" customHeight="1">
      <c r="A9" s="2" t="s">
        <v>648</v>
      </c>
      <c r="B9" s="29">
        <f>'תקציב מינהל תפעול 2024 '!D115</f>
        <v>940096894</v>
      </c>
      <c r="C9" s="29">
        <f>'תקציב מינהל תפעול 2024 '!E115</f>
        <v>823808906</v>
      </c>
      <c r="D9" s="29">
        <f>'תקציב מינהל תפעול 2024 '!F115</f>
        <v>116287988</v>
      </c>
      <c r="E9" s="29">
        <f>'תקציב מינהל תפעול 2024 '!G115</f>
        <v>659925203</v>
      </c>
      <c r="F9" s="29">
        <f>'תקציב מינהל תפעול 2024 '!H115</f>
        <v>596264862</v>
      </c>
      <c r="G9" s="29">
        <f>'תקציב מינהל תפעול 2024 '!I115</f>
        <v>4044440</v>
      </c>
      <c r="H9" s="29">
        <f>'תקציב מינהל תפעול 2024 '!J115</f>
        <v>33517082</v>
      </c>
      <c r="I9" s="29">
        <f>'תקציב מינהל תפעול 2024 '!K115</f>
        <v>37561522</v>
      </c>
      <c r="J9" s="29">
        <f>'תקציב מינהל תפעול 2024 '!L115</f>
        <v>633826384</v>
      </c>
      <c r="K9" s="29">
        <f>'תקציב מינהל תפעול 2024 '!M115</f>
        <v>295768</v>
      </c>
      <c r="L9" s="29">
        <f>'תקציב מינהל תפעול 2024 '!N115</f>
        <v>103786594</v>
      </c>
      <c r="M9" s="29">
        <f>'תקציב מינהל תפעול 2024 '!O115</f>
        <v>202188148</v>
      </c>
      <c r="N9" s="29">
        <f>'תקציב מינהל תפעול 2024 '!P115</f>
        <v>26098819</v>
      </c>
      <c r="O9" s="29">
        <f>'תקציב מינהל תפעול 2024 '!Q115</f>
        <v>700000</v>
      </c>
      <c r="P9" s="29">
        <f>'תקציב מינהל תפעול 2024 '!R115</f>
        <v>10200000</v>
      </c>
      <c r="Q9" s="29">
        <f>'תקציב מינהל תפעול 2024 '!S115</f>
        <v>10900000</v>
      </c>
      <c r="R9" s="29">
        <f>'תקציב מינהל תפעול 2024 '!T115</f>
        <v>36703051</v>
      </c>
      <c r="S9" s="29">
        <f>'תקציב מינהל תפעול 2024 '!U115</f>
        <v>67083543</v>
      </c>
      <c r="T9" s="29">
        <f>'תקציב מינהל תפעול 2024 '!V115</f>
        <v>8775568</v>
      </c>
      <c r="U9" s="29">
        <f>'תקציב מינהל תפעול 2024 '!W115</f>
        <v>22573844</v>
      </c>
      <c r="V9" s="29">
        <f>'תקציב מינהל תפעול 2024 '!X115</f>
        <v>0</v>
      </c>
      <c r="W9" s="29">
        <f>'תקציב מינהל תפעול 2024 '!Y115</f>
        <v>23905000</v>
      </c>
      <c r="X9" s="29">
        <f>'תקציב מינהל תפעול 2024 '!Z115</f>
        <v>0</v>
      </c>
      <c r="Y9" s="29">
        <f>'תקציב מינהל תפעול 2024 '!AA115</f>
        <v>11829131</v>
      </c>
      <c r="Z9" s="29">
        <f>'תקציב מינהל תפעול 2024 '!A115</f>
        <v>110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</row>
    <row r="10" spans="1:41" s="31" customFormat="1" ht="32.1" customHeight="1">
      <c r="A10" s="204" t="s">
        <v>872</v>
      </c>
      <c r="B10" s="29">
        <f>'תקציב מינהל חינוך 2024 '!D17</f>
        <v>41049707</v>
      </c>
      <c r="C10" s="29">
        <f>'תקציב מינהל חינוך 2024 '!E17</f>
        <v>39419720</v>
      </c>
      <c r="D10" s="29">
        <f>'תקציב מינהל חינוך 2024 '!F17</f>
        <v>1629987</v>
      </c>
      <c r="E10" s="29">
        <f>'תקציב מינהל חינוך 2024 '!G17</f>
        <v>16441720</v>
      </c>
      <c r="F10" s="29">
        <f>'תקציב מינהל חינוך 2024 '!H17</f>
        <v>14627772</v>
      </c>
      <c r="G10" s="29">
        <f>'תקציב מינהל חינוך 2024 '!I17</f>
        <v>0</v>
      </c>
      <c r="H10" s="29">
        <f>'תקציב מינהל חינוך 2024 '!J17</f>
        <v>254094</v>
      </c>
      <c r="I10" s="29">
        <f>'תקציב מינהל חינוך 2024 '!K17</f>
        <v>254094</v>
      </c>
      <c r="J10" s="29">
        <f>'תקציב מינהל חינוך 2024 '!L17</f>
        <v>14881866</v>
      </c>
      <c r="K10" s="29">
        <f>'תקציב מינהל חינוך 2024 '!M17</f>
        <v>19686</v>
      </c>
      <c r="L10" s="29">
        <f>'תקציב מינהל חינוך 2024 '!N17</f>
        <v>2045000</v>
      </c>
      <c r="M10" s="29">
        <f>'תקציב מינהל חינוך 2024 '!O17</f>
        <v>24103155</v>
      </c>
      <c r="N10" s="29">
        <f>'תקציב מינהל חינוך 2024 '!P17</f>
        <v>1559854</v>
      </c>
      <c r="O10" s="29">
        <f>'תקציב מינהל חינוך 2024 '!Q17</f>
        <v>-100000</v>
      </c>
      <c r="P10" s="29">
        <f>'תקציב מינהל חינוך 2024 '!R17</f>
        <v>0</v>
      </c>
      <c r="Q10" s="29">
        <f>'תקציב מינהל חינוך 2024 '!S17</f>
        <v>-100000</v>
      </c>
      <c r="R10" s="29">
        <f>'תקציב מינהל חינוך 2024 '!T17</f>
        <v>1440168</v>
      </c>
      <c r="S10" s="29">
        <f>'תקציב מינהל חינוך 2024 '!U17</f>
        <v>604832</v>
      </c>
      <c r="T10" s="29">
        <f>'תקציב מינהל חינוך 2024 '!V17</f>
        <v>0</v>
      </c>
      <c r="U10" s="29">
        <f>'תקציב מינהל חינוך 2024 '!W17</f>
        <v>1487669</v>
      </c>
      <c r="V10" s="29">
        <f>'תקציב מינהל חינוך 2024 '!X17</f>
        <v>0</v>
      </c>
      <c r="W10" s="29">
        <f>'תקציב מינהל חינוך 2024 '!Y17</f>
        <v>0</v>
      </c>
      <c r="X10" s="29">
        <f>'תקציב מינהל חינוך 2024 '!Z17</f>
        <v>0</v>
      </c>
      <c r="Y10" s="29">
        <f>'תקציב מינהל חינוך 2024 '!AA17</f>
        <v>-882837</v>
      </c>
      <c r="Z10" s="29">
        <f>'תקציב מינהל חינוך 2024 '!A17</f>
        <v>12</v>
      </c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</row>
    <row r="11" spans="1:41" s="31" customFormat="1" ht="32.1" customHeight="1">
      <c r="A11" s="204" t="s">
        <v>989</v>
      </c>
      <c r="B11" s="29">
        <f>'תקציב אגף ספורט 2024'!D16</f>
        <v>19230205</v>
      </c>
      <c r="C11" s="29">
        <f>'תקציב אגף ספורט 2024'!E16</f>
        <v>12138000</v>
      </c>
      <c r="D11" s="29">
        <f>'תקציב אגף ספורט 2024'!F16</f>
        <v>6942000</v>
      </c>
      <c r="E11" s="29">
        <f>'תקציב אגף ספורט 2024'!G16</f>
        <v>11077000</v>
      </c>
      <c r="F11" s="29">
        <f>'תקציב אגף ספורט 2024'!H16</f>
        <v>10772057</v>
      </c>
      <c r="G11" s="29">
        <f>'תקציב אגף ספורט 2024'!I16</f>
        <v>0</v>
      </c>
      <c r="H11" s="29">
        <f>'תקציב אגף ספורט 2024'!J16</f>
        <v>53647</v>
      </c>
      <c r="I11" s="29">
        <f>'תקציב אגף ספורט 2024'!K16</f>
        <v>53647</v>
      </c>
      <c r="J11" s="29">
        <f>'תקציב אגף ספורט 2024'!L16</f>
        <v>10825704</v>
      </c>
      <c r="K11" s="29">
        <f>'תקציב אגף ספורט 2024'!M16</f>
        <v>8471</v>
      </c>
      <c r="L11" s="29">
        <f>'תקציב אגף ספורט 2024'!N16</f>
        <v>4769866</v>
      </c>
      <c r="M11" s="29">
        <f>'תקציב אגף ספורט 2024'!O16</f>
        <v>3626164</v>
      </c>
      <c r="N11" s="29">
        <f>'תקציב אגף ספורט 2024'!P16</f>
        <v>251296</v>
      </c>
      <c r="O11" s="29">
        <f>'תקציב אגף ספורט 2024'!Q16</f>
        <v>90000</v>
      </c>
      <c r="P11" s="29">
        <f>'תקציב אגף ספורט 2024'!R16</f>
        <v>0</v>
      </c>
      <c r="Q11" s="29">
        <f>'תקציב אגף ספורט 2024'!S16</f>
        <v>90000</v>
      </c>
      <c r="R11" s="29">
        <f>'תקציב אגף ספורט 2024'!T16</f>
        <v>332825</v>
      </c>
      <c r="S11" s="29">
        <f>'תקציב אגף ספורט 2024'!U16</f>
        <v>4437041</v>
      </c>
      <c r="T11" s="29">
        <f>'תקציב אגף ספורט 2024'!V16</f>
        <v>3000000</v>
      </c>
      <c r="U11" s="29">
        <f>'תקציב אגף ספורט 2024'!W16</f>
        <v>1437041</v>
      </c>
      <c r="V11" s="29">
        <f>'תקציב אגף ספורט 2024'!X16</f>
        <v>0</v>
      </c>
      <c r="W11" s="29">
        <f>'תקציב אגף ספורט 2024'!Y16</f>
        <v>0</v>
      </c>
      <c r="X11" s="29">
        <f>'תקציב אגף ספורט 2024'!Z16</f>
        <v>0</v>
      </c>
      <c r="Y11" s="29">
        <f>'תקציב אגף ספורט 2024'!AA16</f>
        <v>0</v>
      </c>
      <c r="Z11" s="29">
        <f>'תקציב אגף ספורט 2024'!A16</f>
        <v>11</v>
      </c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</row>
    <row r="12" spans="1:41" s="31" customFormat="1" ht="32.1" customHeight="1">
      <c r="A12" s="204" t="s">
        <v>1010</v>
      </c>
      <c r="B12" s="29">
        <f>'תקציב אגף תנוק 2024 '!D8</f>
        <v>13938365</v>
      </c>
      <c r="C12" s="29">
        <f>'תקציב אגף תנוק 2024 '!E8</f>
        <v>12590365</v>
      </c>
      <c r="D12" s="29">
        <f>'תקציב אגף תנוק 2024 '!F8</f>
        <v>1348000</v>
      </c>
      <c r="E12" s="29">
        <f>'תקציב אגף תנוק 2024 '!G8</f>
        <v>11590365</v>
      </c>
      <c r="F12" s="29">
        <f>'תקציב אגף תנוק 2024 '!H8</f>
        <v>10917143</v>
      </c>
      <c r="G12" s="29">
        <f>'תקציב אגף תנוק 2024 '!I8</f>
        <v>0</v>
      </c>
      <c r="H12" s="29">
        <f>'תקציב אגף תנוק 2024 '!J8</f>
        <v>315820</v>
      </c>
      <c r="I12" s="29">
        <f>'תקציב אגף תנוק 2024 '!K8</f>
        <v>315820</v>
      </c>
      <c r="J12" s="29">
        <f>'תקציב אגף תנוק 2024 '!L8</f>
        <v>11232963</v>
      </c>
      <c r="K12" s="29">
        <f>'תקציב אגף תנוק 2024 '!M8</f>
        <v>18402</v>
      </c>
      <c r="L12" s="29">
        <f>'תקציב אגף תנוק 2024 '!N8</f>
        <v>1345000</v>
      </c>
      <c r="M12" s="29">
        <f>'תקציב אגף תנוק 2024 '!O8</f>
        <v>1342000</v>
      </c>
      <c r="N12" s="29">
        <f>'תקציב אגף תנוק 2024 '!P8</f>
        <v>357402</v>
      </c>
      <c r="O12" s="29">
        <f>'תקציב אגף תנוק 2024 '!Q8</f>
        <v>80000</v>
      </c>
      <c r="P12" s="29">
        <f>'תקציב אגף תנוק 2024 '!R8</f>
        <v>0</v>
      </c>
      <c r="Q12" s="29">
        <f>'תקציב אגף תנוק 2024 '!S8</f>
        <v>80000</v>
      </c>
      <c r="R12" s="29">
        <f>'תקציב אגף תנוק 2024 '!T8</f>
        <v>419000</v>
      </c>
      <c r="S12" s="29">
        <f>'תקציב אגף תנוק 2024 '!U8</f>
        <v>926000</v>
      </c>
      <c r="T12" s="29">
        <f>'תקציב אגף תנוק 2024 '!V8</f>
        <v>0</v>
      </c>
      <c r="U12" s="29">
        <f>'תקציב אגף תנוק 2024 '!W8</f>
        <v>926000</v>
      </c>
      <c r="V12" s="29">
        <f>'תקציב אגף תנוק 2024 '!X8</f>
        <v>0</v>
      </c>
      <c r="W12" s="29">
        <f>'תקציב אגף תנוק 2024 '!Y8</f>
        <v>0</v>
      </c>
      <c r="X12" s="29">
        <f>'תקציב אגף תנוק 2024 '!Z8</f>
        <v>0</v>
      </c>
      <c r="Y12" s="29">
        <f>'תקציב אגף תנוק 2024 '!AA8</f>
        <v>0</v>
      </c>
      <c r="Z12" s="29">
        <f>'תקציב אגף תנוק 2024 '!A8</f>
        <v>3</v>
      </c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</row>
    <row r="13" spans="1:41" s="31" customFormat="1" ht="36" customHeight="1">
      <c r="A13" s="2" t="s">
        <v>83</v>
      </c>
      <c r="B13" s="29">
        <f>'תקציב החברה לתירות 2024 '!D15</f>
        <v>213102131</v>
      </c>
      <c r="C13" s="29">
        <f>'תקציב החברה לתירות 2024 '!E15</f>
        <v>17063000</v>
      </c>
      <c r="D13" s="29">
        <f>'תקציב החברה לתירות 2024 '!F15</f>
        <v>196039131</v>
      </c>
      <c r="E13" s="29">
        <f>'תקציב החברה לתירות 2024 '!G15</f>
        <v>5307282</v>
      </c>
      <c r="F13" s="29">
        <f>'תקציב החברה לתירות 2024 '!H15</f>
        <v>5061257</v>
      </c>
      <c r="G13" s="29">
        <f>'תקציב החברה לתירות 2024 '!I15</f>
        <v>0</v>
      </c>
      <c r="H13" s="29">
        <f>'תקציב החברה לתירות 2024 '!J15</f>
        <v>0</v>
      </c>
      <c r="I13" s="29">
        <f>'תקציב החברה לתירות 2024 '!K15</f>
        <v>0</v>
      </c>
      <c r="J13" s="29">
        <f>'תקציב החברה לתירות 2024 '!L15</f>
        <v>5061257</v>
      </c>
      <c r="K13" s="29">
        <f>'תקציב החברה לתירות 2024 '!M15</f>
        <v>156</v>
      </c>
      <c r="L13" s="29">
        <f>'תקציב החברה לתירות 2024 '!N15</f>
        <v>7160000</v>
      </c>
      <c r="M13" s="29">
        <f>'תקציב החברה לתירות 2024 '!O15</f>
        <v>200880718</v>
      </c>
      <c r="N13" s="29">
        <f>'תקציב החברה לתירות 2024 '!P15</f>
        <v>246025</v>
      </c>
      <c r="O13" s="29">
        <f>'תקציב החברה לתירות 2024 '!Q15</f>
        <v>0</v>
      </c>
      <c r="P13" s="29">
        <f>'תקציב החברה לתירות 2024 '!R15</f>
        <v>0</v>
      </c>
      <c r="Q13" s="29">
        <f>'תקציב החברה לתירות 2024 '!S15</f>
        <v>0</v>
      </c>
      <c r="R13" s="29">
        <f>'תקציב החברה לתירות 2024 '!T15</f>
        <v>245869</v>
      </c>
      <c r="S13" s="29">
        <f>'תקציב החברה לתירות 2024 '!U15</f>
        <v>6914131</v>
      </c>
      <c r="T13" s="29">
        <f>'תקציב החברה לתירות 2024 '!V15</f>
        <v>6568378</v>
      </c>
      <c r="U13" s="29">
        <f>'תקציב החברה לתירות 2024 '!W15</f>
        <v>0</v>
      </c>
      <c r="V13" s="29">
        <f>'תקציב החברה לתירות 2024 '!X15</f>
        <v>0</v>
      </c>
      <c r="W13" s="29">
        <f>'תקציב החברה לתירות 2024 '!Y15</f>
        <v>0</v>
      </c>
      <c r="X13" s="29">
        <f>'תקציב החברה לתירות 2024 '!Z15</f>
        <v>0</v>
      </c>
      <c r="Y13" s="29">
        <f>'תקציב החברה לתירות 2024 '!AA15</f>
        <v>345753</v>
      </c>
      <c r="Z13" s="29">
        <f>'תקציב החברה לתירות 2024 '!A15</f>
        <v>10</v>
      </c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</row>
    <row r="14" spans="1:41" s="31" customFormat="1" ht="32.1" customHeight="1">
      <c r="A14" s="2" t="s">
        <v>356</v>
      </c>
      <c r="B14" s="29">
        <f>'תקציב אגף המיחשוב 2024 '!D19</f>
        <v>112760000</v>
      </c>
      <c r="C14" s="29">
        <f>'תקציב אגף המיחשוב 2024 '!E19</f>
        <v>73160000</v>
      </c>
      <c r="D14" s="29">
        <f>'תקציב אגף המיחשוב 2024 '!F19</f>
        <v>39600000</v>
      </c>
      <c r="E14" s="29">
        <f>'תקציב אגף המיחשוב 2024 '!G19</f>
        <v>64273000</v>
      </c>
      <c r="F14" s="29">
        <f>'תקציב אגף המיחשוב 2024 '!H19</f>
        <v>54798202</v>
      </c>
      <c r="G14" s="29">
        <f>'תקציב אגף המיחשוב 2024 '!I19</f>
        <v>43536</v>
      </c>
      <c r="H14" s="29">
        <f>'תקציב אגף המיחשוב 2024 '!J19</f>
        <v>9275931</v>
      </c>
      <c r="I14" s="29">
        <f>'תקציב אגף המיחשוב 2024 '!K19</f>
        <v>9319467</v>
      </c>
      <c r="J14" s="29">
        <f>'תקציב אגף המיחשוב 2024 '!L19</f>
        <v>64117669</v>
      </c>
      <c r="K14" s="29">
        <f>'תקציב אגף המיחשוב 2024 '!M19</f>
        <v>38124</v>
      </c>
      <c r="L14" s="29">
        <f>'תקציב אגף המיחשוב 2024 '!N19</f>
        <v>8920000</v>
      </c>
      <c r="M14" s="29">
        <f>'תקציב אגף המיחשוב 2024 '!O19</f>
        <v>39684207</v>
      </c>
      <c r="N14" s="29">
        <f>'תקציב אגף המיחשוב 2024 '!P19</f>
        <v>155331</v>
      </c>
      <c r="O14" s="29">
        <f>'תקציב אגף המיחשוב 2024 '!Q19</f>
        <v>1000000</v>
      </c>
      <c r="P14" s="29">
        <f>'תקציב אגף המיחשוב 2024 '!R19</f>
        <v>0</v>
      </c>
      <c r="Q14" s="29">
        <f>'תקציב אגף המיחשוב 2024 '!S19</f>
        <v>1000000</v>
      </c>
      <c r="R14" s="29">
        <f>'תקציב אגף המיחשוב 2024 '!T19</f>
        <v>1117207</v>
      </c>
      <c r="S14" s="29">
        <f>'תקציב אגף המיחשוב 2024 '!U19</f>
        <v>7802793</v>
      </c>
      <c r="T14" s="29">
        <f>'תקציב אגף המיחשוב 2024 '!V19</f>
        <v>2380000</v>
      </c>
      <c r="U14" s="29">
        <f>'תקציב אגף המיחשוב 2024 '!W19</f>
        <v>4575000</v>
      </c>
      <c r="V14" s="29">
        <f>'תקציב אגף המיחשוב 2024 '!X19</f>
        <v>0</v>
      </c>
      <c r="W14" s="29">
        <f>'תקציב אגף המיחשוב 2024 '!Y19</f>
        <v>0</v>
      </c>
      <c r="X14" s="29">
        <f>'תקציב אגף המיחשוב 2024 '!Z19</f>
        <v>0</v>
      </c>
      <c r="Y14" s="29">
        <f>'תקציב אגף המיחשוב 2024 '!AA19</f>
        <v>847793</v>
      </c>
      <c r="Z14" s="29">
        <f>'תקציב אגף המיחשוב 2024 '!A19</f>
        <v>14</v>
      </c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</row>
    <row r="15" spans="1:41" s="31" customFormat="1" ht="32.1" customHeight="1">
      <c r="A15" s="2" t="s">
        <v>355</v>
      </c>
      <c r="B15" s="29">
        <f>'תקציב אגף נכסים וביטוח 2024'!D20</f>
        <v>127989000</v>
      </c>
      <c r="C15" s="29">
        <f>'תקציב אגף נכסים וביטוח 2024'!E20</f>
        <v>122959000</v>
      </c>
      <c r="D15" s="29">
        <f>'תקציב אגף נכסים וביטוח 2024'!F20</f>
        <v>5030000</v>
      </c>
      <c r="E15" s="29">
        <f>'תקציב אגף נכסים וביטוח 2024'!G20</f>
        <v>58821825</v>
      </c>
      <c r="F15" s="29">
        <f>'תקציב אגף נכסים וביטוח 2024'!H20</f>
        <v>45315356</v>
      </c>
      <c r="G15" s="29">
        <f>'תקציב אגף נכסים וביטוח 2024'!I20</f>
        <v>0</v>
      </c>
      <c r="H15" s="29">
        <f>'תקציב אגף נכסים וביטוח 2024'!J20</f>
        <v>21341</v>
      </c>
      <c r="I15" s="29">
        <f>'תקציב אגף נכסים וביטוח 2024'!K20</f>
        <v>21341</v>
      </c>
      <c r="J15" s="29">
        <f>'תקציב אגף נכסים וביטוח 2024'!L20</f>
        <v>45336697</v>
      </c>
      <c r="K15" s="29">
        <f>'תקציב אגף נכסים וביטוח 2024'!M20</f>
        <v>50128</v>
      </c>
      <c r="L15" s="29">
        <f>'תקציב אגף נכסים וביטוח 2024'!N20</f>
        <v>17240000</v>
      </c>
      <c r="M15" s="29">
        <f>'תקציב אגף נכסים וביטוח 2024'!O20</f>
        <v>65362175</v>
      </c>
      <c r="N15" s="29">
        <f>'תקציב אגף נכסים וביטוח 2024'!P20</f>
        <v>13485128</v>
      </c>
      <c r="O15" s="29">
        <f>'תקציב אגף נכסים וביטוח 2024'!Q20</f>
        <v>0</v>
      </c>
      <c r="P15" s="29">
        <f>'תקציב אגף נכסים וביטוח 2024'!R20</f>
        <v>770000</v>
      </c>
      <c r="Q15" s="29">
        <f>'תקציב אגף נכסים וביטוח 2024'!S20</f>
        <v>770000</v>
      </c>
      <c r="R15" s="29">
        <f>'תקציב אגף נכסים וביטוח 2024'!T20</f>
        <v>14205000</v>
      </c>
      <c r="S15" s="29">
        <f>'תקציב אגף נכסים וביטוח 2024'!U20</f>
        <v>3035000</v>
      </c>
      <c r="T15" s="29">
        <f>'תקציב אגף נכסים וביטוח 2024'!V20</f>
        <v>3805000</v>
      </c>
      <c r="U15" s="29">
        <f>'תקציב אגף נכסים וביטוח 2024'!W20</f>
        <v>0</v>
      </c>
      <c r="V15" s="29">
        <f>'תקציב אגף נכסים וביטוח 2024'!X20</f>
        <v>-770000</v>
      </c>
      <c r="W15" s="29">
        <f>'תקציב אגף נכסים וביטוח 2024'!Y20</f>
        <v>0</v>
      </c>
      <c r="X15" s="29">
        <f>'תקציב אגף נכסים וביטוח 2024'!Z20</f>
        <v>0</v>
      </c>
      <c r="Y15" s="29">
        <f>'תקציב אגף נכסים וביטוח 2024'!AA20</f>
        <v>0</v>
      </c>
      <c r="Z15" s="29">
        <f>'תקציב אגף נכסים וביטוח 2024'!A20</f>
        <v>15</v>
      </c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</row>
    <row r="16" spans="1:41" s="31" customFormat="1" ht="32.1" customHeight="1">
      <c r="A16" s="204" t="s">
        <v>202</v>
      </c>
      <c r="B16" s="29">
        <f>'תקציב איכות הסביבה 2024  '!D13+'תקציב מינהל כללי 2024  '!D16</f>
        <v>163500706</v>
      </c>
      <c r="C16" s="29">
        <f>'תקציב איכות הסביבה 2024  '!E13+'תקציב מינהל כללי 2024  '!E16</f>
        <v>134311103</v>
      </c>
      <c r="D16" s="29">
        <f>'תקציב איכות הסביבה 2024  '!F13+'תקציב מינהל כללי 2024  '!F16</f>
        <v>29189603</v>
      </c>
      <c r="E16" s="29">
        <f>'תקציב איכות הסביבה 2024  '!G13+'תקציב מינהל כללי 2024  '!G16</f>
        <v>116348330</v>
      </c>
      <c r="F16" s="29">
        <f>'תקציב איכות הסביבה 2024  '!H13+'תקציב מינהל כללי 2024  '!H16</f>
        <v>104960629</v>
      </c>
      <c r="G16" s="29">
        <f>'תקציב איכות הסביבה 2024  '!I13+'תקציב מינהל כללי 2024  '!I16</f>
        <v>140400</v>
      </c>
      <c r="H16" s="29">
        <f>'תקציב איכות הסביבה 2024  '!J13+'תקציב מינהל כללי 2024  '!J16</f>
        <v>1367247</v>
      </c>
      <c r="I16" s="29">
        <f>'תקציב איכות הסביבה 2024  '!K13+'תקציב מינהל כללי 2024  '!K16</f>
        <v>1507647</v>
      </c>
      <c r="J16" s="29">
        <f>'תקציב איכות הסביבה 2024  '!L13+'תקציב מינהל כללי 2024  '!L16</f>
        <v>106468276</v>
      </c>
      <c r="K16" s="29">
        <f>'תקציב איכות הסביבה 2024  '!M13+'תקציב מינהל כללי 2024  '!M16</f>
        <v>1711808</v>
      </c>
      <c r="L16" s="29">
        <f>'תקציב איכות הסביבה 2024  '!N13+'תקציב מינהל כללי 2024  '!N16</f>
        <v>15179000</v>
      </c>
      <c r="M16" s="29">
        <f>'תקציב איכות הסביבה 2024  '!O13+'תקציב מינהל כללי 2024  '!O16</f>
        <v>40141622</v>
      </c>
      <c r="N16" s="29">
        <f>'תקציב איכות הסביבה 2024  '!P13+'תקציב מינהל כללי 2024  '!P16</f>
        <v>9880054</v>
      </c>
      <c r="O16" s="29">
        <f>'תקציב איכות הסביבה 2024  '!Q13+'תקציב מינהל כללי 2024  '!Q16</f>
        <v>972000</v>
      </c>
      <c r="P16" s="29">
        <f>'תקציב איכות הסביבה 2024  '!R13+'תקציב מינהל כללי 2024  '!R16</f>
        <v>0</v>
      </c>
      <c r="Q16" s="29">
        <f>'תקציב איכות הסביבה 2024  '!S13+'תקציב מינהל כללי 2024  '!S16</f>
        <v>972000</v>
      </c>
      <c r="R16" s="29">
        <f>'תקציב איכות הסביבה 2024  '!T13+'תקציב מינהל כללי 2024  '!T16</f>
        <v>9140246</v>
      </c>
      <c r="S16" s="29">
        <f>'תקציב איכות הסביבה 2024  '!U13+'תקציב מינהל כללי 2024  '!U16</f>
        <v>6038754</v>
      </c>
      <c r="T16" s="29">
        <f>'תקציב איכות הסביבה 2024  '!V13+'תקציב מינהל כללי 2024  '!V16</f>
        <v>7909683</v>
      </c>
      <c r="U16" s="29">
        <f>'תקציב איכות הסביבה 2024  '!W13+'תקציב מינהל כללי 2024  '!W16</f>
        <v>-2465962</v>
      </c>
      <c r="V16" s="29">
        <f>'תקציב איכות הסביבה 2024  '!X13+'תקציב מינהל כללי 2024  '!X16</f>
        <v>0</v>
      </c>
      <c r="W16" s="29">
        <f>'תקציב איכות הסביבה 2024  '!Y13+'תקציב מינהל כללי 2024  '!Y16</f>
        <v>0</v>
      </c>
      <c r="X16" s="29">
        <f>'תקציב איכות הסביבה 2024  '!Z13+'תקציב מינהל כללי 2024  '!Z16</f>
        <v>0</v>
      </c>
      <c r="Y16" s="29">
        <f>'תקציב איכות הסביבה 2024  '!AA13+'תקציב מינהל כללי 2024  '!AA16</f>
        <v>595033</v>
      </c>
      <c r="Z16" s="29">
        <f>'תקציב איכות הסביבה 2024  '!A13+'תקציב מינהל כללי 2024  '!A16</f>
        <v>19</v>
      </c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</row>
    <row r="17" spans="1:41" s="203" customFormat="1" ht="32.1" hidden="1" customHeight="1">
      <c r="A17" s="570" t="s">
        <v>167</v>
      </c>
      <c r="B17" s="332">
        <f>SUM(B7:B16)</f>
        <v>5913581917</v>
      </c>
      <c r="C17" s="332">
        <f t="shared" ref="C17:D17" si="0">SUM(C7:C16)</f>
        <v>5106224876</v>
      </c>
      <c r="D17" s="332">
        <f t="shared" si="0"/>
        <v>807206836</v>
      </c>
      <c r="E17" s="332">
        <f t="shared" ref="E17" si="1">SUM(E7:E16)</f>
        <v>2935844057</v>
      </c>
      <c r="F17" s="332">
        <f t="shared" ref="F17" si="2">SUM(F7:F16)</f>
        <v>2781629851</v>
      </c>
      <c r="G17" s="332">
        <f t="shared" ref="G17" si="3">SUM(G7:G16)</f>
        <v>7513991</v>
      </c>
      <c r="H17" s="332">
        <f t="shared" ref="H17" si="4">SUM(H7:H16)</f>
        <v>56461319</v>
      </c>
      <c r="I17" s="332">
        <f t="shared" ref="I17" si="5">SUM(I7:I16)</f>
        <v>63975310</v>
      </c>
      <c r="J17" s="332">
        <f t="shared" ref="J17" si="6">SUM(J7:J16)</f>
        <v>2845605161</v>
      </c>
      <c r="K17" s="332">
        <f t="shared" ref="K17" si="7">SUM(K7:K16)</f>
        <v>3087581</v>
      </c>
      <c r="L17" s="332">
        <f t="shared" ref="L17" si="8">SUM(L7:L16)</f>
        <v>659697415</v>
      </c>
      <c r="M17" s="332">
        <f t="shared" ref="M17" si="9">SUM(M7:M16)</f>
        <v>2405191760</v>
      </c>
      <c r="N17" s="332">
        <f t="shared" ref="N17" si="10">SUM(N7:N16)</f>
        <v>90238896</v>
      </c>
      <c r="O17" s="332">
        <f t="shared" ref="O17" si="11">SUM(O7:O16)</f>
        <v>101412155</v>
      </c>
      <c r="P17" s="332">
        <f t="shared" ref="P17" si="12">SUM(P7:P16)</f>
        <v>18470000</v>
      </c>
      <c r="Q17" s="332">
        <f t="shared" ref="Q17" si="13">SUM(Q7:Q16)</f>
        <v>119882155</v>
      </c>
      <c r="R17" s="332">
        <f t="shared" ref="R17" si="14">SUM(R7:R16)</f>
        <v>207033470</v>
      </c>
      <c r="S17" s="332">
        <f t="shared" ref="S17" si="15">SUM(S7:S16)</f>
        <v>452663945</v>
      </c>
      <c r="T17" s="332">
        <f t="shared" ref="T17" si="16">SUM(T7:T16)</f>
        <v>273998754</v>
      </c>
      <c r="U17" s="332">
        <f t="shared" ref="U17" si="17">SUM(U7:U16)</f>
        <v>30000000</v>
      </c>
      <c r="V17" s="332">
        <f t="shared" ref="V17" si="18">SUM(V7:V16)</f>
        <v>-770000</v>
      </c>
      <c r="W17" s="332">
        <f t="shared" ref="W17" si="19">SUM(W7:W16)</f>
        <v>40141186</v>
      </c>
      <c r="X17" s="332">
        <f t="shared" ref="X17" si="20">SUM(X7:X16)</f>
        <v>0</v>
      </c>
      <c r="Y17" s="332">
        <f t="shared" ref="Y17" si="21">SUM(Y7:Y16)</f>
        <v>109294005</v>
      </c>
      <c r="Z17" s="332">
        <f t="shared" ref="Z17" si="22">SUM(Z7:Z16)</f>
        <v>378</v>
      </c>
      <c r="AA17" s="571"/>
      <c r="AB17" s="571"/>
      <c r="AC17" s="571"/>
      <c r="AD17" s="571"/>
      <c r="AE17" s="571"/>
      <c r="AF17" s="571"/>
      <c r="AG17" s="571"/>
      <c r="AH17" s="571"/>
      <c r="AI17" s="571"/>
      <c r="AJ17" s="571"/>
      <c r="AK17" s="571"/>
      <c r="AL17" s="571"/>
      <c r="AM17" s="571"/>
      <c r="AN17" s="571"/>
      <c r="AO17" s="571"/>
    </row>
    <row r="18" spans="1:41" s="31" customFormat="1" ht="15.75" hidden="1" customHeight="1">
      <c r="A18" s="230"/>
      <c r="B18" s="314">
        <f>SUM(C17:D17)</f>
        <v>5913431712</v>
      </c>
      <c r="C18" s="30"/>
      <c r="D18" s="30"/>
      <c r="E18" s="30"/>
      <c r="F18" s="30"/>
      <c r="G18" s="30"/>
      <c r="H18" s="30"/>
      <c r="I18" s="314">
        <f>SUM(G17:H17)</f>
        <v>63975310</v>
      </c>
      <c r="J18" s="314">
        <f>I17+F17</f>
        <v>2845605161</v>
      </c>
      <c r="K18" s="314">
        <f>N17+Q17-R17</f>
        <v>3087581</v>
      </c>
      <c r="L18" s="30"/>
      <c r="M18" s="30"/>
      <c r="N18" s="314">
        <f>E17-J17</f>
        <v>90238896</v>
      </c>
      <c r="O18" s="30"/>
      <c r="P18" s="30"/>
      <c r="Q18" s="314">
        <f>SUM(O17:P17)</f>
        <v>119882155</v>
      </c>
      <c r="R18" s="314">
        <f>N17+Q17-K17</f>
        <v>207033470</v>
      </c>
      <c r="S18" s="314">
        <f>L17-R17</f>
        <v>452663945</v>
      </c>
      <c r="T18" s="30">
        <f>SUM(T17:Y17)</f>
        <v>452663945</v>
      </c>
      <c r="U18" s="30"/>
      <c r="V18" s="30"/>
      <c r="W18" s="30"/>
      <c r="X18" s="30"/>
      <c r="Y18" s="30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</row>
    <row r="19" spans="1:41" s="31" customFormat="1" ht="15.75" hidden="1" customHeight="1">
      <c r="A19" s="230"/>
      <c r="B19" s="29">
        <f>SUM(J17:M17)</f>
        <v>5913581917</v>
      </c>
      <c r="C19" s="30"/>
      <c r="D19" s="30"/>
      <c r="E19" s="30"/>
      <c r="F19" s="30"/>
      <c r="G19" s="30"/>
      <c r="H19" s="30"/>
      <c r="I19" s="29">
        <f>I17-I18</f>
        <v>0</v>
      </c>
      <c r="J19" s="29">
        <f>J17-J18</f>
        <v>0</v>
      </c>
      <c r="K19" s="30"/>
      <c r="L19" s="30"/>
      <c r="M19" s="30"/>
      <c r="N19" s="29">
        <f>N17-N18</f>
        <v>0</v>
      </c>
      <c r="O19" s="30"/>
      <c r="P19" s="30"/>
      <c r="Q19" s="29">
        <f>Q17-Q18</f>
        <v>0</v>
      </c>
      <c r="R19" s="29">
        <f>R17-R18</f>
        <v>0</v>
      </c>
      <c r="S19" s="29">
        <f>S17-S18</f>
        <v>0</v>
      </c>
      <c r="T19" s="29">
        <f>S18-T18</f>
        <v>0</v>
      </c>
      <c r="U19" s="30"/>
      <c r="V19" s="30"/>
      <c r="W19" s="30"/>
      <c r="X19" s="30"/>
      <c r="Y19" s="3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</row>
    <row r="20" spans="1:41" s="31" customFormat="1" ht="15.75" hidden="1" customHeight="1">
      <c r="A20" s="230"/>
      <c r="B20" s="751"/>
      <c r="C20" s="30"/>
      <c r="D20" s="30"/>
      <c r="E20" s="30"/>
      <c r="F20" s="30"/>
      <c r="G20" s="30"/>
      <c r="H20" s="30"/>
      <c r="I20" s="751"/>
      <c r="J20" s="751"/>
      <c r="K20" s="30"/>
      <c r="L20" s="30"/>
      <c r="M20" s="30"/>
      <c r="N20" s="751"/>
      <c r="O20" s="30"/>
      <c r="P20" s="30"/>
      <c r="Q20" s="751"/>
      <c r="R20" s="751"/>
      <c r="S20" s="751"/>
      <c r="T20" s="751"/>
      <c r="U20" s="30"/>
      <c r="V20" s="30"/>
      <c r="W20" s="30"/>
      <c r="X20" s="30"/>
      <c r="Y20" s="30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</row>
    <row r="21" spans="1:41" s="31" customFormat="1" ht="15.75" hidden="1" customHeight="1">
      <c r="A21" s="230"/>
      <c r="B21" s="751"/>
      <c r="C21" s="30"/>
      <c r="D21" s="30"/>
      <c r="E21" s="30"/>
      <c r="F21" s="30"/>
      <c r="G21" s="30"/>
      <c r="H21" s="30"/>
      <c r="I21" s="751"/>
      <c r="J21" s="751"/>
      <c r="K21" s="30"/>
      <c r="L21" s="30"/>
      <c r="M21" s="30"/>
      <c r="N21" s="751"/>
      <c r="O21" s="30"/>
      <c r="P21" s="30"/>
      <c r="Q21" s="751"/>
      <c r="R21" s="751"/>
      <c r="S21" s="751"/>
      <c r="T21" s="751"/>
      <c r="U21" s="30"/>
      <c r="V21" s="30"/>
      <c r="W21" s="30"/>
      <c r="X21" s="30"/>
      <c r="Y21" s="30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</row>
    <row r="22" spans="1:41" s="31" customFormat="1" ht="15.75" hidden="1" customHeight="1">
      <c r="A22" s="230"/>
      <c r="B22" s="30"/>
      <c r="C22" s="30"/>
      <c r="D22" s="30"/>
      <c r="E22" s="30"/>
      <c r="F22" s="30"/>
      <c r="G22" s="30"/>
      <c r="H22" s="30"/>
      <c r="I22" s="30"/>
      <c r="J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</row>
    <row r="23" spans="1:41" ht="15.75" hidden="1" customHeight="1">
      <c r="B23" s="47"/>
      <c r="J23" s="30"/>
      <c r="K23" s="30"/>
      <c r="M23" s="37"/>
      <c r="N23" s="38"/>
      <c r="O23" s="37"/>
      <c r="P23" s="39"/>
      <c r="Q23" s="39"/>
      <c r="R23" s="38"/>
      <c r="S23" s="40" t="s">
        <v>84</v>
      </c>
      <c r="T23" s="40" t="s">
        <v>74</v>
      </c>
      <c r="U23" s="40" t="s">
        <v>85</v>
      </c>
      <c r="V23" s="40" t="s">
        <v>15</v>
      </c>
      <c r="W23" s="40" t="s">
        <v>214</v>
      </c>
      <c r="X23" s="40" t="s">
        <v>502</v>
      </c>
      <c r="Y23" s="40" t="s">
        <v>75</v>
      </c>
    </row>
    <row r="24" spans="1:41" s="302" customFormat="1" ht="15.75" hidden="1" customHeight="1">
      <c r="A24" s="297"/>
      <c r="B24" s="276"/>
      <c r="C24" s="276"/>
      <c r="D24" s="276"/>
      <c r="E24" s="276"/>
      <c r="F24" s="276"/>
      <c r="G24" s="276"/>
      <c r="H24" s="276"/>
      <c r="I24" s="276"/>
      <c r="J24" s="293"/>
      <c r="K24" s="276"/>
      <c r="L24" s="276"/>
      <c r="M24" s="298" t="s">
        <v>86</v>
      </c>
      <c r="N24" s="299"/>
      <c r="O24" s="298" t="s">
        <v>86</v>
      </c>
      <c r="P24" s="300"/>
      <c r="Q24" s="300"/>
      <c r="R24" s="301"/>
      <c r="S24" s="294">
        <f>SUM(T24:Y24)</f>
        <v>452663945</v>
      </c>
      <c r="T24" s="294">
        <f>'תקציב 2024 קרנות הרשות'!C20*1000</f>
        <v>273998754</v>
      </c>
      <c r="U24" s="294">
        <f>'תקציב 2024 קרנות הרשות'!D20*1000</f>
        <v>30000000</v>
      </c>
      <c r="V24" s="294">
        <f>'תקציב 2024  מקורות '!F10*1000</f>
        <v>-770000</v>
      </c>
      <c r="W24" s="294">
        <f>'תקציב 2024  מקורות '!F11*1000</f>
        <v>40141186</v>
      </c>
      <c r="X24" s="294">
        <f>'תקציב 2024  מקורות '!F12*1000</f>
        <v>0</v>
      </c>
      <c r="Y24" s="294">
        <f>'פרוט מקורות אחרים'!O14</f>
        <v>109294005</v>
      </c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</row>
    <row r="25" spans="1:41" ht="15.75" hidden="1" customHeight="1">
      <c r="M25" s="40" t="s">
        <v>87</v>
      </c>
      <c r="N25" s="41"/>
      <c r="O25" s="40" t="s">
        <v>87</v>
      </c>
      <c r="P25" s="42"/>
      <c r="Q25" s="42"/>
      <c r="R25" s="32"/>
      <c r="S25" s="766">
        <f t="shared" ref="S25:Y25" si="23">S24-S17</f>
        <v>0</v>
      </c>
      <c r="T25" s="43">
        <f t="shared" si="23"/>
        <v>0</v>
      </c>
      <c r="U25" s="43">
        <f t="shared" si="23"/>
        <v>0</v>
      </c>
      <c r="V25" s="43">
        <f t="shared" si="23"/>
        <v>0</v>
      </c>
      <c r="W25" s="43">
        <f>W24-W17</f>
        <v>0</v>
      </c>
      <c r="X25" s="43">
        <f t="shared" si="23"/>
        <v>0</v>
      </c>
      <c r="Y25" s="43">
        <f t="shared" si="23"/>
        <v>0</v>
      </c>
    </row>
    <row r="26" spans="1:41" ht="15.75" hidden="1" customHeight="1">
      <c r="M26" s="740"/>
      <c r="N26" s="741"/>
      <c r="O26" s="740"/>
      <c r="P26" s="740"/>
      <c r="Q26" s="740"/>
      <c r="R26" s="741"/>
      <c r="S26" s="742"/>
      <c r="T26" s="742"/>
      <c r="U26" s="742"/>
      <c r="V26" s="742"/>
      <c r="W26" s="742"/>
      <c r="X26" s="742"/>
      <c r="Y26" s="742"/>
    </row>
    <row r="27" spans="1:41" ht="15.75" hidden="1" customHeight="1">
      <c r="A27" s="202"/>
      <c r="M27" s="740"/>
      <c r="N27" s="741"/>
      <c r="O27" s="740"/>
      <c r="P27" s="740"/>
      <c r="Q27" s="740"/>
      <c r="R27" s="741"/>
      <c r="S27" s="742"/>
      <c r="T27" s="742"/>
      <c r="U27" s="742"/>
      <c r="V27" s="742"/>
      <c r="W27" s="742"/>
      <c r="X27" s="742"/>
      <c r="Y27" s="742"/>
    </row>
    <row r="28" spans="1:41" ht="15.75" customHeight="1">
      <c r="M28" s="202"/>
      <c r="N28" s="202"/>
      <c r="O28" s="202"/>
      <c r="P28" s="202"/>
      <c r="Q28" s="202"/>
      <c r="R28" s="202"/>
      <c r="S28" s="202"/>
      <c r="T28" s="742"/>
      <c r="U28" s="742"/>
      <c r="V28" s="742"/>
      <c r="W28" s="742"/>
      <c r="X28" s="742"/>
      <c r="Y28" s="742"/>
    </row>
    <row r="29" spans="1:41" ht="15.75" customHeight="1">
      <c r="M29" s="202"/>
      <c r="N29" s="202"/>
      <c r="O29" s="202"/>
      <c r="P29" s="202"/>
      <c r="Q29" s="202"/>
      <c r="R29" s="202"/>
      <c r="S29" s="202"/>
      <c r="T29" s="762"/>
      <c r="U29" s="762"/>
      <c r="V29" s="742"/>
      <c r="W29" s="742"/>
      <c r="X29" s="742"/>
      <c r="Y29" s="742"/>
    </row>
    <row r="30" spans="1:41" ht="15.75" customHeight="1">
      <c r="M30" s="202"/>
      <c r="N30" s="202"/>
      <c r="O30" s="202"/>
      <c r="P30" s="202"/>
      <c r="Q30" s="202"/>
      <c r="R30" s="202"/>
      <c r="S30" s="202"/>
      <c r="T30" s="762"/>
      <c r="U30" s="762"/>
      <c r="V30" s="742"/>
      <c r="W30" s="742"/>
      <c r="X30" s="742"/>
      <c r="Y30" s="742"/>
    </row>
    <row r="31" spans="1:41" ht="15.75" customHeight="1">
      <c r="A31" s="36"/>
      <c r="M31" s="202"/>
      <c r="N31" s="202"/>
      <c r="O31" s="202"/>
      <c r="P31" s="202"/>
      <c r="Q31" s="202"/>
      <c r="R31" s="202"/>
      <c r="S31" s="202"/>
      <c r="T31" s="742"/>
      <c r="U31" s="742"/>
      <c r="V31" s="742"/>
      <c r="W31" s="742"/>
      <c r="X31" s="33"/>
      <c r="Y31" s="22"/>
      <c r="Z31" s="22"/>
      <c r="AN31" s="33"/>
      <c r="AO31" s="33"/>
    </row>
    <row r="32" spans="1:41" ht="15.75" customHeight="1">
      <c r="A32" s="36"/>
      <c r="M32" s="202"/>
      <c r="N32" s="202"/>
      <c r="O32" s="202"/>
      <c r="P32" s="202"/>
      <c r="Q32" s="202"/>
      <c r="R32" s="202"/>
      <c r="S32" s="202"/>
      <c r="T32" s="742"/>
      <c r="U32" s="742"/>
      <c r="V32" s="742"/>
      <c r="W32" s="742"/>
      <c r="X32" s="33"/>
      <c r="Y32" s="22"/>
      <c r="Z32" s="22"/>
      <c r="AN32" s="33"/>
      <c r="AO32" s="33"/>
    </row>
    <row r="33" spans="1:41" ht="15.75" customHeight="1">
      <c r="J33" s="36"/>
      <c r="N33" s="36"/>
      <c r="T33" s="742"/>
      <c r="U33" s="742"/>
      <c r="V33" s="742"/>
      <c r="W33" s="742"/>
      <c r="X33" s="33"/>
      <c r="Y33" s="22"/>
      <c r="Z33" s="22"/>
      <c r="AN33" s="33"/>
      <c r="AO33" s="33"/>
    </row>
    <row r="34" spans="1:41" ht="15.75" customHeight="1">
      <c r="J34" s="36"/>
      <c r="N34" s="36"/>
      <c r="T34" s="742"/>
      <c r="U34" s="742"/>
      <c r="V34" s="742"/>
      <c r="W34" s="742"/>
      <c r="X34" s="33"/>
      <c r="Y34" s="22"/>
      <c r="Z34" s="22"/>
      <c r="AN34" s="33"/>
      <c r="AO34" s="33"/>
    </row>
    <row r="35" spans="1:41" ht="15.75" customHeight="1">
      <c r="J35" s="36"/>
      <c r="N35" s="36"/>
      <c r="T35" s="742"/>
      <c r="U35" s="742"/>
      <c r="V35" s="742"/>
      <c r="W35" s="742"/>
      <c r="X35" s="33"/>
      <c r="Y35" s="22"/>
      <c r="Z35" s="22"/>
      <c r="AN35" s="33"/>
      <c r="AO35" s="33"/>
    </row>
    <row r="36" spans="1:41" ht="15.75" customHeight="1">
      <c r="J36" s="36"/>
      <c r="N36" s="36"/>
      <c r="T36" s="742"/>
      <c r="U36" s="742"/>
      <c r="V36" s="742"/>
      <c r="W36" s="742"/>
      <c r="X36" s="33"/>
      <c r="Y36" s="22"/>
      <c r="Z36" s="22"/>
      <c r="AN36" s="33"/>
      <c r="AO36" s="33"/>
    </row>
    <row r="37" spans="1:41" ht="15.75" customHeight="1">
      <c r="J37" s="36"/>
      <c r="N37" s="36"/>
      <c r="T37" s="742"/>
      <c r="U37" s="742"/>
      <c r="V37" s="742"/>
      <c r="W37" s="742"/>
      <c r="X37" s="33"/>
      <c r="Y37" s="22"/>
      <c r="Z37" s="22"/>
      <c r="AN37" s="33"/>
      <c r="AO37" s="33"/>
    </row>
    <row r="38" spans="1:41">
      <c r="A38" s="202"/>
      <c r="J38" s="36"/>
      <c r="N38" s="36"/>
      <c r="T38" s="44"/>
      <c r="U38" s="44"/>
      <c r="V38" s="44"/>
      <c r="W38" s="44"/>
      <c r="X38" s="33"/>
      <c r="Y38" s="22"/>
      <c r="Z38" s="22"/>
      <c r="AN38" s="33"/>
      <c r="AO38" s="33"/>
    </row>
    <row r="39" spans="1:41">
      <c r="A39" s="202"/>
      <c r="J39" s="36"/>
      <c r="N39" s="36"/>
      <c r="S39" s="36">
        <f>SUM(S29:S38)</f>
        <v>0</v>
      </c>
      <c r="T39" s="44"/>
      <c r="U39" s="44"/>
      <c r="V39" s="44"/>
      <c r="W39" s="44"/>
      <c r="X39" s="33"/>
      <c r="Y39" s="22"/>
      <c r="Z39" s="22"/>
      <c r="AN39" s="33"/>
      <c r="AO39" s="33"/>
    </row>
    <row r="40" spans="1:41">
      <c r="A40" s="202"/>
      <c r="J40" s="36"/>
      <c r="N40" s="36"/>
      <c r="S40" s="36">
        <f>S28-S39</f>
        <v>0</v>
      </c>
      <c r="T40" s="762"/>
      <c r="U40" s="44"/>
      <c r="V40" s="44"/>
      <c r="W40" s="44"/>
      <c r="X40" s="44"/>
      <c r="Y40" s="44"/>
    </row>
    <row r="41" spans="1:41">
      <c r="A41" s="202"/>
      <c r="J41" s="36"/>
      <c r="N41" s="36"/>
      <c r="T41" s="762"/>
      <c r="U41" s="44"/>
      <c r="V41" s="44"/>
      <c r="W41" s="44"/>
      <c r="X41" s="44"/>
      <c r="Y41" s="44"/>
    </row>
    <row r="42" spans="1:41">
      <c r="A42" s="36"/>
      <c r="J42" s="36"/>
      <c r="N42" s="36"/>
      <c r="S42" s="36">
        <f>S25</f>
        <v>0</v>
      </c>
      <c r="T42" s="762"/>
      <c r="Y42" s="47"/>
    </row>
    <row r="43" spans="1:41">
      <c r="J43" s="36"/>
      <c r="N43" s="36"/>
      <c r="T43" s="762"/>
      <c r="Z43" s="36"/>
      <c r="AA43" s="36"/>
    </row>
    <row r="44" spans="1:41">
      <c r="J44" s="36"/>
      <c r="N44" s="36"/>
      <c r="Z44" s="36"/>
      <c r="AA44" s="36"/>
    </row>
    <row r="45" spans="1:41">
      <c r="J45" s="36"/>
      <c r="N45" s="36"/>
      <c r="Z45" s="36"/>
      <c r="AA45" s="36"/>
    </row>
    <row r="46" spans="1:41">
      <c r="A46" s="36"/>
      <c r="J46" s="36"/>
      <c r="N46" s="36"/>
      <c r="Z46" s="36"/>
      <c r="AA46" s="36"/>
    </row>
    <row r="47" spans="1:41">
      <c r="A47" s="36"/>
      <c r="J47" s="36"/>
      <c r="N47" s="36"/>
      <c r="S47" s="36">
        <f>1100000-1100000</f>
        <v>0</v>
      </c>
      <c r="Z47" s="36"/>
      <c r="AA47" s="36"/>
    </row>
    <row r="48" spans="1:41">
      <c r="A48" s="297"/>
      <c r="B48" s="276"/>
      <c r="J48" s="36"/>
      <c r="N48" s="36"/>
      <c r="S48" s="36">
        <f>SUM(S45:S47)</f>
        <v>0</v>
      </c>
      <c r="Z48" s="36"/>
      <c r="AA48" s="36"/>
    </row>
    <row r="49" spans="1:27">
      <c r="A49" s="297"/>
      <c r="B49" s="276"/>
      <c r="J49" s="36"/>
      <c r="N49" s="36"/>
      <c r="S49" s="36">
        <f>S42+S48</f>
        <v>0</v>
      </c>
      <c r="Z49" s="36"/>
      <c r="AA49" s="36"/>
    </row>
    <row r="50" spans="1:27">
      <c r="A50" s="297"/>
      <c r="B50" s="276"/>
      <c r="J50" s="36"/>
      <c r="N50" s="36"/>
      <c r="Z50" s="36"/>
      <c r="AA50" s="36"/>
    </row>
    <row r="51" spans="1:27">
      <c r="A51" s="297"/>
      <c r="B51" s="276"/>
      <c r="M51" s="743"/>
      <c r="Z51" s="36"/>
      <c r="AA51" s="36"/>
    </row>
    <row r="52" spans="1:27">
      <c r="A52" s="297"/>
      <c r="B52" s="276"/>
      <c r="M52" s="743"/>
      <c r="Z52" s="36"/>
      <c r="AA52" s="36"/>
    </row>
    <row r="53" spans="1:27">
      <c r="A53" s="297"/>
      <c r="B53" s="276"/>
      <c r="M53" s="743"/>
      <c r="Z53" s="36"/>
      <c r="AA53" s="36"/>
    </row>
    <row r="54" spans="1:27">
      <c r="A54" s="297"/>
      <c r="B54" s="276"/>
      <c r="M54" s="743"/>
      <c r="Z54" s="36"/>
      <c r="AA54" s="36"/>
    </row>
    <row r="55" spans="1:27">
      <c r="M55" s="743"/>
      <c r="Z55" s="36"/>
      <c r="AA55" s="36"/>
    </row>
    <row r="56" spans="1:27">
      <c r="M56" s="743"/>
      <c r="X56" s="33"/>
      <c r="Z56" s="36"/>
      <c r="AA56" s="36"/>
    </row>
    <row r="57" spans="1:27">
      <c r="M57" s="743"/>
      <c r="X57" s="33"/>
      <c r="Z57" s="36"/>
      <c r="AA57" s="36"/>
    </row>
    <row r="58" spans="1:27">
      <c r="Z58" s="36"/>
      <c r="AA58" s="36"/>
    </row>
    <row r="86" spans="22:22">
      <c r="V86" s="47"/>
    </row>
    <row r="87" spans="22:22">
      <c r="V87" s="47"/>
    </row>
    <row r="136" spans="1:34" ht="37.950000000000003" customHeight="1"/>
    <row r="139" spans="1:34" ht="70.95" customHeight="1"/>
    <row r="142" spans="1:34" ht="72" customHeight="1">
      <c r="AH142" s="22" t="s">
        <v>1376</v>
      </c>
    </row>
    <row r="143" spans="1:34">
      <c r="A143" s="35">
        <f>COUNT(A5:A142)</f>
        <v>0</v>
      </c>
    </row>
    <row r="144" spans="1:34" ht="43.95" customHeight="1"/>
    <row r="146" spans="1:1" ht="30" customHeight="1">
      <c r="A146" s="35">
        <f>A143+1</f>
        <v>1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4:M4"/>
    <mergeCell ref="N4:O4"/>
    <mergeCell ref="R4:Y4"/>
  </mergeCells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4"/>
  <sheetViews>
    <sheetView rightToLeft="1" workbookViewId="0">
      <selection activeCell="T10" sqref="T10"/>
    </sheetView>
  </sheetViews>
  <sheetFormatPr defaultRowHeight="13.2"/>
  <sheetData>
    <row r="4" spans="21:21">
      <c r="U4" s="315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37"/>
  <sheetViews>
    <sheetView showZeros="0" rightToLeft="1" zoomScaleNormal="100" workbookViewId="0">
      <pane xSplit="1" ySplit="5" topLeftCell="B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5.6"/>
  <cols>
    <col min="1" max="1" width="13.33203125" style="35" customWidth="1"/>
    <col min="2" max="2" width="13.6640625" style="36" customWidth="1"/>
    <col min="3" max="3" width="12.88671875" style="36" customWidth="1"/>
    <col min="4" max="4" width="11.109375" style="36" customWidth="1"/>
    <col min="5" max="6" width="13.6640625" style="36" hidden="1" customWidth="1"/>
    <col min="7" max="7" width="11" style="36" hidden="1" customWidth="1"/>
    <col min="8" max="9" width="12" style="36" hidden="1" customWidth="1"/>
    <col min="10" max="10" width="13.109375" style="31" customWidth="1"/>
    <col min="11" max="11" width="9.44140625" style="36" customWidth="1"/>
    <col min="12" max="12" width="11.109375" style="36" customWidth="1"/>
    <col min="13" max="13" width="12.88671875" style="36" customWidth="1"/>
    <col min="14" max="14" width="12" style="31" hidden="1" customWidth="1"/>
    <col min="15" max="15" width="18.109375" style="36" hidden="1" customWidth="1"/>
    <col min="16" max="16" width="11" style="36" hidden="1" customWidth="1"/>
    <col min="17" max="17" width="12" style="36" hidden="1" customWidth="1"/>
    <col min="18" max="19" width="11.109375" style="36" customWidth="1"/>
    <col min="20" max="20" width="12" style="36" bestFit="1" customWidth="1"/>
    <col min="21" max="21" width="11.5546875" style="36" customWidth="1"/>
    <col min="22" max="22" width="8.6640625" style="36" customWidth="1"/>
    <col min="23" max="23" width="10.44140625" style="36" customWidth="1"/>
    <col min="24" max="24" width="10" style="36" hidden="1" customWidth="1"/>
    <col min="25" max="25" width="11.33203125" style="36" customWidth="1"/>
    <col min="26" max="26" width="13.44140625" style="33" customWidth="1"/>
    <col min="27" max="27" width="11.88671875" style="33" customWidth="1"/>
    <col min="28" max="28" width="10" style="33" customWidth="1"/>
    <col min="29" max="29" width="9.109375" style="33"/>
    <col min="30" max="30" width="10.109375" style="33" customWidth="1"/>
    <col min="31" max="16384" width="9.109375" style="33"/>
  </cols>
  <sheetData>
    <row r="2" spans="1:26" s="23" customFormat="1" ht="22.8">
      <c r="A2" s="208" t="s">
        <v>232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</row>
    <row r="3" spans="1:26" s="23" customFormat="1" ht="22.8">
      <c r="A3" s="24"/>
      <c r="B3" s="25"/>
      <c r="C3" s="25"/>
      <c r="D3" s="25"/>
      <c r="E3" s="25"/>
      <c r="F3" s="25"/>
      <c r="G3" s="25"/>
      <c r="H3" s="25"/>
      <c r="I3" s="25"/>
      <c r="J3" s="26"/>
      <c r="K3" s="25"/>
      <c r="L3" s="25"/>
      <c r="M3" s="25"/>
      <c r="N3" s="26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6" s="28" customFormat="1">
      <c r="A4" s="27"/>
      <c r="B4" s="878" t="s">
        <v>78</v>
      </c>
      <c r="C4" s="878"/>
      <c r="D4" s="878"/>
      <c r="E4" s="878"/>
      <c r="F4" s="878"/>
      <c r="G4" s="878"/>
      <c r="H4" s="878"/>
      <c r="I4" s="878"/>
      <c r="J4" s="878"/>
      <c r="K4" s="878"/>
      <c r="L4" s="878"/>
      <c r="M4" s="878"/>
      <c r="N4" s="878"/>
      <c r="O4" s="878"/>
      <c r="P4" s="330"/>
      <c r="Q4" s="330"/>
      <c r="R4" s="878" t="s">
        <v>79</v>
      </c>
      <c r="S4" s="878"/>
      <c r="T4" s="878"/>
      <c r="U4" s="879"/>
      <c r="V4" s="879"/>
      <c r="W4" s="879"/>
      <c r="X4" s="878"/>
      <c r="Y4" s="878"/>
    </row>
    <row r="5" spans="1:26" s="22" customFormat="1" ht="62.4">
      <c r="A5" s="27" t="s">
        <v>235</v>
      </c>
      <c r="B5" s="27" t="s">
        <v>80</v>
      </c>
      <c r="C5" s="27" t="s">
        <v>4</v>
      </c>
      <c r="D5" s="27" t="s">
        <v>81</v>
      </c>
      <c r="E5" s="27" t="s">
        <v>88</v>
      </c>
      <c r="F5" s="15" t="s">
        <v>7</v>
      </c>
      <c r="G5" s="15" t="s">
        <v>8</v>
      </c>
      <c r="H5" s="15" t="s">
        <v>9</v>
      </c>
      <c r="I5" s="15" t="s">
        <v>10</v>
      </c>
      <c r="J5" s="21" t="s">
        <v>11</v>
      </c>
      <c r="K5" s="2" t="s">
        <v>917</v>
      </c>
      <c r="L5" s="27" t="s">
        <v>918</v>
      </c>
      <c r="M5" s="27" t="s">
        <v>919</v>
      </c>
      <c r="N5" s="21" t="s">
        <v>82</v>
      </c>
      <c r="O5" s="15" t="s">
        <v>1573</v>
      </c>
      <c r="P5" s="15" t="s">
        <v>1574</v>
      </c>
      <c r="Q5" s="15" t="s">
        <v>922</v>
      </c>
      <c r="R5" s="15" t="s">
        <v>923</v>
      </c>
      <c r="S5" s="27" t="s">
        <v>924</v>
      </c>
      <c r="T5" s="27" t="s">
        <v>13</v>
      </c>
      <c r="U5" s="27" t="s">
        <v>14</v>
      </c>
      <c r="V5" s="15" t="s">
        <v>15</v>
      </c>
      <c r="W5" s="15" t="s">
        <v>214</v>
      </c>
      <c r="X5" s="15" t="s">
        <v>502</v>
      </c>
      <c r="Y5" s="27" t="s">
        <v>75</v>
      </c>
      <c r="Z5" s="16"/>
    </row>
    <row r="6" spans="1:26" s="22" customFormat="1" ht="25.2" customHeight="1">
      <c r="A6" s="204" t="s">
        <v>340</v>
      </c>
      <c r="B6" s="9">
        <f>'תקציב מינהל תפעול 2024 פרקים'!D7+'תקציב אגף המיחשוב 2024 פרקים'!D9</f>
        <v>12650000</v>
      </c>
      <c r="C6" s="9">
        <f>'תקציב מינהל תפעול 2024 פרקים'!E7+'תקציב אגף המיחשוב 2024 פרקים'!E9</f>
        <v>10450000</v>
      </c>
      <c r="D6" s="9">
        <f>'תקציב מינהל תפעול 2024 פרקים'!F7+'תקציב אגף המיחשוב 2024 פרקים'!F9</f>
        <v>2200000</v>
      </c>
      <c r="E6" s="9">
        <f>'תקציב מינהל תפעול 2024 פרקים'!G7+'תקציב אגף המיחשוב 2024 פרקים'!G9</f>
        <v>4833000</v>
      </c>
      <c r="F6" s="9">
        <f>'תקציב מינהל תפעול 2024 פרקים'!H7+'תקציב אגף המיחשוב 2024 פרקים'!H9</f>
        <v>4529950</v>
      </c>
      <c r="G6" s="9">
        <f>'תקציב מינהל תפעול 2024 פרקים'!I7+'תקציב אגף המיחשוב 2024 פרקים'!I9</f>
        <v>43536</v>
      </c>
      <c r="H6" s="9">
        <f>'תקציב מינהל תפעול 2024 פרקים'!J7+'תקציב אגף המיחשוב 2024 פרקים'!J9</f>
        <v>134694</v>
      </c>
      <c r="I6" s="9">
        <f>'תקציב מינהל תפעול 2024 פרקים'!K7+'תקציב אגף המיחשוב 2024 פרקים'!K9</f>
        <v>178230</v>
      </c>
      <c r="J6" s="9">
        <f>'תקציב מינהל תפעול 2024 פרקים'!L7+'תקציב אגף המיחשוב 2024 פרקים'!L9</f>
        <v>4708180</v>
      </c>
      <c r="K6" s="9">
        <f>'תקציב מינהל תפעול 2024 פרקים'!M7+'תקציב אגף המיחשוב 2024 פרקים'!M9</f>
        <v>14820</v>
      </c>
      <c r="L6" s="9">
        <f>'תקציב מינהל תפעול 2024 פרקים'!N7+'תקציב אגף המיחשוב 2024 פרקים'!N9</f>
        <v>1530000</v>
      </c>
      <c r="M6" s="9">
        <f>'תקציב מינהל תפעול 2024 פרקים'!O7+'תקציב אגף המיחשוב 2024 פרקים'!O9</f>
        <v>6397000</v>
      </c>
      <c r="N6" s="9">
        <f>'תקציב מינהל תפעול 2024 פרקים'!P7+'תקציב אגף המיחשוב 2024 פרקים'!P9</f>
        <v>124820</v>
      </c>
      <c r="O6" s="9">
        <f>'תקציב מינהל תפעול 2024 פרקים'!Q7+'תקציב אגף המיחשוב 2024 פרקים'!Q9</f>
        <v>50000</v>
      </c>
      <c r="P6" s="9">
        <f>'תקציב מינהל תפעול 2024 פרקים'!R7+'תקציב אגף המיחשוב 2024 פרקים'!R9</f>
        <v>0</v>
      </c>
      <c r="Q6" s="9">
        <f>'תקציב מינהל תפעול 2024 פרקים'!S7+'תקציב אגף המיחשוב 2024 פרקים'!S9</f>
        <v>50000</v>
      </c>
      <c r="R6" s="9">
        <f>'תקציב מינהל תפעול 2024 פרקים'!T7+'תקציב אגף המיחשוב 2024 פרקים'!T9</f>
        <v>160000</v>
      </c>
      <c r="S6" s="9">
        <f>'תקציב מינהל תפעול 2024 פרקים'!U7+'תקציב אגף המיחשוב 2024 פרקים'!U9</f>
        <v>1370000</v>
      </c>
      <c r="T6" s="9">
        <f>'תקציב מינהל תפעול 2024 פרקים'!V7+'תקציב אגף המיחשוב 2024 פרקים'!V9</f>
        <v>0</v>
      </c>
      <c r="U6" s="9">
        <f>'תקציב מינהל תפעול 2024 פרקים'!W7+'תקציב אגף המיחשוב 2024 פרקים'!W9</f>
        <v>1370000</v>
      </c>
      <c r="V6" s="9">
        <f>'תקציב מינהל תפעול 2024 פרקים'!X7+'תקציב אגף המיחשוב 2024 פרקים'!X9</f>
        <v>0</v>
      </c>
      <c r="W6" s="9">
        <f>'תקציב מינהל תפעול 2024 פרקים'!Y7+'תקציב אגף המיחשוב 2024 פרקים'!Y9</f>
        <v>0</v>
      </c>
      <c r="X6" s="9">
        <f>'תקציב מינהל תפעול 2024 פרקים'!Z7+'תקציב אגף המיחשוב 2024 פרקים'!Z9</f>
        <v>0</v>
      </c>
      <c r="Y6" s="9">
        <f>'תקציב מינהל תפעול 2024 פרקים'!AA7+'תקציב אגף המיחשוב 2024 פרקים'!AA9</f>
        <v>0</v>
      </c>
      <c r="Z6" s="17"/>
    </row>
    <row r="7" spans="1:26" s="31" customFormat="1" ht="27" customHeight="1">
      <c r="A7" s="2" t="s">
        <v>341</v>
      </c>
      <c r="B7" s="29">
        <f>'תקציב הנדסה 2024 פרקים'!D37+'תקציב החברה לפיתוח 2024 פרקים'!D13+'תקציב מינהל תפעול 2024 פרקים'!D17+'תקציב החברה לתירות 2024 פרקים'!D10+'תקציב אגף המיחשוב 2024 פרקים'!D15+'תקציב מינהל כללי 2024 פרקים'!D7</f>
        <v>155965126</v>
      </c>
      <c r="C7" s="29">
        <f>'תקציב הנדסה 2024 פרקים'!E37+'תקציב החברה לפיתוח 2024 פרקים'!E13+'תקציב מינהל תפעול 2024 פרקים'!E17+'תקציב החברה לתירות 2024 פרקים'!E10+'תקציב אגף המיחשוב 2024 פרקים'!E15+'תקציב מינהל כללי 2024 פרקים'!E7</f>
        <v>172654011</v>
      </c>
      <c r="D7" s="29">
        <f>'תקציב הנדסה 2024 פרקים'!F37+'תקציב החברה לפיתוח 2024 פרקים'!F13+'תקציב מינהל תפעול 2024 פרקים'!F17+'תקציב החברה לתירות 2024 פרקים'!F10+'תקציב אגף המיחשוב 2024 פרקים'!F15+'תקציב מינהל כללי 2024 פרקים'!F7</f>
        <v>-16688885</v>
      </c>
      <c r="E7" s="29">
        <f>'תקציב הנדסה 2024 פרקים'!G37+'תקציב החברה לפיתוח 2024 פרקים'!G13+'תקציב מינהל תפעול 2024 פרקים'!G17+'תקציב החברה לתירות 2024 פרקים'!G10+'תקציב אגף המיחשוב 2024 פרקים'!G15+'תקציב מינהל כללי 2024 פרקים'!G7</f>
        <v>97329403</v>
      </c>
      <c r="F7" s="29">
        <f>'תקציב הנדסה 2024 פרקים'!H37+'תקציב החברה לפיתוח 2024 פרקים'!H13+'תקציב מינהל תפעול 2024 פרקים'!H17+'תקציב החברה לתירות 2024 פרקים'!H10+'תקציב אגף המיחשוב 2024 פרקים'!H15+'תקציב מינהל כללי 2024 פרקים'!H7</f>
        <v>74233247</v>
      </c>
      <c r="G7" s="29">
        <f>'תקציב הנדסה 2024 פרקים'!I37+'תקציב החברה לפיתוח 2024 פרקים'!I13+'תקציב מינהל תפעול 2024 פרקים'!I17+'תקציב החברה לתירות 2024 פרקים'!I10+'תקציב אגף המיחשוב 2024 פרקים'!I15+'תקציב מינהל כללי 2024 פרקים'!I7</f>
        <v>2199372</v>
      </c>
      <c r="H7" s="29">
        <f>'תקציב הנדסה 2024 פרקים'!J37+'תקציב החברה לפיתוח 2024 פרקים'!J13+'תקציב מינהל תפעול 2024 פרקים'!J17+'תקציב החברה לתירות 2024 פרקים'!J10+'תקציב אגף המיחשוב 2024 פרקים'!J15+'תקציב מינהל כללי 2024 פרקים'!J7</f>
        <v>5738853</v>
      </c>
      <c r="I7" s="29">
        <f>'תקציב הנדסה 2024 פרקים'!K37+'תקציב החברה לפיתוח 2024 פרקים'!K13+'תקציב מינהל תפעול 2024 פרקים'!K17+'תקציב החברה לתירות 2024 פרקים'!K10+'תקציב אגף המיחשוב 2024 פרקים'!K15+'תקציב מינהל כללי 2024 פרקים'!K7</f>
        <v>7938225</v>
      </c>
      <c r="J7" s="29">
        <f>'תקציב הנדסה 2024 פרקים'!L37+'תקציב החברה לפיתוח 2024 פרקים'!L13+'תקציב מינהל תפעול 2024 פרקים'!L17+'תקציב החברה לתירות 2024 פרקים'!L10+'תקציב אגף המיחשוב 2024 פרקים'!L15+'תקציב מינהל כללי 2024 פרקים'!L7</f>
        <v>82171472</v>
      </c>
      <c r="K7" s="29">
        <f>'תקציב הנדסה 2024 פרקים'!M37+'תקציב החברה לפיתוח 2024 פרקים'!M13+'תקציב מינהל תפעול 2024 פרקים'!M17+'תקציב החברה לתירות 2024 פרקים'!M10+'תקציב אגף המיחשוב 2024 פרקים'!M15+'תקציב מינהל כללי 2024 פרקים'!M7</f>
        <v>1741746</v>
      </c>
      <c r="L7" s="29">
        <f>'תקציב הנדסה 2024 פרקים'!N37+'תקציב החברה לפיתוח 2024 פרקים'!N13+'תקציב מינהל תפעול 2024 פרקים'!N17+'תקציב החברה לתירות 2024 פרקים'!N10+'תקציב אגף המיחשוב 2024 פרקים'!N15+'תקציב מינהל כללי 2024 פרקים'!N7</f>
        <v>10888800</v>
      </c>
      <c r="M7" s="29">
        <f>'תקציב הנדסה 2024 פרקים'!O37+'תקציב החברה לפיתוח 2024 פרקים'!O13+'תקציב מינהל תפעול 2024 פרקים'!O17+'תקציב החברה לתירות 2024 פרקים'!O10+'תקציב אגף המיחשוב 2024 פרקים'!O15+'תקציב מינהל כללי 2024 פרקים'!O7</f>
        <v>61163108</v>
      </c>
      <c r="N7" s="29">
        <f>'תקציב הנדסה 2024 פרקים'!P37+'תקציב החברה לפיתוח 2024 פרקים'!P13+'תקציב מינהל תפעול 2024 פרקים'!P17+'תקציב החברה לתירות 2024 פרקים'!P10+'תקציב אגף המיחשוב 2024 פרקים'!P15+'תקציב מינהל כללי 2024 פרקים'!P7</f>
        <v>15157931</v>
      </c>
      <c r="O7" s="29">
        <f>'תקציב הנדסה 2024 פרקים'!Q37+'תקציב החברה לפיתוח 2024 פרקים'!Q13+'תקציב מינהל תפעול 2024 פרקים'!Q17+'תקציב החברה לתירות 2024 פרקים'!Q10+'תקציב אגף המיחשוב 2024 פרקים'!Q15+'תקציב מינהל כללי 2024 פרקים'!Q7</f>
        <v>1640000</v>
      </c>
      <c r="P7" s="29">
        <f>'תקציב הנדסה 2024 פרקים'!R37+'תקציב החברה לפיתוח 2024 פרקים'!R13+'תקציב מינהל תפעול 2024 פרקים'!R17+'תקציב החברה לתירות 2024 פרקים'!R10+'תקציב אגף המיחשוב 2024 פרקים'!R15+'תקציב מינהל כללי 2024 פרקים'!R7</f>
        <v>0</v>
      </c>
      <c r="Q7" s="29">
        <f>'תקציב הנדסה 2024 פרקים'!S37+'תקציב החברה לפיתוח 2024 פרקים'!S13+'תקציב מינהל תפעול 2024 פרקים'!S17+'תקציב החברה לתירות 2024 פרקים'!S10+'תקציב אגף המיחשוב 2024 פרקים'!S15+'תקציב מינהל כללי 2024 פרקים'!S7</f>
        <v>1640000</v>
      </c>
      <c r="R7" s="29">
        <f>'תקציב הנדסה 2024 פרקים'!T37+'תקציב החברה לפיתוח 2024 פרקים'!T13+'תקציב מינהל תפעול 2024 פרקים'!T17+'תקציב החברה לתירות 2024 פרקים'!T10+'תקציב אגף המיחשוב 2024 פרקים'!T15+'תקציב מינהל כללי 2024 פרקים'!T7</f>
        <v>15056185</v>
      </c>
      <c r="S7" s="29">
        <f>'תקציב הנדסה 2024 פרקים'!U37+'תקציב החברה לפיתוח 2024 פרקים'!U13+'תקציב מינהל תפעול 2024 פרקים'!U17+'תקציב החברה לתירות 2024 פרקים'!U10+'תקציב אגף המיחשוב 2024 פרקים'!U15+'תקציב מינהל כללי 2024 פרקים'!U7</f>
        <v>-4167385</v>
      </c>
      <c r="T7" s="29">
        <f>'תקציב הנדסה 2024 פרקים'!V37+'תקציב החברה לפיתוח 2024 פרקים'!V13+'תקציב מינהל תפעול 2024 פרקים'!V17+'תקציב החברה לתירות 2024 פרקים'!V10+'תקציב אגף המיחשוב 2024 פרקים'!V15+'תקציב מינהל כללי 2024 פרקים'!V7</f>
        <v>1196142</v>
      </c>
      <c r="U7" s="29">
        <f>'תקציב הנדסה 2024 פרקים'!W37+'תקציב החברה לפיתוח 2024 פרקים'!W13+'תקציב מינהל תפעול 2024 פרקים'!W17+'תקציב החברה לתירות 2024 פרקים'!W10+'תקציב אגף המיחשוב 2024 פרקים'!W15+'תקציב מינהל כללי 2024 פרקים'!W7</f>
        <v>-5709280</v>
      </c>
      <c r="V7" s="29">
        <f>'תקציב הנדסה 2024 פרקים'!X37+'תקציב החברה לפיתוח 2024 פרקים'!X13+'תקציב מינהל תפעול 2024 פרקים'!X17+'תקציב החברה לתירות 2024 פרקים'!X10+'תקציב אגף המיחשוב 2024 פרקים'!X15+'תקציב מינהל כללי 2024 פרקים'!X7</f>
        <v>0</v>
      </c>
      <c r="W7" s="29">
        <f>'תקציב הנדסה 2024 פרקים'!Y37+'תקציב החברה לפיתוח 2024 פרקים'!Y13+'תקציב מינהל תפעול 2024 פרקים'!Y17+'תקציב החברה לתירות 2024 פרקים'!Y10+'תקציב אגף המיחשוב 2024 פרקים'!Y15+'תקציב מינהל כללי 2024 פרקים'!Y7</f>
        <v>0</v>
      </c>
      <c r="X7" s="29">
        <f>'תקציב הנדסה 2024 פרקים'!Z37+'תקציב החברה לפיתוח 2024 פרקים'!Z13+'תקציב מינהל תפעול 2024 פרקים'!Z17+'תקציב החברה לתירות 2024 פרקים'!Z10+'תקציב אגף המיחשוב 2024 פרקים'!Z15+'תקציב מינהל כללי 2024 פרקים'!Z7</f>
        <v>0</v>
      </c>
      <c r="Y7" s="29">
        <f>'תקציב הנדסה 2024 פרקים'!AA37+'תקציב החברה לפיתוח 2024 פרקים'!AA13+'תקציב מינהל תפעול 2024 פרקים'!AA17+'תקציב החברה לתירות 2024 פרקים'!AA10+'תקציב אגף המיחשוב 2024 פרקים'!AA15+'תקציב מינהל כללי 2024 פרקים'!AA7</f>
        <v>345753</v>
      </c>
      <c r="Z7" s="30"/>
    </row>
    <row r="8" spans="1:26" s="31" customFormat="1" ht="27" customHeight="1">
      <c r="A8" s="2" t="s">
        <v>342</v>
      </c>
      <c r="B8" s="29">
        <f>'תקציב הנדסה 2024 פרקים'!D66+'תקציב החברה לפיתוח 2024 פרקים'!D68+'תקציב מינהל תפעול 2024 פרקים'!D43+'תקציב החברה לתירות 2024 פרקים'!D14+'תקציב איכות הסביבה 2024 פרקים'!D9+'תקציב מינהל כללי 2024 פרקים'!D14</f>
        <v>2357428300</v>
      </c>
      <c r="C8" s="29">
        <f>'תקציב הנדסה 2024 פרקים'!E66+'תקציב החברה לפיתוח 2024 פרקים'!E68+'תקציב מינהל תפעול 2024 פרקים'!E43+'תקציב החברה לתירות 2024 פרקים'!E14+'תקציב איכות הסביבה 2024 פרקים'!E9+'תקציב מינהל כללי 2024 פרקים'!E14</f>
        <v>1989186799</v>
      </c>
      <c r="D8" s="29">
        <f>'תקציב הנדסה 2024 פרקים'!F66+'תקציב החברה לפיתוח 2024 פרקים'!F68+'תקציב מינהל תפעול 2024 פרקים'!F43+'תקציב החברה לתירות 2024 פרקים'!F14+'תקציב איכות הסביבה 2024 פרקים'!F9+'תקציב מינהל כללי 2024 פרקים'!F14</f>
        <v>368241501</v>
      </c>
      <c r="E8" s="29">
        <f>'תקציב הנדסה 2024 פרקים'!G66+'תקציב החברה לפיתוח 2024 פרקים'!G68+'תקציב מינהל תפעול 2024 פרקים'!G43+'תקציב החברה לתירות 2024 פרקים'!G14+'תקציב איכות הסביבה 2024 פרקים'!G9+'תקציב מינהל כללי 2024 פרקים'!G14</f>
        <v>1110026093</v>
      </c>
      <c r="F8" s="29">
        <f>'תקציב הנדסה 2024 פרקים'!H66+'תקציב החברה לפיתוח 2024 פרקים'!H68+'תקציב מינהל תפעול 2024 פרקים'!H43+'תקציב החברה לתירות 2024 פרקים'!H14+'תקציב איכות הסביבה 2024 פרקים'!H9+'תקציב מינהל כללי 2024 פרקים'!H14</f>
        <v>1059751845</v>
      </c>
      <c r="G8" s="29">
        <f>'תקציב הנדסה 2024 פרקים'!I66+'תקציב החברה לפיתוח 2024 פרקים'!I68+'תקציב מינהל תפעול 2024 פרקים'!I43+'תקציב החברה לתירות 2024 פרקים'!I14+'תקציב איכות הסביבה 2024 פרקים'!I9+'תקציב מינהל כללי 2024 פרקים'!I14</f>
        <v>1226643</v>
      </c>
      <c r="H8" s="29">
        <f>'תקציב הנדסה 2024 פרקים'!J66+'תקציב החברה לפיתוח 2024 פרקים'!J68+'תקציב מינהל תפעול 2024 פרקים'!J43+'תקציב החברה לתירות 2024 פרקים'!J14+'תקציב איכות הסביבה 2024 פרקים'!J9+'תקציב מינהל כללי 2024 פרקים'!J14</f>
        <v>21780818</v>
      </c>
      <c r="I8" s="29">
        <f>'תקציב הנדסה 2024 פרקים'!K66+'תקציב החברה לפיתוח 2024 פרקים'!K68+'תקציב מינהל תפעול 2024 פרקים'!K43+'תקציב החברה לתירות 2024 פרקים'!K14+'תקציב איכות הסביבה 2024 פרקים'!K9+'תקציב מינהל כללי 2024 פרקים'!K14</f>
        <v>23007461</v>
      </c>
      <c r="J8" s="29">
        <f>'תקציב הנדסה 2024 פרקים'!L66+'תקציב החברה לפיתוח 2024 פרקים'!L68+'תקציב מינהל תפעול 2024 פרקים'!L43+'תקציב החברה לתירות 2024 פרקים'!L14+'תקציב איכות הסביבה 2024 פרקים'!L9+'תקציב מינהל כללי 2024 פרקים'!L14</f>
        <v>1082759306</v>
      </c>
      <c r="K8" s="29">
        <f>'תקציב הנדסה 2024 פרקים'!M66+'תקציב החברה לפיתוח 2024 פרקים'!M68+'תקציב מינהל תפעול 2024 פרקים'!M43+'תקציב החברה לתירות 2024 פרקים'!M14+'תקציב איכות הסביבה 2024 פרקים'!M9+'תקציב מינהל כללי 2024 פרקים'!M14</f>
        <v>618166</v>
      </c>
      <c r="L8" s="29">
        <f>'תקציב הנדסה 2024 פרקים'!N66+'תקציב החברה לפיתוח 2024 פרקים'!N68+'תקציב מינהל תפעול 2024 פרקים'!N43+'תקציב החברה לתירות 2024 פרקים'!N14+'תקציב איכות הסביבה 2024 פרקים'!N9+'תקציב מינהל כללי 2024 פרקים'!N14</f>
        <v>186154327</v>
      </c>
      <c r="M8" s="29">
        <f>'תקציב הנדסה 2024 פרקים'!O66+'תקציב החברה לפיתוח 2024 פרקים'!O68+'תקציב מינהל תפעול 2024 פרקים'!O43+'תקציב החברה לתירות 2024 פרקים'!O14+'תקציב איכות הסביבה 2024 פרקים'!O9+'תקציב מינהל כללי 2024 פרקים'!O14</f>
        <v>1087896501</v>
      </c>
      <c r="N8" s="29">
        <f>'תקציב הנדסה 2024 פרקים'!P66+'תקציב החברה לפיתוח 2024 פרקים'!P68+'תקציב מינהל תפעול 2024 פרקים'!P43+'תקציב החברה לתירות 2024 פרקים'!P14+'תקציב איכות הסביבה 2024 פרקים'!P9+'תקציב מינהל כללי 2024 פרקים'!P14</f>
        <v>27266787</v>
      </c>
      <c r="O8" s="29">
        <f>'תקציב הנדסה 2024 פרקים'!Q66+'תקציב החברה לפיתוח 2024 פרקים'!Q68+'תקציב מינהל תפעול 2024 פרקים'!Q43+'תקציב החברה לתירות 2024 פרקים'!Q14+'תקציב איכות הסביבה 2024 פרקים'!Q9+'תקציב מינהל כללי 2024 פרקים'!Q14</f>
        <v>45250000</v>
      </c>
      <c r="P8" s="29">
        <f>'תקציב הנדסה 2024 פרקים'!R66+'תקציב החברה לפיתוח 2024 פרקים'!R68+'תקציב מינהל תפעול 2024 פרקים'!R43+'תקציב החברה לתירות 2024 פרקים'!R14+'תקציב איכות הסביבה 2024 פרקים'!R9+'תקציב מינהל כללי 2024 פרקים'!R14</f>
        <v>7500000</v>
      </c>
      <c r="Q8" s="29">
        <f>'תקציב הנדסה 2024 פרקים'!S66+'תקציב החברה לפיתוח 2024 פרקים'!S68+'תקציב מינהל תפעול 2024 פרקים'!S43+'תקציב החברה לתירות 2024 פרקים'!S14+'תקציב איכות הסביבה 2024 פרקים'!S9+'תקציב מינהל כללי 2024 פרקים'!S14</f>
        <v>52750000</v>
      </c>
      <c r="R8" s="29">
        <f>'תקציב הנדסה 2024 פרקים'!T66+'תקציב החברה לפיתוח 2024 פרקים'!T68+'תקציב מינהל תפעול 2024 פרקים'!T43+'תקציב החברה לתירות 2024 פרקים'!T14+'תקציב איכות הסביבה 2024 פרקים'!T9+'תקציב מינהל כללי 2024 פרקים'!T14</f>
        <v>79398621</v>
      </c>
      <c r="S8" s="29">
        <f>'תקציב הנדסה 2024 פרקים'!U66+'תקציב החברה לפיתוח 2024 פרקים'!U68+'תקציב מינהל תפעול 2024 פרקים'!U43+'תקציב החברה לתירות 2024 פרקים'!U14+'תקציב איכות הסביבה 2024 פרקים'!U9+'תקציב מינהל כללי 2024 פרקים'!U14</f>
        <v>106755706</v>
      </c>
      <c r="T8" s="29">
        <f>'תקציב הנדסה 2024 פרקים'!V66+'תקציב החברה לפיתוח 2024 פרקים'!V68+'תקציב מינהל תפעול 2024 פרקים'!V43+'תקציב החברה לתירות 2024 פרקים'!V14+'תקציב איכות הסביבה 2024 פרקים'!V9+'תקציב מינהל כללי 2024 פרקים'!V14</f>
        <v>54297791</v>
      </c>
      <c r="U8" s="29">
        <f>'תקציב הנדסה 2024 פרקים'!W66+'תקציב החברה לפיתוח 2024 פרקים'!W68+'תקציב מינהל תפעול 2024 פרקים'!W43+'תקציב החברה לתירות 2024 פרקים'!W14+'תקציב איכות הסביבה 2024 פרקים'!W9+'תקציב מינהל כללי 2024 פרקים'!W14</f>
        <v>9613351</v>
      </c>
      <c r="V8" s="29">
        <f>'תקציב הנדסה 2024 פרקים'!X66+'תקציב החברה לפיתוח 2024 פרקים'!X68+'תקציב מינהל תפעול 2024 פרקים'!X43+'תקציב החברה לתירות 2024 פרקים'!X14+'תקציב איכות הסביבה 2024 פרקים'!X9+'תקציב מינהל כללי 2024 פרקים'!X14</f>
        <v>0</v>
      </c>
      <c r="W8" s="29">
        <f>'תקציב הנדסה 2024 פרקים'!Y66+'תקציב החברה לפיתוח 2024 פרקים'!Y68+'תקציב מינהל תפעול 2024 פרקים'!Y43+'תקציב החברה לתירות 2024 פרקים'!Y14+'תקציב איכות הסביבה 2024 פרקים'!Y9+'תקציב מינהל כללי 2024 פרקים'!Y14</f>
        <v>15736186</v>
      </c>
      <c r="X8" s="29">
        <f>'תקציב הנדסה 2024 פרקים'!Z66+'תקציב החברה לפיתוח 2024 פרקים'!Z68+'תקציב מינהל תפעול 2024 פרקים'!Z43+'תקציב החברה לתירות 2024 פרקים'!Z14+'תקציב איכות הסביבה 2024 פרקים'!Z9+'תקציב מינהל כללי 2024 פרקים'!Z14</f>
        <v>0</v>
      </c>
      <c r="Y8" s="29">
        <f>'תקציב הנדסה 2024 פרקים'!AA66+'תקציב החברה לפיתוח 2024 פרקים'!AA68+'תקציב מינהל תפעול 2024 פרקים'!AA43+'תקציב החברה לתירות 2024 פרקים'!AA14+'תקציב איכות הסביבה 2024 פרקים'!AA9+'תקציב מינהל כללי 2024 פרקים'!AA14</f>
        <v>27108378</v>
      </c>
    </row>
    <row r="9" spans="1:26" s="31" customFormat="1" ht="25.2" customHeight="1">
      <c r="A9" s="338" t="s">
        <v>343</v>
      </c>
      <c r="B9" s="29">
        <f>'תקציב החברה לפיתוח 2024 פרקים'!D73+'תקציב מינהל תפעול 2024 פרקים'!D61+'תקציב החברה לתירות 2024 פרקים'!D17</f>
        <v>76714595</v>
      </c>
      <c r="C9" s="29">
        <f>'תקציב החברה לפיתוח 2024 פרקים'!E73+'תקציב מינהל תפעול 2024 פרקים'!E61+'תקציב החברה לתירות 2024 פרקים'!E17</f>
        <v>71451408</v>
      </c>
      <c r="D9" s="29">
        <f>'תקציב החברה לפיתוח 2024 פרקים'!F73+'תקציב מינהל תפעול 2024 פרקים'!F61+'תקציב החברה לתירות 2024 פרקים'!F17</f>
        <v>5263187</v>
      </c>
      <c r="E9" s="29">
        <f>'תקציב החברה לפיתוח 2024 פרקים'!G73+'תקציב מינהל תפעול 2024 פרקים'!G61+'תקציב החברה לתירות 2024 פרקים'!G17</f>
        <v>57321408</v>
      </c>
      <c r="F9" s="29">
        <f>'תקציב החברה לפיתוח 2024 פרקים'!H73+'תקציב מינהל תפעול 2024 פרקים'!H61+'תקציב החברה לתירות 2024 פרקים'!H17</f>
        <v>55893965</v>
      </c>
      <c r="G9" s="29">
        <f>'תקציב החברה לפיתוח 2024 פרקים'!I73+'תקציב מינהל תפעול 2024 פרקים'!I61+'תקציב החברה לתירות 2024 פרקים'!I17</f>
        <v>56624</v>
      </c>
      <c r="H9" s="29">
        <f>'תקציב החברה לפיתוח 2024 פרקים'!J73+'תקציב מינהל תפעול 2024 פרקים'!J61+'תקציב החברה לתירות 2024 פרקים'!J17</f>
        <v>1405755</v>
      </c>
      <c r="I9" s="29">
        <f>'תקציב החברה לפיתוח 2024 פרקים'!K73+'תקציב מינהל תפעול 2024 פרקים'!K61+'תקציב החברה לתירות 2024 פרקים'!K17</f>
        <v>1462379</v>
      </c>
      <c r="J9" s="29">
        <f>'תקציב החברה לפיתוח 2024 פרקים'!L73+'תקציב מינהל תפעול 2024 פרקים'!L61+'תקציב החברה לתירות 2024 פרקים'!L17</f>
        <v>57356344</v>
      </c>
      <c r="K9" s="29">
        <f>'תקציב החברה לפיתוח 2024 פרקים'!M73+'תקציב מינהל תפעול 2024 פרקים'!M61+'תקציב החברה לתירות 2024 פרקים'!M17</f>
        <v>59206</v>
      </c>
      <c r="L9" s="29">
        <f>'תקציב החברה לפיתוח 2024 פרקים'!N73+'תקציב מינהל תפעול 2024 פרקים'!N61+'תקציב החברה לתירות 2024 פרקים'!N17</f>
        <v>5949045</v>
      </c>
      <c r="M9" s="29">
        <f>'תקציב החברה לפיתוח 2024 פרקים'!O73+'תקציב מינהל תפעול 2024 פרקים'!O61+'תקציב החברה לתירות 2024 פרקים'!O17</f>
        <v>13350000</v>
      </c>
      <c r="N9" s="29">
        <f>'תקציב החברה לפיתוח 2024 פרקים'!P73+'תקציב מינהל תפעול 2024 פרקים'!P61+'תקציב החברה לתירות 2024 פרקים'!P17</f>
        <v>-34936</v>
      </c>
      <c r="O9" s="29">
        <f>'תקציב החברה לפיתוח 2024 פרקים'!Q73+'תקציב מינהל תפעול 2024 פרקים'!Q61+'תקציב החברה לתירות 2024 פרקים'!Q17</f>
        <v>0</v>
      </c>
      <c r="P9" s="29">
        <f>'תקציב החברה לפיתוח 2024 פרקים'!R73+'תקציב מינהל תפעול 2024 פרקים'!R61+'תקציב החברה לתירות 2024 פרקים'!R17</f>
        <v>3000000</v>
      </c>
      <c r="Q9" s="29">
        <f>'תקציב החברה לפיתוח 2024 פרקים'!S73+'תקציב מינהל תפעול 2024 פרקים'!S61+'תקציב החברה לתירות 2024 פרקים'!S17</f>
        <v>3000000</v>
      </c>
      <c r="R9" s="29">
        <f>'תקציב החברה לפיתוח 2024 פרקים'!T73+'תקציב מינהל תפעול 2024 פרקים'!T61+'תקציב החברה לתירות 2024 פרקים'!T17</f>
        <v>2905858</v>
      </c>
      <c r="S9" s="29">
        <f>'תקציב החברה לפיתוח 2024 פרקים'!U73+'תקציב מינהל תפעול 2024 פרקים'!U61+'תקציב החברה לתירות 2024 פרקים'!U17</f>
        <v>3043187</v>
      </c>
      <c r="T9" s="29">
        <f>'תקציב החברה לפיתוח 2024 פרקים'!V73+'תקציב מינהל תפעול 2024 פרקים'!V61+'תקציב החברה לתירות 2024 פרקים'!V17</f>
        <v>-60000</v>
      </c>
      <c r="U9" s="29">
        <f>'תקציב החברה לפיתוח 2024 פרקים'!W73+'תקציב מינהל תפעול 2024 פרקים'!W61+'תקציב החברה לתירות 2024 פרקים'!W17</f>
        <v>2637792</v>
      </c>
      <c r="V9" s="29">
        <f>'תקציב החברה לפיתוח 2024 פרקים'!X73+'תקציב מינהל תפעול 2024 פרקים'!X61+'תקציב החברה לתירות 2024 פרקים'!X17</f>
        <v>0</v>
      </c>
      <c r="W9" s="29">
        <f>'תקציב החברה לפיתוח 2024 פרקים'!Y73+'תקציב מינהל תפעול 2024 פרקים'!Y61+'תקציב החברה לתירות 2024 פרקים'!Y17</f>
        <v>0</v>
      </c>
      <c r="X9" s="29">
        <f>'תקציב החברה לפיתוח 2024 פרקים'!Z73+'תקציב מינהל תפעול 2024 פרקים'!Z61+'תקציב החברה לתירות 2024 פרקים'!Z17</f>
        <v>0</v>
      </c>
      <c r="Y9" s="29">
        <f>'תקציב החברה לפיתוח 2024 פרקים'!AA73+'תקציב מינהל תפעול 2024 פרקים'!AA61+'תקציב החברה לתירות 2024 פרקים'!AA17</f>
        <v>465395</v>
      </c>
    </row>
    <row r="10" spans="1:26" s="31" customFormat="1" ht="41.4">
      <c r="A10" s="2" t="s">
        <v>694</v>
      </c>
      <c r="B10" s="29">
        <f>'תקציב הנדסה 2024 פרקים'!D69+'תקציב החברה לפיתוח 2024 פרקים'!D76+'תקציב מינהל תפעול 2024 פרקים'!D14+'תקציב מינהל תפעול 2024 פרקים'!D64+'תקציב אגף המיחשוב 2024 פרקים'!D23+'תקציב אגף המיחשוב 2024 פרקים'!D12+'תקציב מינהל כללי 2024 פרקים'!D18</f>
        <v>228166000</v>
      </c>
      <c r="C10" s="29">
        <f>'תקציב הנדסה 2024 פרקים'!E69+'תקציב החברה לפיתוח 2024 פרקים'!E76+'תקציב מינהל תפעול 2024 פרקים'!E14+'תקציב מינהל תפעול 2024 פרקים'!E64+'תקציב אגף המיחשוב 2024 פרקים'!E23+'תקציב אגף המיחשוב 2024 פרקים'!E12+'תקציב מינהל כללי 2024 פרקים'!E18</f>
        <v>169646000</v>
      </c>
      <c r="D10" s="29">
        <f>'תקציב הנדסה 2024 פרקים'!F69+'תקציב החברה לפיתוח 2024 פרקים'!F76+'תקציב מינהל תפעול 2024 פרקים'!F14+'תקציב מינהל תפעול 2024 פרקים'!F64+'תקציב אגף המיחשוב 2024 פרקים'!F23+'תקציב אגף המיחשוב 2024 פרקים'!F12+'תקציב מינהל כללי 2024 פרקים'!F18</f>
        <v>58520000</v>
      </c>
      <c r="E10" s="29">
        <f>'תקציב הנדסה 2024 פרקים'!G69+'תקציב החברה לפיתוח 2024 פרקים'!G76+'תקציב מינהל תפעול 2024 פרקים'!G14+'תקציב מינהל תפעול 2024 פרקים'!G64+'תקציב אגף המיחשוב 2024 פרקים'!G23+'תקציב אגף המיחשוב 2024 פרקים'!G12+'תקציב מינהל כללי 2024 פרקים'!G18</f>
        <v>131056000</v>
      </c>
      <c r="F10" s="29">
        <f>'תקציב הנדסה 2024 פרקים'!H69+'תקציב החברה לפיתוח 2024 פרקים'!H76+'תקציב מינהל תפעול 2024 פרקים'!H14+'תקציב מינהל תפעול 2024 פרקים'!H64+'תקציב אגף המיחשוב 2024 פרקים'!H23+'תקציב אגף המיחשוב 2024 פרקים'!H12+'תקציב מינהל כללי 2024 פרקים'!H18</f>
        <v>119356533</v>
      </c>
      <c r="G10" s="29">
        <f>'תקציב הנדסה 2024 פרקים'!I69+'תקציב החברה לפיתוח 2024 פרקים'!I76+'תקציב מינהל תפעול 2024 פרקים'!I14+'תקציב מינהל תפעול 2024 פרקים'!I64+'תקציב אגף המיחשוב 2024 פרקים'!I23+'תקציב אגף המיחשוב 2024 פרקים'!I12+'תקציב מינהל כללי 2024 פרקים'!I18</f>
        <v>0</v>
      </c>
      <c r="H10" s="29">
        <f>'תקציב הנדסה 2024 פרקים'!J69+'תקציב החברה לפיתוח 2024 פרקים'!J76+'תקציב מינהל תפעול 2024 פרקים'!J14+'תקציב מינהל תפעול 2024 פרקים'!J64+'תקציב אגף המיחשוב 2024 פרקים'!J23+'תקציב אגף המיחשוב 2024 פרקים'!J12+'תקציב מינהל כללי 2024 פרקים'!J18</f>
        <v>9908675</v>
      </c>
      <c r="I10" s="29">
        <f>'תקציב הנדסה 2024 פרקים'!K69+'תקציב החברה לפיתוח 2024 פרקים'!K76+'תקציב מינהל תפעול 2024 פרקים'!K14+'תקציב מינהל תפעול 2024 פרקים'!K64+'תקציב אגף המיחשוב 2024 פרקים'!K23+'תקציב אגף המיחשוב 2024 פרקים'!K12+'תקציב מינהל כללי 2024 פרקים'!K18</f>
        <v>9908675</v>
      </c>
      <c r="J10" s="29">
        <f>'תקציב הנדסה 2024 פרקים'!L69+'תקציב החברה לפיתוח 2024 פרקים'!L76+'תקציב מינהל תפעול 2024 פרקים'!L14+'תקציב מינהל תפעול 2024 פרקים'!L64+'תקציב אגף המיחשוב 2024 פרקים'!L23+'תקציב אגף המיחשוב 2024 פרקים'!L12+'תקציב מינהל כללי 2024 פרקים'!L18</f>
        <v>129265208</v>
      </c>
      <c r="K10" s="29">
        <f>'תקציב הנדסה 2024 פרקים'!M69+'תקציב החברה לפיתוח 2024 פרקים'!M76+'תקציב מינהל תפעול 2024 פרקים'!M14+'תקציב מינהל תפעול 2024 פרקים'!M64+'תקציב אגף המיחשוב 2024 פרקים'!M23+'תקציב אגף המיחשוב 2024 פרקים'!M12+'תקציב מינהל כללי 2024 פרקים'!M18</f>
        <v>51792</v>
      </c>
      <c r="L10" s="29">
        <f>'תקציב הנדסה 2024 פרקים'!N69+'תקציב החברה לפיתוח 2024 פרקים'!N76+'תקציב מינהל תפעול 2024 פרקים'!N14+'תקציב מינהל תפעול 2024 פרקים'!N64+'תקציב אגף המיחשוב 2024 פרקים'!N23+'תקציב אגף המיחשוב 2024 פרקים'!N12+'תקציב מינהל כללי 2024 פרקים'!N18</f>
        <v>35534000</v>
      </c>
      <c r="M10" s="29">
        <f>'תקציב הנדסה 2024 פרקים'!O69+'תקציב החברה לפיתוח 2024 פרקים'!O76+'תקציב מינהל תפעול 2024 פרקים'!O14+'תקציב מינהל תפעול 2024 פרקים'!O64+'תקציב אגף המיחשוב 2024 פרקים'!O23+'תקציב אגף המיחשוב 2024 פרקים'!O12+'תקציב מינהל כללי 2024 פרקים'!O18</f>
        <v>63315000</v>
      </c>
      <c r="N10" s="29">
        <f>'תקציב הנדסה 2024 פרקים'!P69+'תקציב החברה לפיתוח 2024 פרקים'!P76+'תקציב מינהל תפעול 2024 פרקים'!P14+'תקציב מינהל תפעול 2024 פרקים'!P64+'תקציב אגף המיחשוב 2024 פרקים'!P23+'תקציב אגף המיחשוב 2024 פרקים'!P12+'תקציב מינהל כללי 2024 פרקים'!P18</f>
        <v>1790792</v>
      </c>
      <c r="O10" s="29">
        <f>'תקציב הנדסה 2024 פרקים'!Q69+'תקציב החברה לפיתוח 2024 פרקים'!Q76+'תקציב מינהל תפעול 2024 פרקים'!Q14+'תקציב מינהל תפעול 2024 פרקים'!Q64+'תקציב אגף המיחשוב 2024 פרקים'!Q23+'תקציב אגף המיחשוב 2024 פרקים'!Q12+'תקציב מינהל כללי 2024 פרקים'!Q18</f>
        <v>700000</v>
      </c>
      <c r="P10" s="29">
        <f>'תקציב הנדסה 2024 פרקים'!R69+'תקציב החברה לפיתוח 2024 פרקים'!R76+'תקציב מינהל תפעול 2024 פרקים'!R14+'תקציב מינהל תפעול 2024 פרקים'!R64+'תקציב אגף המיחשוב 2024 פרקים'!R23+'תקציב אגף המיחשוב 2024 פרקים'!R12+'תקציב מינהל כללי 2024 פרקים'!R18</f>
        <v>5380000</v>
      </c>
      <c r="Q10" s="29">
        <f>'תקציב הנדסה 2024 פרקים'!S69+'תקציב החברה לפיתוח 2024 פרקים'!S76+'תקציב מינהל תפעול 2024 פרקים'!S14+'תקציב מינהל תפעול 2024 פרקים'!S64+'תקציב אגף המיחשוב 2024 פרקים'!S23+'תקציב אגף המיחשוב 2024 פרקים'!S12+'תקציב מינהל כללי 2024 פרקים'!S18</f>
        <v>6080000</v>
      </c>
      <c r="R10" s="29">
        <f>'תקציב הנדסה 2024 פרקים'!T69+'תקציב החברה לפיתוח 2024 פרקים'!T76+'תקציב מינהל תפעול 2024 פרקים'!T14+'תקציב מינהל תפעול 2024 פרקים'!T64+'תקציב אגף המיחשוב 2024 פרקים'!T23+'תקציב אגף המיחשוב 2024 פרקים'!T12+'תקציב מינהל כללי 2024 פרקים'!T18</f>
        <v>7819000</v>
      </c>
      <c r="S10" s="29">
        <f>'תקציב הנדסה 2024 פרקים'!U69+'תקציב החברה לפיתוח 2024 פרקים'!U76+'תקציב מינהל תפעול 2024 פרקים'!U14+'תקציב מינהל תפעול 2024 פרקים'!U64+'תקציב אגף המיחשוב 2024 פרקים'!U23+'תקציב אגף המיחשוב 2024 פרקים'!U12+'תקציב מינהל כללי 2024 פרקים'!U18</f>
        <v>27715000</v>
      </c>
      <c r="T10" s="29">
        <f>'תקציב הנדסה 2024 פרקים'!V69+'תקציב החברה לפיתוח 2024 פרקים'!V76+'תקציב מינהל תפעול 2024 פרקים'!V14+'תקציב מינהל תפעול 2024 פרקים'!V64+'תקציב אגף המיחשוב 2024 פרקים'!V23+'תקציב אגף המיחשוב 2024 פרקים'!V12+'תקציב מינהל כללי 2024 פרקים'!V18</f>
        <v>2820000</v>
      </c>
      <c r="U10" s="29">
        <f>'תקציב הנדסה 2024 פרקים'!W69+'תקציב החברה לפיתוח 2024 פרקים'!W76+'תקציב מינהל תפעול 2024 פרקים'!W14+'תקציב מינהל תפעול 2024 פרקים'!W64+'תקציב אגף המיחשוב 2024 פרקים'!W23+'תקציב אגף המיחשוב 2024 פרקים'!W12+'תקציב מינהל כללי 2024 פרקים'!W18</f>
        <v>1670822</v>
      </c>
      <c r="V10" s="29">
        <f>'תקציב הנדסה 2024 פרקים'!X69+'תקציב החברה לפיתוח 2024 פרקים'!X76+'תקציב מינהל תפעול 2024 פרקים'!X14+'תקציב מינהל תפעול 2024 פרקים'!X64+'תקציב אגף המיחשוב 2024 פרקים'!X23+'תקציב אגף המיחשוב 2024 פרקים'!X12+'תקציב מינהל כללי 2024 פרקים'!X18</f>
        <v>0</v>
      </c>
      <c r="W10" s="29">
        <f>'תקציב הנדסה 2024 פרקים'!Y69+'תקציב החברה לפיתוח 2024 פרקים'!Y76+'תקציב מינהל תפעול 2024 פרקים'!Y14+'תקציב מינהל תפעול 2024 פרקים'!Y64+'תקציב אגף המיחשוב 2024 פרקים'!Y23+'תקציב אגף המיחשוב 2024 פרקים'!Y12+'תקציב מינהל כללי 2024 פרקים'!Y18</f>
        <v>23200000</v>
      </c>
      <c r="X10" s="29">
        <f>'תקציב הנדסה 2024 פרקים'!Z69+'תקציב החברה לפיתוח 2024 פרקים'!Z76+'תקציב מינהל תפעול 2024 פרקים'!Z14+'תקציב מינהל תפעול 2024 פרקים'!Z64+'תקציב אגף המיחשוב 2024 פרקים'!Z23+'תקציב אגף המיחשוב 2024 פרקים'!Z12+'תקציב מינהל כללי 2024 פרקים'!Z18</f>
        <v>0</v>
      </c>
      <c r="Y10" s="29">
        <f>'תקציב הנדסה 2024 פרקים'!AA69+'תקציב החברה לפיתוח 2024 פרקים'!AA76+'תקציב מינהל תפעול 2024 פרקים'!AA14+'תקציב מינהל תפעול 2024 פרקים'!AA64+'תקציב אגף המיחשוב 2024 פרקים'!AA23+'תקציב אגף המיחשוב 2024 פרקים'!AA12+'תקציב מינהל כללי 2024 פרקים'!AA18</f>
        <v>24178</v>
      </c>
    </row>
    <row r="11" spans="1:26" s="31" customFormat="1" ht="25.2" customHeight="1">
      <c r="A11" s="338" t="s">
        <v>344</v>
      </c>
      <c r="B11" s="29">
        <f>'תקציב החברה לפיתוח 2024 פרקים'!D110+'תקציב מינהל תפעול 2024 פרקים'!D101+'תקציב מינהל חינוך 2024 פרקים'!D17+'תקציב אגף המיחשוב 2024 פרקים'!D28+'תקציב איכות הסביבה 2024 פרקים'!D12</f>
        <v>1821674414</v>
      </c>
      <c r="C11" s="29">
        <f>'תקציב החברה לפיתוח 2024 פרקים'!E110+'תקציב מינהל תפעול 2024 פרקים'!E101+'תקציב מינהל חינוך 2024 פרקים'!E17+'תקציב אגף המיחשוב 2024 פרקים'!E28+'תקציב איכות הסביבה 2024 פרקים'!E12</f>
        <v>1671217535</v>
      </c>
      <c r="D11" s="29">
        <f>'תקציב החברה לפיתוח 2024 פרקים'!F110+'תקציב מינהל תפעול 2024 פרקים'!F101+'תקציב מינהל חינוך 2024 פרקים'!F17+'תקציב אגף המיחשוב 2024 פרקים'!F28+'תקציב איכות הסביבה 2024 פרקים'!F12</f>
        <v>150456879</v>
      </c>
      <c r="E11" s="29">
        <f>'תקציב החברה לפיתוח 2024 פרקים'!G110+'תקציב מינהל תפעול 2024 פרקים'!G101+'תקציב מינהל חינוך 2024 פרקים'!G17+'תקציב אגף המיחשוב 2024 פרקים'!G28+'תקציב איכות הסביבה 2024 פרקים'!G12</f>
        <v>961822885</v>
      </c>
      <c r="F11" s="29">
        <f>'תקציב החברה לפיתוח 2024 פרקים'!H110+'תקציב מינהל תפעול 2024 פרקים'!H101+'תקציב מינהל חינוך 2024 פרקים'!H17+'תקציב אגף המיחשוב 2024 פרקים'!H28+'תקציב איכות הסביבה 2024 פרקים'!H12</f>
        <v>944045423</v>
      </c>
      <c r="G11" s="29">
        <f>'תקציב החברה לפיתוח 2024 פרקים'!I110+'תקציב מינהל תפעול 2024 פרקים'!I101+'תקציב מינהל חינוך 2024 פרקים'!I17+'תקציב אגף המיחשוב 2024 פרקים'!I28+'תקציב איכות הסביבה 2024 פרקים'!I12</f>
        <v>1679392</v>
      </c>
      <c r="H11" s="29">
        <f>'תקציב החברה לפיתוח 2024 פרקים'!J110+'תקציב מינהל תפעול 2024 פרקים'!J101+'תקציב מינהל חינוך 2024 פרקים'!J17+'תקציב אגף המיחשוב 2024 פרקים'!J28+'תקציב איכות הסביבה 2024 פרקים'!J12</f>
        <v>9064459</v>
      </c>
      <c r="I11" s="29">
        <f>'תקציב החברה לפיתוח 2024 פרקים'!K110+'תקציב מינהל תפעול 2024 פרקים'!K101+'תקציב מינהל חינוך 2024 פרקים'!K17+'תקציב אגף המיחשוב 2024 פרקים'!K28+'תקציב איכות הסביבה 2024 פרקים'!K12</f>
        <v>10743851</v>
      </c>
      <c r="J11" s="29">
        <f>'תקציב החברה לפיתוח 2024 פרקים'!L110+'תקציב מינהל תפעול 2024 פרקים'!L101+'תקציב מינהל חינוך 2024 פרקים'!L17+'תקציב אגף המיחשוב 2024 פרקים'!L28+'תקציב איכות הסביבה 2024 פרקים'!L12</f>
        <v>954789274</v>
      </c>
      <c r="K11" s="29">
        <f>'תקציב החברה לפיתוח 2024 פרקים'!M110+'תקציב מינהל תפעול 2024 פרקים'!M101+'תקציב מינהל חינוך 2024 פרקים'!M17+'תקציב אגף המיחשוב 2024 פרקים'!M28+'תקציב איכות הסביבה 2024 פרקים'!M12</f>
        <v>281631</v>
      </c>
      <c r="L11" s="29">
        <f>'תקציב החברה לפיתוח 2024 פרקים'!N110+'תקציב מינהל תפעול 2024 פרקים'!N101+'תקציב מינהל חינוך 2024 פרקים'!N17+'תקציב אגף המיחשוב 2024 פרקים'!N28+'תקציב איכות הסביבה 2024 פרקים'!N12</f>
        <v>247432377</v>
      </c>
      <c r="M11" s="29">
        <f>'תקציב החברה לפיתוח 2024 פרקים'!O110+'תקציב מינהל תפעול 2024 פרקים'!O101+'תקציב מינהל חינוך 2024 פרקים'!O17+'תקציב אגף המיחשוב 2024 פרקים'!O28+'תקציב איכות הסביבה 2024 פרקים'!O12</f>
        <v>619171132</v>
      </c>
      <c r="N11" s="29">
        <f>'תקציב החברה לפיתוח 2024 פרקים'!P110+'תקציב מינהל תפעול 2024 פרקים'!P101+'תקציב מינהל חינוך 2024 פרקים'!P17+'תקציב אגף המיחשוב 2024 פרקים'!P28+'תקציב איכות הסביבה 2024 פרקים'!P12</f>
        <v>7033611</v>
      </c>
      <c r="O11" s="29">
        <f>'תקציב החברה לפיתוח 2024 פרקים'!Q110+'תקציב מינהל תפעול 2024 פרקים'!Q101+'תקציב מינהל חינוך 2024 פרקים'!Q17+'תקציב אגף המיחשוב 2024 פרקים'!Q28+'תקציב איכות הסביבה 2024 פרקים'!Q12</f>
        <v>35280155</v>
      </c>
      <c r="P11" s="29">
        <f>'תקציב החברה לפיתוח 2024 פרקים'!R110+'תקציב מינהל תפעול 2024 פרקים'!R101+'תקציב מינהל חינוך 2024 פרקים'!R17+'תקציב אגף המיחשוב 2024 פרקים'!R28+'תקציב איכות הסביבה 2024 פרקים'!R12</f>
        <v>2250000</v>
      </c>
      <c r="Q11" s="29">
        <f>'תקציב החברה לפיתוח 2024 פרקים'!S110+'תקציב מינהל תפעול 2024 פרקים'!S101+'תקציב מינהל חינוך 2024 פרקים'!S17+'תקציב אגף המיחשוב 2024 פרקים'!S28+'תקציב איכות הסביבה 2024 פרקים'!S12</f>
        <v>37530155</v>
      </c>
      <c r="R11" s="29">
        <f>'תקציב החברה לפיתוח 2024 פרקים'!T110+'תקציב מינהל תפעול 2024 פרקים'!T101+'תקציב מינהל חינוך 2024 פרקים'!T17+'תקציב אגף המיחשוב 2024 פרקים'!T28+'תקציב איכות הסביבה 2024 פרקים'!T12</f>
        <v>44282135</v>
      </c>
      <c r="S11" s="29">
        <f>'תקציב החברה לפיתוח 2024 פרקים'!U110+'תקציב מינהל תפעול 2024 פרקים'!U101+'תקציב מינהל חינוך 2024 פרקים'!U17+'תקציב אגף המיחשוב 2024 פרקים'!U28+'תקציב איכות הסביבה 2024 פרקים'!U12</f>
        <v>203150242</v>
      </c>
      <c r="T11" s="29">
        <f>'תקציב החברה לפיתוח 2024 פרקים'!V110+'תקציב מינהל תפעול 2024 פרקים'!V101+'תקציב מינהל חינוך 2024 פרקים'!V17+'תקציב אגף המיחשוב 2024 פרקים'!V28+'תקציב איכות הסביבה 2024 פרקים'!V12</f>
        <v>151228394</v>
      </c>
      <c r="U11" s="29">
        <f>'תקציב החברה לפיתוח 2024 פרקים'!W110+'תקציב מינהל תפעול 2024 פרקים'!W101+'תקציב מינהל חינוך 2024 פרקים'!W17+'תקציב אגף המיחשוב 2024 פרקים'!W28+'תקציב איכות הסביבה 2024 פרקים'!W12</f>
        <v>10635839</v>
      </c>
      <c r="V11" s="29">
        <f>'תקציב החברה לפיתוח 2024 פרקים'!X110+'תקציב מינהל תפעול 2024 פרקים'!X101+'תקציב מינהל חינוך 2024 פרקים'!X17+'תקציב אגף המיחשוב 2024 פרקים'!X28+'תקציב איכות הסביבה 2024 פרקים'!X12</f>
        <v>0</v>
      </c>
      <c r="W11" s="29">
        <f>'תקציב החברה לפיתוח 2024 פרקים'!Y110+'תקציב מינהל תפעול 2024 פרקים'!Y101+'תקציב מינהל חינוך 2024 פרקים'!Y17+'תקציב אגף המיחשוב 2024 פרקים'!Y28+'תקציב איכות הסביבה 2024 פרקים'!Y12</f>
        <v>500000</v>
      </c>
      <c r="X11" s="29">
        <f>'תקציב החברה לפיתוח 2024 פרקים'!Z110+'תקציב מינהל תפעול 2024 פרקים'!Z101+'תקציב מינהל חינוך 2024 פרקים'!Z17+'תקציב אגף המיחשוב 2024 פרקים'!Z28+'תקציב איכות הסביבה 2024 פרקים'!Z12</f>
        <v>0</v>
      </c>
      <c r="Y11" s="29">
        <f>'תקציב החברה לפיתוח 2024 פרקים'!AA110+'תקציב מינהל תפעול 2024 פרקים'!AA101+'תקציב מינהל חינוך 2024 פרקים'!AA17+'תקציב אגף המיחשוב 2024 פרקים'!AA28+'תקציב איכות הסביבה 2024 פרקים'!AA12</f>
        <v>40786009</v>
      </c>
    </row>
    <row r="12" spans="1:26" s="31" customFormat="1" ht="27" customHeight="1">
      <c r="A12" s="2" t="s">
        <v>666</v>
      </c>
      <c r="B12" s="29">
        <f>'תקציב החברה לפיתוח 2024 פרקים'!D131+'תקציב מינהל תפעול 2024 פרקים'!D112+'תקציב אגף ספורט 2024פרקים'!D16+'תקציב אגף תנוק 2024 פרקים'!D8</f>
        <v>702277987</v>
      </c>
      <c r="C12" s="29">
        <f>'תקציב החברה לפיתוח 2024 פרקים'!E131+'תקציב מינהל תפעול 2024 פרקים'!E112+'תקציב אגף ספורט 2024פרקים'!E16+'תקציב אגף תנוק 2024 פרקים'!E8</f>
        <v>589699705</v>
      </c>
      <c r="D12" s="29">
        <f>'תקציב החברה לפיתוח 2024 פרקים'!F131+'תקציב מינהל תפעול 2024 פרקים'!F112+'תקציב אגף ספורט 2024פרקים'!F16+'תקציב אגף תנוק 2024 פרקים'!F8</f>
        <v>112428077</v>
      </c>
      <c r="E12" s="29">
        <f>'תקציב החברה לפיתוח 2024 פרקים'!G131+'תקציב מינהל תפעול 2024 פרקים'!G112+'תקציב אגף ספורט 2024פרקים'!G16+'תקציב אגף תנוק 2024 פרקים'!G8</f>
        <v>285998705</v>
      </c>
      <c r="F12" s="29">
        <f>'תקציב החברה לפיתוח 2024 פרקים'!H131+'תקציב מינהל תפעול 2024 פרקים'!H112+'תקציב אגף ספורט 2024פרקים'!H16+'תקציב אגף תנוק 2024 פרקים'!H8</f>
        <v>264091705</v>
      </c>
      <c r="G12" s="29">
        <f>'תקציב החברה לפיתוח 2024 פרקים'!I131+'תקציב מינהל תפעול 2024 פרקים'!I112+'תקציב אגף ספורט 2024פרקים'!I16+'תקציב אגף תנוק 2024 פרקים'!I8</f>
        <v>2308424</v>
      </c>
      <c r="H12" s="29">
        <f>'תקציב החברה לפיתוח 2024 פרקים'!J131+'תקציב מינהל תפעול 2024 פרקים'!J112+'תקציב אגף ספורט 2024פרקים'!J16+'תקציב אגף תנוק 2024 פרקים'!J8</f>
        <v>4735547</v>
      </c>
      <c r="I12" s="29">
        <f>'תקציב החברה לפיתוח 2024 פרקים'!K131+'תקציב מינהל תפעול 2024 פרקים'!K112+'תקציב אגף ספורט 2024פרקים'!K16+'תקציב אגף תנוק 2024 פרקים'!K8</f>
        <v>7043971</v>
      </c>
      <c r="J12" s="29">
        <f>'תקציב החברה לפיתוח 2024 פרקים'!L131+'תקציב מינהל תפעול 2024 פרקים'!L112+'תקציב אגף ספורט 2024פרקים'!L16+'תקציב אגף תנוק 2024 פרקים'!L8</f>
        <v>271135676</v>
      </c>
      <c r="K12" s="29">
        <f>'תקציב החברה לפיתוח 2024 פרקים'!M131+'תקציב מינהל תפעול 2024 פרקים'!M112+'תקציב אגף ספורט 2024פרקים'!M16+'תקציב אגף תנוק 2024 פרקים'!M8</f>
        <v>145281</v>
      </c>
      <c r="L12" s="29">
        <f>'תקציב החברה לפיתוח 2024 פרקים'!N131+'תקציב מינהל תפעול 2024 פרקים'!N112+'תקציב אגף ספורט 2024פרקים'!N16+'תקציב אגף תנוק 2024 פרקים'!N8</f>
        <v>93094866</v>
      </c>
      <c r="M12" s="29">
        <f>'תקציב החברה לפיתוח 2024 פרקים'!O131+'תקציב מינהל תפעול 2024 פרקים'!O112+'תקציב אגף ספורט 2024פרקים'!O16+'תקציב אגף תנוק 2024 פרקים'!O8</f>
        <v>337902164</v>
      </c>
      <c r="N12" s="29">
        <f>'תקציב החברה לפיתוח 2024 פרקים'!P131+'תקציב מינהל תפעול 2024 פרקים'!P112+'תקציב אגף ספורט 2024פרקים'!P16+'תקציב אגף תנוק 2024 פרקים'!P8</f>
        <v>14863029</v>
      </c>
      <c r="O12" s="29">
        <f>'תקציב החברה לפיתוח 2024 פרקים'!Q131+'תקציב מינהל תפעול 2024 פרקים'!Q112+'תקציב אגף ספורט 2024פרקים'!Q16+'תקציב אגף תנוק 2024 פרקים'!Q8</f>
        <v>9140000</v>
      </c>
      <c r="P12" s="29">
        <f>'תקציב החברה לפיתוח 2024 פרקים'!R131+'תקציב מינהל תפעול 2024 פרקים'!R112+'תקציב אגף ספורט 2024פרקים'!R16+'תקציב אגף תנוק 2024 פרקים'!R8</f>
        <v>0</v>
      </c>
      <c r="Q12" s="29">
        <f>'תקציב החברה לפיתוח 2024 פרקים'!S131+'תקציב מינהל תפעול 2024 פרקים'!S112+'תקציב אגף ספורט 2024פרקים'!S16+'תקציב אגף תנוק 2024 פרקים'!S8</f>
        <v>9140000</v>
      </c>
      <c r="R12" s="29">
        <f>'תקציב החברה לפיתוח 2024 פרקים'!T131+'תקציב מינהל תפעול 2024 פרקים'!T112+'תקציב אגף ספורט 2024פרקים'!T16+'תקציב אגף תנוק 2024 פרקים'!T8</f>
        <v>23857748</v>
      </c>
      <c r="S12" s="29">
        <f>'תקציב החברה לפיתוח 2024 פרקים'!U131+'תקציב מינהל תפעול 2024 פרקים'!U112+'תקציב אגף ספורט 2024פרקים'!U16+'תקציב אגף תנוק 2024 פרקים'!U8</f>
        <v>69237118</v>
      </c>
      <c r="T12" s="29">
        <f>'תקציב החברה לפיתוח 2024 פרקים'!V131+'תקציב מינהל תפעול 2024 פרקים'!V112+'תקציב אגף ספורט 2024פרקים'!V16+'תקציב אגף תנוק 2024 פרקים'!V8</f>
        <v>37580863</v>
      </c>
      <c r="U12" s="29">
        <f>'תקציב החברה לפיתוח 2024 פרקים'!W131+'תקציב מינהל תפעול 2024 פרקים'!W112+'תקציב אגף ספורט 2024פרקים'!W16+'תקציב אגף תנוק 2024 פרקים'!W8</f>
        <v>2783041</v>
      </c>
      <c r="V12" s="29">
        <f>'תקציב החברה לפיתוח 2024 פרקים'!X131+'תקציב מינהל תפעול 2024 פרקים'!X112+'תקציב אגף ספורט 2024פרקים'!X16+'תקציב אגף תנוק 2024 פרקים'!X8</f>
        <v>0</v>
      </c>
      <c r="W12" s="29">
        <f>'תקציב החברה לפיתוח 2024 פרקים'!Y131+'תקציב מינהל תפעול 2024 פרקים'!Y112+'תקציב אגף ספורט 2024פרקים'!Y16+'תקציב אגף תנוק 2024 פרקים'!Y8</f>
        <v>705000</v>
      </c>
      <c r="X12" s="29">
        <f>'תקציב החברה לפיתוח 2024 פרקים'!Z131+'תקציב מינהל תפעול 2024 פרקים'!Z112+'תקציב אגף ספורט 2024פרקים'!Z16+'תקציב אגף תנוק 2024 פרקים'!Z8</f>
        <v>0</v>
      </c>
      <c r="Y12" s="29">
        <f>'תקציב החברה לפיתוח 2024 פרקים'!AA131+'תקציב מינהל תפעול 2024 פרקים'!AA112+'תקציב אגף ספורט 2024פרקים'!AA16+'תקציב אגף תנוק 2024 פרקים'!AA8</f>
        <v>28168214</v>
      </c>
    </row>
    <row r="13" spans="1:26" s="31" customFormat="1" ht="25.2" customHeight="1">
      <c r="A13" s="338" t="s">
        <v>348</v>
      </c>
      <c r="B13" s="29">
        <f>'תקציב החברה לפיתוח 2024 פרקים'!D135+'תקציב מינהל כללי 2024 פרקים'!D21</f>
        <v>26400000</v>
      </c>
      <c r="C13" s="29">
        <f>'תקציב החברה לפיתוח 2024 פרקים'!E135+'תקציב מינהל כללי 2024 פרקים'!E21</f>
        <v>24900000</v>
      </c>
      <c r="D13" s="29">
        <f>'תקציב החברה לפיתוח 2024 פרקים'!F135+'תקציב מינהל כללי 2024 פרקים'!F21</f>
        <v>1500000</v>
      </c>
      <c r="E13" s="29">
        <f>'תקציב החברה לפיתוח 2024 פרקים'!G135+'תקציב מינהל כללי 2024 פרקים'!G21</f>
        <v>3700000</v>
      </c>
      <c r="F13" s="29">
        <f>'תקציב החברה לפיתוח 2024 פרקים'!H135+'תקציב מינהל כללי 2024 פרקים'!H21</f>
        <v>5348532</v>
      </c>
      <c r="G13" s="29">
        <f>'תקציב החברה לפיתוח 2024 פרקים'!I135+'תקציב מינהל כללי 2024 פרקים'!I21</f>
        <v>0</v>
      </c>
      <c r="H13" s="29">
        <f>'תקציב החברה לפיתוח 2024 פרקים'!J135+'תקציב מינהל כללי 2024 פרקים'!J21</f>
        <v>0</v>
      </c>
      <c r="I13" s="29">
        <f>'תקציב החברה לפיתוח 2024 פרקים'!K135+'תקציב מינהל כללי 2024 פרקים'!K21</f>
        <v>0</v>
      </c>
      <c r="J13" s="29">
        <f>'תקציב החברה לפיתוח 2024 פרקים'!L135+'תקציב מינהל כללי 2024 פרקים'!L21</f>
        <v>5348532</v>
      </c>
      <c r="K13" s="29">
        <f>'תקציב החברה לפיתוח 2024 פרקים'!M135+'תקציב מינהל כללי 2024 פרקים'!M21</f>
        <v>21468</v>
      </c>
      <c r="L13" s="29">
        <f>'תקציב החברה לפיתוח 2024 פרקים'!N135+'תקציב מינהל כללי 2024 פרקים'!N21</f>
        <v>12030000</v>
      </c>
      <c r="M13" s="29">
        <f>'תקציב החברה לפיתוח 2024 פרקים'!O135+'תקציב מינהל כללי 2024 פרקים'!O21</f>
        <v>9000000</v>
      </c>
      <c r="N13" s="29">
        <f>'תקציב החברה לפיתוח 2024 פרקים'!P135+'תקציב מינהל כללי 2024 פרקים'!P21</f>
        <v>-1648532</v>
      </c>
      <c r="O13" s="29">
        <f>'תקציב החברה לפיתוח 2024 פרקים'!Q135+'תקציב מינהל כללי 2024 פרקים'!Q21</f>
        <v>4500000</v>
      </c>
      <c r="P13" s="29">
        <f>'תקציב החברה לפיתוח 2024 פרקים'!R135+'תקציב מינהל כללי 2024 פרקים'!R21</f>
        <v>0</v>
      </c>
      <c r="Q13" s="29">
        <f>'תקציב החברה לפיתוח 2024 פרקים'!S135+'תקציב מינהל כללי 2024 פרקים'!S21</f>
        <v>4500000</v>
      </c>
      <c r="R13" s="29">
        <f>'תקציב החברה לפיתוח 2024 פרקים'!T135+'תקציב מינהל כללי 2024 פרקים'!T21</f>
        <v>2830000</v>
      </c>
      <c r="S13" s="29">
        <f>'תקציב החברה לפיתוח 2024 פרקים'!U135+'תקציב מינהל כללי 2024 פרקים'!U21</f>
        <v>9200000</v>
      </c>
      <c r="T13" s="29">
        <f>'תקציב החברה לפיתוח 2024 פרקים'!V135+'תקציב מינהל כללי 2024 פרקים'!V21</f>
        <v>9200000</v>
      </c>
      <c r="U13" s="29">
        <f>'תקציב החברה לפיתוח 2024 פרקים'!W135+'תקציב מינהל כללי 2024 פרקים'!W21</f>
        <v>0</v>
      </c>
      <c r="V13" s="29">
        <f>'תקציב החברה לפיתוח 2024 פרקים'!X135+'תקציב מינהל כללי 2024 פרקים'!X21</f>
        <v>0</v>
      </c>
      <c r="W13" s="29">
        <f>'תקציב החברה לפיתוח 2024 פרקים'!Y135+'תקציב מינהל כללי 2024 פרקים'!Y21</f>
        <v>0</v>
      </c>
      <c r="X13" s="29">
        <f>'תקציב החברה לפיתוח 2024 פרקים'!Z135+'תקציב מינהל כללי 2024 פרקים'!Z21</f>
        <v>0</v>
      </c>
      <c r="Y13" s="29">
        <f>'תקציב החברה לפיתוח 2024 פרקים'!AA135+'תקציב מינהל כללי 2024 פרקים'!AA21</f>
        <v>0</v>
      </c>
    </row>
    <row r="14" spans="1:26" s="31" customFormat="1" ht="27" customHeight="1">
      <c r="A14" s="2" t="s">
        <v>345</v>
      </c>
      <c r="B14" s="29">
        <f>'תקציב החברה לפיתוח 2024 פרקים'!D144+'תקציב מינהל תפעול 2024 פרקים'!D122</f>
        <v>23401609</v>
      </c>
      <c r="C14" s="29">
        <f>'תקציב החברה לפיתוח 2024 פרקים'!E144+'תקציב מינהל תפעול 2024 פרקים'!E122</f>
        <v>34700000</v>
      </c>
      <c r="D14" s="29">
        <f>'תקציב החברה לפיתוח 2024 פרקים'!F144+'תקציב מינהל תפעול 2024 פרקים'!F122</f>
        <v>-11298391</v>
      </c>
      <c r="E14" s="29">
        <f>'תקציב החברה לפיתוח 2024 פרקים'!G144+'תקציב מינהל תפעול 2024 פרקים'!G122</f>
        <v>11050000</v>
      </c>
      <c r="F14" s="29">
        <f>'תקציב החברה לפיתוח 2024 פרקים'!H144+'תקציב מינהל תפעול 2024 פרקים'!H122</f>
        <v>8151964</v>
      </c>
      <c r="G14" s="29">
        <f>'תקציב החברה לפיתוח 2024 פרקים'!I144+'תקציב מינהל תפעול 2024 פרקים'!I122</f>
        <v>0</v>
      </c>
      <c r="H14" s="29">
        <f>'תקציב החברה לפיתוח 2024 פרקים'!J144+'תקציב מינהל תפעול 2024 פרקים'!J122</f>
        <v>412935</v>
      </c>
      <c r="I14" s="29">
        <f>'תקציב החברה לפיתוח 2024 פרקים'!K144+'תקציב מינהל תפעול 2024 פרקים'!K122</f>
        <v>412935</v>
      </c>
      <c r="J14" s="29">
        <f>'תקציב החברה לפיתוח 2024 פרקים'!L144+'תקציב מינהל תפעול 2024 פרקים'!L122</f>
        <v>8564899</v>
      </c>
      <c r="K14" s="29">
        <f>'תקציב החברה לפיתוח 2024 פרקים'!M144+'תקציב מינהל תפעול 2024 פרקים'!M122</f>
        <v>21710</v>
      </c>
      <c r="L14" s="29">
        <f>'תקציב החברה לפיתוח 2024 פרקים'!N144+'תקציב מינהל תפעול 2024 פרקים'!N122</f>
        <v>6765000</v>
      </c>
      <c r="M14" s="29">
        <f>'תקציב החברה לפיתוח 2024 פרקים'!O144+'תקציב מינהל תפעול 2024 פרקים'!O122</f>
        <v>8050000</v>
      </c>
      <c r="N14" s="29">
        <f>'תקציב החברה לפיתוח 2024 פרקים'!P144+'תקציב מינהל תפעול 2024 פרקים'!P122</f>
        <v>2485101</v>
      </c>
      <c r="O14" s="29">
        <f>'תקציב החברה לפיתוח 2024 פרקים'!Q144+'תקציב מינהל תפעול 2024 פרקים'!Q122</f>
        <v>3500000</v>
      </c>
      <c r="P14" s="29">
        <f>'תקציב החברה לפיתוח 2024 פרקים'!R144+'תקציב מינהל תפעול 2024 פרקים'!R122</f>
        <v>0</v>
      </c>
      <c r="Q14" s="29">
        <f>'תקציב החברה לפיתוח 2024 פרקים'!S144+'תקציב מינהל תפעול 2024 פרקים'!S122</f>
        <v>3500000</v>
      </c>
      <c r="R14" s="29">
        <f>'תקציב החברה לפיתוח 2024 פרקים'!T144+'תקציב מינהל תפעול 2024 פרקים'!T122</f>
        <v>5963391</v>
      </c>
      <c r="S14" s="29">
        <f>'תקציב החברה לפיתוח 2024 פרקים'!U144+'תקציב מינהל תפעול 2024 פרקים'!U122</f>
        <v>801609</v>
      </c>
      <c r="T14" s="29">
        <f>'תקציב החברה לפיתוח 2024 פרקים'!V144+'תקציב מינהל תפעול 2024 פרקים'!V122</f>
        <v>430564</v>
      </c>
      <c r="U14" s="29">
        <f>'תקציב החברה לפיתוח 2024 פרקים'!W144+'תקציב מינהל תפעול 2024 פרקים'!W122</f>
        <v>500000</v>
      </c>
      <c r="V14" s="29">
        <f>'תקציב החברה לפיתוח 2024 פרקים'!X144+'תקציב מינהל תפעול 2024 פרקים'!X122</f>
        <v>0</v>
      </c>
      <c r="W14" s="29">
        <f>'תקציב החברה לפיתוח 2024 פרקים'!Y144+'תקציב מינהל תפעול 2024 פרקים'!Y122</f>
        <v>0</v>
      </c>
      <c r="X14" s="29">
        <f>'תקציב החברה לפיתוח 2024 פרקים'!Z144+'תקציב מינהל תפעול 2024 פרקים'!Z122</f>
        <v>0</v>
      </c>
      <c r="Y14" s="29">
        <f>'תקציב החברה לפיתוח 2024 פרקים'!AA144+'תקציב מינהל תפעול 2024 פרקים'!AA122</f>
        <v>-128955</v>
      </c>
    </row>
    <row r="15" spans="1:26" s="31" customFormat="1" ht="27.6">
      <c r="A15" s="2" t="s">
        <v>346</v>
      </c>
      <c r="B15" s="29">
        <f>'תקציב הנדסה 2024 פרקים'!D72+'תקציב החברה לפיתוח 2024 פרקים'!D147+'תקציב מינהל תפעול 2024 פרקים'!D129+'תקציב החברה לתירות 2024 פרקים'!D19+'תקציב איכות הסביבה 2024 פרקים'!D19</f>
        <v>35476252</v>
      </c>
      <c r="C15" s="29">
        <f>'תקציב הנדסה 2024 פרקים'!E72+'תקציב החברה לפיתוח 2024 פרקים'!E147+'תקציב מינהל תפעול 2024 פרקים'!E129+'תקציב החברה לתירות 2024 פרקים'!E19+'תקציב איכות הסביבה 2024 פרקים'!E19</f>
        <v>33516500</v>
      </c>
      <c r="D15" s="29">
        <f>'תקציב הנדסה 2024 פרקים'!F72+'תקציב החברה לפיתוח 2024 פרקים'!F147+'תקציב מינהל תפעול 2024 פרקים'!F129+'תקציב החברה לתירות 2024 פרקים'!F19+'תקציב איכות הסביבה 2024 פרקים'!F19</f>
        <v>1959752</v>
      </c>
      <c r="E15" s="29">
        <f>'תקציב הנדסה 2024 פרקים'!G72+'תקציב החברה לפיתוח 2024 פרקים'!G147+'תקציב מינהל תפעול 2024 פרקים'!G129+'תקציב החברה לתירות 2024 פרקים'!G19+'תקציב איכות הסביבה 2024 פרקים'!G19</f>
        <v>16256500</v>
      </c>
      <c r="F15" s="29">
        <f>'תקציב הנדסה 2024 פרקים'!H72+'תקציב החברה לפיתוח 2024 פרקים'!H147+'תקציב מינהל תפעול 2024 פרקים'!H129+'תקציב החברה לתירות 2024 פרקים'!H19+'תקציב איכות הסביבה 2024 פרקים'!H19</f>
        <v>12943828</v>
      </c>
      <c r="G15" s="29">
        <f>'תקציב הנדסה 2024 פרקים'!I72+'תקציב החברה לפיתוח 2024 פרקים'!I147+'תקציב מינהל תפעול 2024 פרקים'!I129+'תקציב החברה לתירות 2024 פרקים'!I19+'תקציב איכות הסביבה 2024 פרקים'!I19</f>
        <v>0</v>
      </c>
      <c r="H15" s="29">
        <f>'תקציב הנדסה 2024 פרקים'!J72+'תקציב החברה לפיתוח 2024 פרקים'!J147+'תקציב מינהל תפעול 2024 פרקים'!J129+'תקציב החברה לתירות 2024 פרקים'!J19+'תקציב איכות הסביבה 2024 פרקים'!J19</f>
        <v>986236</v>
      </c>
      <c r="I15" s="29">
        <f>'תקציב הנדסה 2024 פרקים'!K72+'תקציב החברה לפיתוח 2024 פרקים'!K147+'תקציב מינהל תפעול 2024 פרקים'!K129+'תקציב החברה לתירות 2024 פרקים'!K19+'תקציב איכות הסביבה 2024 פרקים'!K19</f>
        <v>986236</v>
      </c>
      <c r="J15" s="29">
        <f>'תקציב הנדסה 2024 פרקים'!L72+'תקציב החברה לפיתוח 2024 פרקים'!L147+'תקציב מינהל תפעול 2024 פרקים'!L129+'תקציב החברה לתירות 2024 פרקים'!L19+'תקציב איכות הסביבה 2024 פרקים'!L19</f>
        <v>13930064</v>
      </c>
      <c r="K15" s="29">
        <f>'תקציב הנדסה 2024 פרקים'!M72+'תקציב החברה לפיתוח 2024 פרקים'!M147+'תקציב מינהל תפעול 2024 פרקים'!M129+'תקציב החברה לתירות 2024 פרקים'!M19+'תקציב איכות הסביבה 2024 פרקים'!M19</f>
        <v>18188</v>
      </c>
      <c r="L15" s="29">
        <f>'תקציב הנדסה 2024 פרקים'!N72+'תקציב החברה לפיתוח 2024 פרקים'!N147+'תקציב מינהל תפעול 2024 פרקים'!N129+'תקציב החברה לתירות 2024 פרקים'!N19+'תקציב איכות הסביבה 2024 פרקים'!N19</f>
        <v>4749000</v>
      </c>
      <c r="M15" s="29">
        <f>'תקציב הנדסה 2024 פרקים'!O72+'תקציב החברה לפיתוח 2024 פרקים'!O147+'תקציב מינהל תפעול 2024 פרקים'!O129+'תקציב החברה לתירות 2024 פרקים'!O19+'תקציב איכות הסביבה 2024 פרקים'!O19</f>
        <v>16779000</v>
      </c>
      <c r="N15" s="29">
        <f>'תקציב הנדסה 2024 פרקים'!P72+'תקציב החברה לפיתוח 2024 פרקים'!P147+'תקציב מינהל תפעול 2024 פרקים'!P129+'תקציב החברה לתירות 2024 פרקים'!P19+'תקציב איכות הסביבה 2024 פרקים'!P19</f>
        <v>2326436</v>
      </c>
      <c r="O15" s="29">
        <f>'תקציב הנדסה 2024 פרקים'!Q72+'תקציב החברה לפיתוח 2024 פרקים'!Q147+'תקציב מינהל תפעול 2024 פרקים'!Q129+'תקציב החברה לתירות 2024 פרקים'!Q19+'תקציב איכות הסביבה 2024 פרקים'!Q19</f>
        <v>122000</v>
      </c>
      <c r="P15" s="29">
        <f>'תקציב הנדסה 2024 פרקים'!R72+'תקציב החברה לפיתוח 2024 פרקים'!R147+'תקציב מינהל תפעול 2024 פרקים'!R129+'תקציב החברה לתירות 2024 פרקים'!R19+'תקציב איכות הסביבה 2024 פרקים'!R19</f>
        <v>-200000</v>
      </c>
      <c r="Q15" s="29">
        <f>'תקציב הנדסה 2024 פרקים'!S72+'תקציב החברה לפיתוח 2024 פרקים'!S147+'תקציב מינהל תפעול 2024 פרקים'!S129+'תקציב החברה לתירות 2024 פרקים'!S19+'תקציב איכות הסביבה 2024 פרקים'!S19</f>
        <v>-78000</v>
      </c>
      <c r="R15" s="29">
        <f>'תקציב הנדסה 2024 פרקים'!T72+'תקציב החברה לפיתוח 2024 פרקים'!T147+'תקציב מינהל תפעול 2024 פרקים'!T129+'תקציב החברה לתירות 2024 פרקים'!T19+'תקציב איכות הסביבה 2024 פרקים'!T19</f>
        <v>2230248</v>
      </c>
      <c r="S15" s="29">
        <f>'תקציב הנדסה 2024 פרקים'!U72+'תקציב החברה לפיתוח 2024 פרקים'!U147+'תקציב מינהל תפעול 2024 פרקים'!U129+'תקציב החברה לתירות 2024 פרקים'!U19+'תקציב איכות הסביבה 2024 פרקים'!U19</f>
        <v>2518752</v>
      </c>
      <c r="T15" s="29">
        <f>'תקציב הנדסה 2024 פרקים'!V72+'תקציב החברה לפיתוח 2024 פרקים'!V147+'תקציב מינהל תפעול 2024 פרקים'!V129+'תקציב החברה לתירות 2024 פרקים'!V19+'תקציב איכות הסביבה 2024 פרקים'!V19</f>
        <v>950000</v>
      </c>
      <c r="U15" s="29">
        <f>'תקציב הנדסה 2024 פרקים'!W72+'תקציב החברה לפיתוח 2024 פרקים'!W147+'תקציב מינהל תפעול 2024 פרקים'!W129+'תקציב החברה לתירות 2024 פרקים'!W19+'תקציב איכות הסביבה 2024 פרקים'!W19</f>
        <v>2143719</v>
      </c>
      <c r="V15" s="29">
        <f>'תקציב הנדסה 2024 פרקים'!X72+'תקציב החברה לפיתוח 2024 פרקים'!X147+'תקציב מינהל תפעול 2024 פרקים'!X129+'תקציב החברה לתירות 2024 פרקים'!X19+'תקציב איכות הסביבה 2024 פרקים'!X19</f>
        <v>0</v>
      </c>
      <c r="W15" s="29">
        <f>'תקציב הנדסה 2024 פרקים'!Y72+'תקציב החברה לפיתוח 2024 פרקים'!Y147+'תקציב מינהל תפעול 2024 פרקים'!Y129+'תקציב החברה לתירות 2024 פרקים'!Y19+'תקציב איכות הסביבה 2024 פרקים'!Y19</f>
        <v>0</v>
      </c>
      <c r="X15" s="29">
        <f>'תקציב הנדסה 2024 פרקים'!Z72+'תקציב החברה לפיתוח 2024 פרקים'!Z147+'תקציב מינהל תפעול 2024 פרקים'!Z129+'תקציב החברה לתירות 2024 פרקים'!Z19+'תקציב איכות הסביבה 2024 פרקים'!Z19</f>
        <v>0</v>
      </c>
      <c r="Y15" s="29">
        <f>'תקציב הנדסה 2024 פרקים'!AA72+'תקציב החברה לפיתוח 2024 פרקים'!AA147+'תקציב מינהל תפעול 2024 פרקים'!AA129+'תקציב החברה לתירות 2024 פרקים'!AA19+'תקציב איכות הסביבה 2024 פרקים'!AA19</f>
        <v>-574967</v>
      </c>
    </row>
    <row r="16" spans="1:26" s="31" customFormat="1" ht="27" customHeight="1">
      <c r="A16" s="2" t="s">
        <v>351</v>
      </c>
      <c r="B16" s="29">
        <f>'תקציב החברה לפיתוח 2024 פרקים'!D138+'תקציב מינהל תפעול 2024 פרקים'!D118</f>
        <v>56019923</v>
      </c>
      <c r="C16" s="29">
        <f>'תקציב החברה לפיתוח 2024 פרקים'!E138+'תקציב מינהל תפעול 2024 פרקים'!E118</f>
        <v>51870000</v>
      </c>
      <c r="D16" s="29">
        <f>'תקציב החברה לפיתוח 2024 פרקים'!F138+'תקציב מינהל תפעול 2024 פרקים'!F118</f>
        <v>4149923</v>
      </c>
      <c r="E16" s="29">
        <f>'תקציב החברה לפיתוח 2024 פרקים'!G138+'תקציב מינהל תפעול 2024 פרקים'!G118</f>
        <v>43094320</v>
      </c>
      <c r="F16" s="29">
        <f>'תקציב החברה לפיתוח 2024 פרקים'!H138+'תקציב מינהל תפעול 2024 פרקים'!H118</f>
        <v>41415390</v>
      </c>
      <c r="G16" s="29">
        <f>'תקציב החברה לפיתוח 2024 פרקים'!I138+'תקציב מינהל תפעול 2024 פרקים'!I118</f>
        <v>0</v>
      </c>
      <c r="H16" s="29">
        <f>'תקציב החברה לפיתוח 2024 פרקים'!J138+'תקציב מינהל תפעול 2024 פרקים'!J118</f>
        <v>747481</v>
      </c>
      <c r="I16" s="29">
        <f>'תקציב החברה לפיתוח 2024 פרקים'!K138+'תקציב מינהל תפעול 2024 פרקים'!K118</f>
        <v>747481</v>
      </c>
      <c r="J16" s="29">
        <f>'תקציב החברה לפיתוח 2024 פרקים'!L138+'תקציב מינהל תפעול 2024 פרקים'!L118</f>
        <v>42162871</v>
      </c>
      <c r="K16" s="29">
        <f>'תקציב החברה לפיתוח 2024 פרקים'!M138+'תקציב מינהל תפעול 2024 פרקים'!M118</f>
        <v>16372</v>
      </c>
      <c r="L16" s="29">
        <f>'תקציב החברה לפיתוח 2024 פרקים'!N138+'תקציב מינהל תפעול 2024 פרקים'!N118</f>
        <v>3635000</v>
      </c>
      <c r="M16" s="29">
        <f>'תקציב החברה לפיתוח 2024 פרקים'!O138+'תקציב מינהל תפעול 2024 פרקים'!O118</f>
        <v>10205680</v>
      </c>
      <c r="N16" s="29">
        <f>'תקציב החברה לפיתוח 2024 פרקים'!P138+'תקציב מינהל תפעול 2024 פרקים'!P118</f>
        <v>931449</v>
      </c>
      <c r="O16" s="29">
        <f>'תקציב החברה לפיתוח 2024 פרקים'!Q138+'תקציב מינהל תפעול 2024 פרקים'!Q118</f>
        <v>1150000</v>
      </c>
      <c r="P16" s="29">
        <f>'תקציב החברה לפיתוח 2024 פרקים'!R138+'תקציב מינהל תפעול 2024 פרקים'!R118</f>
        <v>0</v>
      </c>
      <c r="Q16" s="29">
        <f>'תקציב החברה לפיתוח 2024 פרקים'!S138+'תקציב מינהל תפעול 2024 פרקים'!S118</f>
        <v>1150000</v>
      </c>
      <c r="R16" s="29">
        <f>'תקציב החברה לפיתוח 2024 פרקים'!T138+'תקציב מינהל תפעול 2024 פרקים'!T118</f>
        <v>2065077</v>
      </c>
      <c r="S16" s="29">
        <f>'תקציב החברה לפיתוח 2024 פרקים'!U138+'תקציב מינהל תפעול 2024 פרקים'!U118</f>
        <v>1569923</v>
      </c>
      <c r="T16" s="29">
        <f>'תקציב החברה לפיתוח 2024 פרקים'!V138+'תקציב מינהל תפעול 2024 פרקים'!V118</f>
        <v>-700000</v>
      </c>
      <c r="U16" s="29">
        <f>'תקציב החברה לפיתוח 2024 פרקים'!W138+'תקציב מינהל תפעול 2024 פרקים'!W118</f>
        <v>1769923</v>
      </c>
      <c r="V16" s="29">
        <f>'תקציב החברה לפיתוח 2024 פרקים'!X138+'תקציב מינהל תפעול 2024 פרקים'!X118</f>
        <v>0</v>
      </c>
      <c r="W16" s="29">
        <f>'תקציב החברה לפיתוח 2024 פרקים'!Y138+'תקציב מינהל תפעול 2024 פרקים'!Y118</f>
        <v>0</v>
      </c>
      <c r="X16" s="29">
        <f>'תקציב החברה לפיתוח 2024 פרקים'!Z138+'תקציב מינהל תפעול 2024 פרקים'!Z118</f>
        <v>0</v>
      </c>
      <c r="Y16" s="29">
        <f>'תקציב החברה לפיתוח 2024 פרקים'!AA138+'תקציב מינהל תפעול 2024 פרקים'!AA118</f>
        <v>500000</v>
      </c>
    </row>
    <row r="17" spans="1:27" s="31" customFormat="1" ht="27" customHeight="1">
      <c r="A17" s="2" t="s">
        <v>357</v>
      </c>
      <c r="B17" s="29">
        <f>'תקציב מינהל תפעול 2024 פרקים'!D67</f>
        <v>130550000</v>
      </c>
      <c r="C17" s="29">
        <f>'תקציב מינהל תפעול 2024 פרקים'!E67</f>
        <v>118550000</v>
      </c>
      <c r="D17" s="29">
        <f>'תקציב מינהל תפעול 2024 פרקים'!F67</f>
        <v>12000000</v>
      </c>
      <c r="E17" s="29">
        <f>'תקציב מינהל תפעול 2024 פרקים'!G67</f>
        <v>116200000</v>
      </c>
      <c r="F17" s="29">
        <f>'תקציב מינהל תפעול 2024 פרקים'!H67</f>
        <v>111415805</v>
      </c>
      <c r="G17" s="29">
        <f>'תקציב מינהל תפעול 2024 פרקים'!I67</f>
        <v>0</v>
      </c>
      <c r="H17" s="29">
        <f>'תקציב מינהל תפעול 2024 פרקים'!J67</f>
        <v>0</v>
      </c>
      <c r="I17" s="29">
        <f>'תקציב מינהל תפעול 2024 פרקים'!K67</f>
        <v>0</v>
      </c>
      <c r="J17" s="29">
        <f>'תקציב מינהל תפעול 2024 פרקים'!L67</f>
        <v>111415805</v>
      </c>
      <c r="K17" s="29">
        <f>'תקציב מינהל תפעול 2024 פרקים'!M67</f>
        <v>4195</v>
      </c>
      <c r="L17" s="29">
        <f>'תקציב מינהל תפעול 2024 פרקים'!N67</f>
        <v>16780000</v>
      </c>
      <c r="M17" s="29">
        <f>'תקציב מינהל תפעול 2024 פרקים'!O67</f>
        <v>2350000</v>
      </c>
      <c r="N17" s="29">
        <f>'תקציב מינהל תפעול 2024 פרקים'!P67</f>
        <v>4784195</v>
      </c>
      <c r="O17" s="29">
        <f>'תקציב מינהל תפעול 2024 פרקים'!Q67</f>
        <v>0</v>
      </c>
      <c r="P17" s="29">
        <f>'תקציב מינהל תפעול 2024 פרקים'!R67</f>
        <v>0</v>
      </c>
      <c r="Q17" s="29">
        <f>'תקציב מינהל תפעול 2024 פרקים'!S67</f>
        <v>0</v>
      </c>
      <c r="R17" s="29">
        <f>'תקציב מינהל תפעול 2024 פרקים'!T67</f>
        <v>4780000</v>
      </c>
      <c r="S17" s="29">
        <f>'תקציב מינהל תפעול 2024 פרקים'!U67</f>
        <v>12000000</v>
      </c>
      <c r="T17" s="29">
        <f>'תקציב מינהל תפעול 2024 פרקים'!V67</f>
        <v>0</v>
      </c>
      <c r="U17" s="29">
        <f>'תקציב מינהל תפעול 2024 פרקים'!W67</f>
        <v>0</v>
      </c>
      <c r="V17" s="29">
        <f>'תקציב מינהל תפעול 2024 פרקים'!X67</f>
        <v>0</v>
      </c>
      <c r="W17" s="29">
        <f>'תקציב מינהל תפעול 2024 פרקים'!Y67</f>
        <v>0</v>
      </c>
      <c r="X17" s="29">
        <f>'תקציב מינהל תפעול 2024 פרקים'!Z67</f>
        <v>0</v>
      </c>
      <c r="Y17" s="29">
        <f>'תקציב מינהל תפעול 2024 פרקים'!AA67</f>
        <v>12000000</v>
      </c>
    </row>
    <row r="18" spans="1:27" s="31" customFormat="1" ht="25.2" customHeight="1">
      <c r="A18" s="338" t="s">
        <v>349</v>
      </c>
      <c r="B18" s="29">
        <f>'תקציב החברה לפיתוח 2024 פרקים'!D150+'תקציב מינהל תפעול 2024 פרקים'!D140+'תקציב אגף תנוק 2024 פרקים'!D11+'תקציב החברה לתירות 2024 פרקים'!D24+'תקציב אגף נכסים וביטוח 2024 פרק'!D20</f>
        <v>239024711</v>
      </c>
      <c r="C18" s="29">
        <f>'תקציב החברה לפיתוח 2024 פרקים'!E150+'תקציב מינהל תפעול 2024 פרקים'!E140+'תקציב אגף תנוק 2024 פרקים'!E11+'תקציב החברה לתירות 2024 פרקים'!E24+'תקציב אגף נכסים וביטוח 2024 פרק'!E20</f>
        <v>153249918</v>
      </c>
      <c r="D18" s="29">
        <f>'תקציב החברה לפיתוח 2024 פרקים'!F150+'תקציב מינהל תפעול 2024 פרקים'!F140+'תקציב אגף תנוק 2024 פרקים'!F11+'תקציב החברה לתירות 2024 פרקים'!F24+'תקציב אגף נכסים וביטוח 2024 פרק'!F20</f>
        <v>85774793</v>
      </c>
      <c r="E18" s="29">
        <f>'תקציב החברה לפיתוח 2024 פרקים'!G150+'תקציב מינהל תפעול 2024 פרקים'!G140+'תקציב אגף תנוק 2024 פרקים'!G11+'תקציב החברה לתירות 2024 פרקים'!G24+'תקציב אגף נכסים וביטוח 2024 פרק'!G20</f>
        <v>82022743</v>
      </c>
      <c r="F18" s="29">
        <f>'תקציב החברה לפיתוח 2024 פרקים'!H150+'תקציב מינהל תפעול 2024 פרקים'!H140+'תקציב אגף תנוק 2024 פרקים'!H11+'תקציב החברה לתירות 2024 פרקים'!H24+'תקציב אגף נכסים וביטוח 2024 פרק'!H20</f>
        <v>65318664</v>
      </c>
      <c r="G18" s="29">
        <f>'תקציב החברה לפיתוח 2024 פרקים'!I150+'תקציב מינהל תפעול 2024 פרקים'!I140+'תקציב אגף תנוק 2024 פרקים'!I11+'תקציב החברה לתירות 2024 פרקים'!I24+'תקציב אגף נכסים וביטוח 2024 פרק'!I20</f>
        <v>0</v>
      </c>
      <c r="H18" s="29">
        <f>'תקציב החברה לפיתוח 2024 פרקים'!J150+'תקציב מינהל תפעול 2024 פרקים'!J140+'תקציב אגף תנוק 2024 פרקים'!J11+'תקציב החברה לתירות 2024 פרקים'!J24+'תקציב אגף נכסים וביטוח 2024 פרק'!J20</f>
        <v>1545866</v>
      </c>
      <c r="I18" s="29">
        <f>'תקציב החברה לפיתוח 2024 פרקים'!K150+'תקציב מינהל תפעול 2024 פרקים'!K140+'תקציב אגף תנוק 2024 פרקים'!K11+'תקציב החברה לתירות 2024 פרקים'!K24+'תקציב אגף נכסים וביטוח 2024 פרק'!K20</f>
        <v>1545866</v>
      </c>
      <c r="J18" s="29">
        <f>'תקציב החברה לפיתוח 2024 פרקים'!L150+'תקציב מינהל תפעול 2024 פרקים'!L140+'תקציב אגף תנוק 2024 פרקים'!L11+'תקציב החברה לתירות 2024 פרקים'!L24+'תקציב אגף נכסים וביטוח 2024 פרק'!L20</f>
        <v>66864530</v>
      </c>
      <c r="K18" s="29">
        <f>'תקציב החברה לפיתוח 2024 פרקים'!M150+'תקציב מינהל תפעול 2024 פרקים'!M140+'תקציב אגף תנוק 2024 פרקים'!M11+'תקציב החברה לתירות 2024 פרקים'!M24+'תקציב אגף נכסים וביטוח 2024 פרק'!M20</f>
        <v>93006</v>
      </c>
      <c r="L18" s="29">
        <f>'תקציב החברה לפיתוח 2024 פרקים'!N150+'תקציב מינהל תפעול 2024 פרקים'!N140+'תקציב אגף תנוק 2024 פרקים'!N11+'תקציב החברה לתירות 2024 פרקים'!N24+'תקציב אגף נכסים וביטוח 2024 פרק'!N20</f>
        <v>29705000</v>
      </c>
      <c r="M18" s="29">
        <f>'תקציב החברה לפיתוח 2024 פרקים'!O150+'תקציב מינהל תפעול 2024 פרקים'!O140+'תקציב אגף תנוק 2024 פרקים'!O11+'תקציב החברה לתירות 2024 פרקים'!O24+'תקציב אגף נכסים וביטוח 2024 פרק'!O20</f>
        <v>142362175</v>
      </c>
      <c r="N18" s="29">
        <f>'תקציב החברה לפיתוח 2024 פרקים'!P150+'תקציב מינהל תפעול 2024 פרקים'!P140+'תקציב אגף תנוק 2024 פרקים'!P11+'תקציב החברה לתירות 2024 פרקים'!P24+'תקציב אגף נכסים וביטוח 2024 פרק'!P20</f>
        <v>15158213</v>
      </c>
      <c r="O18" s="29">
        <f>'תקציב החברה לפיתוח 2024 פרקים'!Q150+'תקציב מינהל תפעול 2024 פרקים'!Q140+'תקציב אגף תנוק 2024 פרקים'!Q11+'תקציב החברה לתירות 2024 פרקים'!Q24+'תקציב אגף נכסים וביטוח 2024 פרק'!Q20</f>
        <v>80000</v>
      </c>
      <c r="P18" s="29">
        <f>'תקציב החברה לפיתוח 2024 פרקים'!R150+'תקציב מינהל תפעול 2024 פרקים'!R140+'תקציב אגף תנוק 2024 פרקים'!R11+'תקציב החברה לתירות 2024 פרקים'!R24+'תקציב אגף נכסים וביטוח 2024 פרק'!R20</f>
        <v>540000</v>
      </c>
      <c r="Q18" s="29">
        <f>'תקציב החברה לפיתוח 2024 פרקים'!S150+'תקציב מינהל תפעול 2024 פרקים'!S140+'תקציב אגף תנוק 2024 פרקים'!S11+'תקציב החברה לתירות 2024 פרקים'!S24+'תקציב אגף נכסים וביטוח 2024 פרק'!S20</f>
        <v>620000</v>
      </c>
      <c r="R18" s="29">
        <f>'תקציב החברה לפיתוח 2024 פרקים'!T150+'תקציב מינהל תפעול 2024 פרקים'!T140+'תקציב אגף תנוק 2024 פרקים'!T11+'תקציב החברה לתירות 2024 פרקים'!T24+'תקציב אגף נכסים וביטוח 2024 פרק'!T20</f>
        <v>15685207</v>
      </c>
      <c r="S18" s="29">
        <f>'תקציב החברה לפיתוח 2024 פרקים'!U150+'תקציב מינהל תפעול 2024 פרקים'!U140+'תקציב אגף תנוק 2024 פרקים'!U11+'תקציב החברה לתירות 2024 פרקים'!U24+'תקציב אגף נכסים וביטוח 2024 פרק'!U20</f>
        <v>14019793</v>
      </c>
      <c r="T18" s="29">
        <f>'תקציב החברה לפיתוח 2024 פרקים'!V150+'תקציב מינהל תפעול 2024 פרקים'!V140+'תקציב אגף תנוק 2024 פרקים'!V11+'תקציב החברה לתירות 2024 פרקים'!V24+'תקציב אגף נכסים וביטוח 2024 פרק'!V20</f>
        <v>11605000</v>
      </c>
      <c r="U18" s="29">
        <f>'תקציב החברה לפיתוח 2024 פרקים'!W150+'תקציב מינהל תפעול 2024 פרקים'!W140+'תקציב אגף תנוק 2024 פרקים'!W11+'תקציב החברה לתירות 2024 פרקים'!W24+'תקציב אגף נכסים וביטוח 2024 פרק'!W20</f>
        <v>2584793</v>
      </c>
      <c r="V18" s="29">
        <f>'תקציב החברה לפיתוח 2024 פרקים'!X150+'תקציב מינהל תפעול 2024 פרקים'!X140+'תקציב אגף תנוק 2024 פרקים'!X11+'תקציב החברה לתירות 2024 פרקים'!X24+'תקציב אגף נכסים וביטוח 2024 פרק'!X20</f>
        <v>-770000</v>
      </c>
      <c r="W18" s="29">
        <f>'תקציב החברה לפיתוח 2024 פרקים'!Y150+'תקציב מינהל תפעול 2024 פרקים'!Y140+'תקציב אגף תנוק 2024 פרקים'!Y11+'תקציב החברה לתירות 2024 פרקים'!Y24+'תקציב אגף נכסים וביטוח 2024 פרק'!Y20</f>
        <v>0</v>
      </c>
      <c r="X18" s="29">
        <f>'תקציב החברה לפיתוח 2024 פרקים'!Z150+'תקציב מינהל תפעול 2024 פרקים'!Z140+'תקציב אגף תנוק 2024 פרקים'!Z11+'תקציב החברה לתירות 2024 פרקים'!Z24+'תקציב אגף נכסים וביטוח 2024 פרק'!Z20</f>
        <v>0</v>
      </c>
      <c r="Y18" s="29">
        <f>'תקציב החברה לפיתוח 2024 פרקים'!AA150+'תקציב מינהל תפעול 2024 פרקים'!AA140+'תקציב אגף תנוק 2024 פרקים'!AA11+'תקציב החברה לתירות 2024 פרקים'!AA24+'תקציב אגף נכסים וביטוח 2024 פרק'!AA20</f>
        <v>600000</v>
      </c>
    </row>
    <row r="19" spans="1:27" s="31" customFormat="1" ht="27" customHeight="1">
      <c r="A19" s="2" t="s">
        <v>350</v>
      </c>
      <c r="B19" s="29">
        <f>'תקציב מינהל כללי 2024 פרקים'!D25</f>
        <v>47833000</v>
      </c>
      <c r="C19" s="29">
        <f>'תקציב מינהל כללי 2024 פרקים'!E25</f>
        <v>15133000</v>
      </c>
      <c r="D19" s="29">
        <f>'תקציב מינהל כללי 2024 פרקים'!F25</f>
        <v>32700000</v>
      </c>
      <c r="E19" s="29">
        <f>'תקציב מינהל כללי 2024 פרקים'!G25</f>
        <v>15133000</v>
      </c>
      <c r="F19" s="29">
        <f>'תקציב מינהל כללי 2024 פרקים'!H25</f>
        <v>15133000</v>
      </c>
      <c r="G19" s="29">
        <f>'תקציב מינהל כללי 2024 פרקים'!I25</f>
        <v>0</v>
      </c>
      <c r="H19" s="29">
        <f>'תקציב מינהל כללי 2024 פרקים'!J25</f>
        <v>0</v>
      </c>
      <c r="I19" s="29">
        <f>'תקציב מינהל כללי 2024 פרקים'!K25</f>
        <v>0</v>
      </c>
      <c r="J19" s="29">
        <f>'תקציב מינהל כללי 2024 פרקים'!L25</f>
        <v>15133000</v>
      </c>
      <c r="K19" s="29">
        <f>'תקציב מינהל כללי 2024 פרקים'!M25</f>
        <v>0</v>
      </c>
      <c r="L19" s="29">
        <f>'תקציב מינהל כללי 2024 פרקים'!N25</f>
        <v>5450000</v>
      </c>
      <c r="M19" s="29">
        <f>'תקציב מינהל כללי 2024 פרקים'!O25</f>
        <v>27250000</v>
      </c>
      <c r="N19" s="29">
        <f>'תקציב מינהל כללי 2024 פרקים'!P25</f>
        <v>0</v>
      </c>
      <c r="O19" s="29">
        <f>'תקציב מינהל כללי 2024 פרקים'!Q25</f>
        <v>0</v>
      </c>
      <c r="P19" s="29">
        <f>'תקציב מינהל כללי 2024 פרקים'!R25</f>
        <v>0</v>
      </c>
      <c r="Q19" s="29">
        <f>'תקציב מינהל כללי 2024 פרקים'!S25</f>
        <v>0</v>
      </c>
      <c r="R19" s="29">
        <f>'תקציב מינהל כללי 2024 פרקים'!T25</f>
        <v>0</v>
      </c>
      <c r="S19" s="29">
        <f>'תקציב מינהל כללי 2024 פרקים'!U25</f>
        <v>5450000</v>
      </c>
      <c r="T19" s="29">
        <f>'תקציב מינהל כללי 2024 פרקים'!V25</f>
        <v>5450000</v>
      </c>
      <c r="U19" s="29">
        <f>'תקציב מינהל כללי 2024 פרקים'!W25</f>
        <v>0</v>
      </c>
      <c r="V19" s="29">
        <f>'תקציב מינהל כללי 2024 פרקים'!X25</f>
        <v>0</v>
      </c>
      <c r="W19" s="29">
        <f>'תקציב מינהל כללי 2024 פרקים'!Y25</f>
        <v>0</v>
      </c>
      <c r="X19" s="29">
        <f>'תקציב מינהל כללי 2024 פרקים'!Z25</f>
        <v>0</v>
      </c>
      <c r="Y19" s="29">
        <f>'תקציב מינהל כללי 2024 פרקים'!AA25</f>
        <v>0</v>
      </c>
    </row>
    <row r="20" spans="1:27" s="203" customFormat="1" ht="25.2" customHeight="1">
      <c r="A20" s="570" t="s">
        <v>84</v>
      </c>
      <c r="B20" s="332">
        <f>SUM(B6:B19)</f>
        <v>5913581917</v>
      </c>
      <c r="C20" s="332">
        <f t="shared" ref="C20:Y20" si="0">SUM(C6:C19)</f>
        <v>5106224876</v>
      </c>
      <c r="D20" s="332">
        <f t="shared" si="0"/>
        <v>807206836</v>
      </c>
      <c r="E20" s="332">
        <f t="shared" si="0"/>
        <v>2935844057</v>
      </c>
      <c r="F20" s="332">
        <f t="shared" si="0"/>
        <v>2781629851</v>
      </c>
      <c r="G20" s="332">
        <f t="shared" si="0"/>
        <v>7513991</v>
      </c>
      <c r="H20" s="332">
        <f t="shared" si="0"/>
        <v>56461319</v>
      </c>
      <c r="I20" s="332">
        <f t="shared" si="0"/>
        <v>63975310</v>
      </c>
      <c r="J20" s="332">
        <f t="shared" si="0"/>
        <v>2845605161</v>
      </c>
      <c r="K20" s="332">
        <f t="shared" si="0"/>
        <v>3087581</v>
      </c>
      <c r="L20" s="332">
        <f t="shared" si="0"/>
        <v>659697415</v>
      </c>
      <c r="M20" s="332">
        <f t="shared" si="0"/>
        <v>2405191760</v>
      </c>
      <c r="N20" s="332">
        <f t="shared" si="0"/>
        <v>90238896</v>
      </c>
      <c r="O20" s="332">
        <f t="shared" si="0"/>
        <v>101412155</v>
      </c>
      <c r="P20" s="332">
        <f t="shared" si="0"/>
        <v>18470000</v>
      </c>
      <c r="Q20" s="332">
        <f t="shared" si="0"/>
        <v>119882155</v>
      </c>
      <c r="R20" s="332">
        <f t="shared" si="0"/>
        <v>207033470</v>
      </c>
      <c r="S20" s="332">
        <f t="shared" si="0"/>
        <v>452663945</v>
      </c>
      <c r="T20" s="332">
        <f t="shared" si="0"/>
        <v>273998754</v>
      </c>
      <c r="U20" s="332">
        <f t="shared" si="0"/>
        <v>30000000</v>
      </c>
      <c r="V20" s="332">
        <f t="shared" si="0"/>
        <v>-770000</v>
      </c>
      <c r="W20" s="332">
        <f>SUM(W6:W19)</f>
        <v>40141186</v>
      </c>
      <c r="X20" s="332">
        <f t="shared" si="0"/>
        <v>0</v>
      </c>
      <c r="Y20" s="332">
        <f t="shared" si="0"/>
        <v>109294005</v>
      </c>
    </row>
    <row r="21" spans="1:27" s="31" customFormat="1">
      <c r="A21" s="33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</row>
    <row r="22" spans="1:27" s="31" customFormat="1" ht="15.6" hidden="1" customHeight="1">
      <c r="A22" s="33"/>
      <c r="B22" s="34"/>
      <c r="C22" s="34"/>
      <c r="D22" s="17"/>
      <c r="E22" s="34"/>
      <c r="F22" s="34"/>
      <c r="G22" s="34"/>
      <c r="H22" s="34"/>
      <c r="I22" s="34"/>
      <c r="J22" s="312">
        <f>I20+F20</f>
        <v>2845605161</v>
      </c>
      <c r="K22" s="312">
        <f>N22+Q20-R20</f>
        <v>3087581</v>
      </c>
      <c r="L22" s="17"/>
      <c r="M22" s="17"/>
      <c r="N22" s="312">
        <f>E20-J20</f>
        <v>90238896</v>
      </c>
      <c r="O22" s="17"/>
      <c r="P22" s="17"/>
      <c r="Q22" s="17"/>
      <c r="R22" s="17"/>
      <c r="S22" s="312">
        <f>L20-R20</f>
        <v>452663945</v>
      </c>
      <c r="T22" s="17"/>
      <c r="U22" s="17"/>
      <c r="V22" s="17"/>
      <c r="W22" s="17"/>
      <c r="X22" s="17"/>
      <c r="Y22" s="17"/>
    </row>
    <row r="23" spans="1:27" ht="15.6" hidden="1" customHeight="1">
      <c r="D23" s="47"/>
      <c r="J23" s="30"/>
      <c r="K23" s="30"/>
      <c r="M23" s="37"/>
      <c r="N23" s="38"/>
      <c r="O23" s="37"/>
      <c r="P23" s="39"/>
      <c r="Q23" s="39"/>
      <c r="R23" s="38"/>
      <c r="S23" s="40" t="s">
        <v>84</v>
      </c>
      <c r="T23" s="40" t="s">
        <v>74</v>
      </c>
      <c r="U23" s="40" t="s">
        <v>85</v>
      </c>
      <c r="V23" s="40" t="s">
        <v>15</v>
      </c>
      <c r="W23" s="40" t="s">
        <v>214</v>
      </c>
      <c r="X23" s="40" t="s">
        <v>502</v>
      </c>
      <c r="Y23" s="40" t="s">
        <v>75</v>
      </c>
    </row>
    <row r="24" spans="1:27" ht="15.6" hidden="1" customHeight="1">
      <c r="B24" s="47"/>
      <c r="D24" s="47"/>
      <c r="L24" s="47"/>
      <c r="M24" s="40" t="s">
        <v>86</v>
      </c>
      <c r="N24" s="41"/>
      <c r="O24" s="40" t="s">
        <v>86</v>
      </c>
      <c r="P24" s="42"/>
      <c r="Q24" s="42"/>
      <c r="R24" s="32"/>
      <c r="S24" s="43">
        <f>SUM(T24:Y24)</f>
        <v>452663945</v>
      </c>
      <c r="T24" s="43">
        <f>'תקציב 2024 קרנות הרשות'!C20*1000</f>
        <v>273998754</v>
      </c>
      <c r="U24" s="43">
        <f>'תקציב 2024 קרנות הרשות'!D20*1000</f>
        <v>30000000</v>
      </c>
      <c r="V24" s="43">
        <f>'תקציב 2024  מקורות '!F10*1000</f>
        <v>-770000</v>
      </c>
      <c r="W24" s="43">
        <f>'תקציב 2024  מקורות '!F11*1000</f>
        <v>40141186</v>
      </c>
      <c r="X24" s="43">
        <f>'תקציב 2024  מקורות '!F12*1000</f>
        <v>0</v>
      </c>
      <c r="Y24" s="43">
        <f>'פרוט מקורות אחרים'!O14</f>
        <v>109294005</v>
      </c>
    </row>
    <row r="25" spans="1:27" ht="15.6" hidden="1" customHeight="1">
      <c r="B25" s="47"/>
      <c r="M25" s="40" t="s">
        <v>87</v>
      </c>
      <c r="N25" s="41"/>
      <c r="O25" s="40" t="s">
        <v>87</v>
      </c>
      <c r="P25" s="42"/>
      <c r="Q25" s="42"/>
      <c r="R25" s="32"/>
      <c r="S25" s="43">
        <f t="shared" ref="S25:Y25" si="1">S24-S20</f>
        <v>0</v>
      </c>
      <c r="T25" s="43">
        <f t="shared" si="1"/>
        <v>0</v>
      </c>
      <c r="U25" s="43">
        <f t="shared" si="1"/>
        <v>0</v>
      </c>
      <c r="V25" s="43">
        <f t="shared" si="1"/>
        <v>0</v>
      </c>
      <c r="W25" s="43">
        <f>W24-W20</f>
        <v>0</v>
      </c>
      <c r="X25" s="43">
        <f t="shared" si="1"/>
        <v>0</v>
      </c>
      <c r="Y25" s="43">
        <f t="shared" si="1"/>
        <v>0</v>
      </c>
      <c r="AA25" s="34"/>
    </row>
    <row r="26" spans="1:27" ht="15.6" hidden="1" customHeight="1">
      <c r="A26" s="45"/>
      <c r="D26" s="45"/>
      <c r="E26" s="45"/>
      <c r="M26" s="46"/>
      <c r="O26" s="46"/>
      <c r="P26" s="46"/>
      <c r="Q26" s="46"/>
      <c r="R26" s="31"/>
      <c r="S26" s="44"/>
      <c r="T26" s="44"/>
      <c r="U26" s="44"/>
      <c r="V26" s="44"/>
      <c r="W26" s="44"/>
      <c r="X26" s="44"/>
      <c r="Y26" s="44"/>
    </row>
    <row r="27" spans="1:27" ht="15.6" hidden="1" customHeight="1">
      <c r="A27" s="45"/>
      <c r="B27" s="45"/>
      <c r="C27" s="45"/>
      <c r="D27" s="45"/>
      <c r="M27" s="46"/>
      <c r="O27" s="46"/>
      <c r="P27" s="46"/>
      <c r="Q27" s="46"/>
      <c r="R27" s="31"/>
      <c r="S27" s="44"/>
      <c r="T27" s="44"/>
      <c r="U27" s="44"/>
      <c r="V27" s="44"/>
      <c r="W27" s="44"/>
      <c r="X27" s="44"/>
      <c r="Y27" s="44"/>
    </row>
    <row r="28" spans="1:27" ht="15.6" hidden="1" customHeight="1">
      <c r="A28" s="35" t="s">
        <v>683</v>
      </c>
      <c r="B28" s="45">
        <f>'ריכוז אגפים'!B17</f>
        <v>5913581917</v>
      </c>
      <c r="C28" s="45">
        <f>'ריכוז אגפים'!C17</f>
        <v>5106224876</v>
      </c>
      <c r="D28" s="45">
        <f>'ריכוז אגפים'!D17</f>
        <v>807206836</v>
      </c>
      <c r="E28" s="45">
        <f>'ריכוז אגפים'!E17</f>
        <v>2935844057</v>
      </c>
      <c r="F28" s="45">
        <f>'ריכוז אגפים'!F17</f>
        <v>2781629851</v>
      </c>
      <c r="G28" s="45">
        <f>'ריכוז אגפים'!G17</f>
        <v>7513991</v>
      </c>
      <c r="H28" s="45">
        <f>'ריכוז אגפים'!H17</f>
        <v>56461319</v>
      </c>
      <c r="I28" s="45">
        <f>'ריכוז אגפים'!I17</f>
        <v>63975310</v>
      </c>
      <c r="J28" s="45">
        <f>'ריכוז אגפים'!J17</f>
        <v>2845605161</v>
      </c>
      <c r="K28" s="45">
        <f>'ריכוז אגפים'!K17</f>
        <v>3087581</v>
      </c>
      <c r="L28" s="45">
        <f>'ריכוז אגפים'!L17</f>
        <v>659697415</v>
      </c>
      <c r="M28" s="45">
        <f>'ריכוז אגפים'!M17</f>
        <v>2405191760</v>
      </c>
      <c r="N28" s="45">
        <f>'ריכוז אגפים'!N17</f>
        <v>90238896</v>
      </c>
      <c r="O28" s="45">
        <f>'ריכוז אגפים'!O17</f>
        <v>101412155</v>
      </c>
      <c r="P28" s="45">
        <f>'ריכוז אגפים'!P17</f>
        <v>18470000</v>
      </c>
      <c r="Q28" s="45">
        <f>'ריכוז אגפים'!Q17</f>
        <v>119882155</v>
      </c>
      <c r="R28" s="45">
        <f>'ריכוז אגפים'!R17</f>
        <v>207033470</v>
      </c>
      <c r="S28" s="45">
        <f>'ריכוז אגפים'!S17</f>
        <v>452663945</v>
      </c>
      <c r="T28" s="45">
        <f>'ריכוז אגפים'!T17</f>
        <v>273998754</v>
      </c>
      <c r="U28" s="45">
        <f>'ריכוז אגפים'!U17</f>
        <v>30000000</v>
      </c>
      <c r="V28" s="45">
        <f>'ריכוז אגפים'!V17</f>
        <v>-770000</v>
      </c>
      <c r="W28" s="45">
        <f>'ריכוז אגפים'!W17</f>
        <v>40141186</v>
      </c>
      <c r="X28" s="45">
        <f>'ריכוז אגפים'!X17</f>
        <v>0</v>
      </c>
      <c r="Y28" s="45">
        <f>'ריכוז אגפים'!Y17</f>
        <v>109294005</v>
      </c>
    </row>
    <row r="29" spans="1:27" ht="15.6" hidden="1" customHeight="1">
      <c r="A29" s="35" t="s">
        <v>649</v>
      </c>
      <c r="B29" s="45">
        <f t="shared" ref="B29:Y29" si="2">B20-B28</f>
        <v>0</v>
      </c>
      <c r="C29" s="45">
        <f t="shared" si="2"/>
        <v>0</v>
      </c>
      <c r="D29" s="45">
        <f t="shared" si="2"/>
        <v>0</v>
      </c>
      <c r="E29" s="45">
        <f t="shared" si="2"/>
        <v>0</v>
      </c>
      <c r="F29" s="45">
        <f t="shared" si="2"/>
        <v>0</v>
      </c>
      <c r="G29" s="45">
        <f t="shared" si="2"/>
        <v>0</v>
      </c>
      <c r="H29" s="45">
        <f t="shared" si="2"/>
        <v>0</v>
      </c>
      <c r="I29" s="45">
        <f t="shared" si="2"/>
        <v>0</v>
      </c>
      <c r="J29" s="45">
        <f t="shared" si="2"/>
        <v>0</v>
      </c>
      <c r="K29" s="45">
        <f t="shared" si="2"/>
        <v>0</v>
      </c>
      <c r="L29" s="45">
        <f t="shared" si="2"/>
        <v>0</v>
      </c>
      <c r="M29" s="45">
        <f t="shared" si="2"/>
        <v>0</v>
      </c>
      <c r="N29" s="45">
        <f t="shared" si="2"/>
        <v>0</v>
      </c>
      <c r="O29" s="45">
        <f t="shared" si="2"/>
        <v>0</v>
      </c>
      <c r="P29" s="45">
        <f t="shared" si="2"/>
        <v>0</v>
      </c>
      <c r="Q29" s="45">
        <f t="shared" si="2"/>
        <v>0</v>
      </c>
      <c r="R29" s="45">
        <f t="shared" si="2"/>
        <v>0</v>
      </c>
      <c r="S29" s="45">
        <f t="shared" si="2"/>
        <v>0</v>
      </c>
      <c r="T29" s="45">
        <f t="shared" si="2"/>
        <v>0</v>
      </c>
      <c r="U29" s="45">
        <f t="shared" si="2"/>
        <v>0</v>
      </c>
      <c r="V29" s="45">
        <f t="shared" si="2"/>
        <v>0</v>
      </c>
      <c r="W29" s="45">
        <f t="shared" si="2"/>
        <v>0</v>
      </c>
      <c r="X29" s="45">
        <f t="shared" si="2"/>
        <v>0</v>
      </c>
      <c r="Y29" s="45">
        <f t="shared" si="2"/>
        <v>0</v>
      </c>
    </row>
    <row r="30" spans="1:27" s="36" customFormat="1">
      <c r="A30" s="35"/>
      <c r="B30" s="45"/>
      <c r="J30" s="31"/>
      <c r="U30" s="47"/>
      <c r="Z30" s="33"/>
      <c r="AA30" s="33"/>
    </row>
    <row r="31" spans="1:27" s="36" customFormat="1">
      <c r="A31" s="35"/>
      <c r="B31" s="45"/>
      <c r="J31" s="31"/>
      <c r="U31" s="47"/>
      <c r="Z31" s="33"/>
      <c r="AA31" s="33"/>
    </row>
    <row r="32" spans="1:27" s="36" customFormat="1">
      <c r="A32" s="35"/>
      <c r="B32" s="45"/>
      <c r="J32" s="31"/>
      <c r="U32" s="47"/>
      <c r="Z32" s="33"/>
      <c r="AA32" s="33"/>
    </row>
    <row r="33" spans="1:27" s="36" customFormat="1">
      <c r="A33" s="35"/>
      <c r="B33" s="45"/>
      <c r="J33" s="31"/>
      <c r="U33" s="47"/>
      <c r="Z33" s="33"/>
      <c r="AA33" s="33"/>
    </row>
    <row r="34" spans="1:27" s="36" customFormat="1">
      <c r="A34" s="35"/>
      <c r="B34" s="45"/>
      <c r="J34" s="31"/>
      <c r="U34" s="47"/>
      <c r="Z34" s="33"/>
      <c r="AA34" s="33"/>
    </row>
    <row r="35" spans="1:27" s="36" customFormat="1">
      <c r="A35" s="35"/>
      <c r="B35" s="45"/>
      <c r="J35" s="31"/>
      <c r="U35" s="47"/>
      <c r="Z35" s="33"/>
      <c r="AA35" s="33"/>
    </row>
    <row r="36" spans="1:27" s="36" customFormat="1">
      <c r="A36" s="35"/>
      <c r="B36" s="257"/>
      <c r="J36" s="31"/>
      <c r="U36" s="47"/>
      <c r="Z36" s="33"/>
      <c r="AA36" s="33"/>
    </row>
    <row r="37" spans="1:27" s="36" customFormat="1">
      <c r="A37" s="35"/>
      <c r="J37" s="31"/>
      <c r="M37" s="202"/>
      <c r="N37" s="203"/>
      <c r="O37" s="202"/>
      <c r="P37" s="202"/>
      <c r="Q37" s="202"/>
      <c r="R37" s="202"/>
      <c r="Z37" s="33"/>
      <c r="AA37" s="33"/>
    </row>
  </sheetData>
  <sheetProtection formatCells="0" formatColumns="0" formatRows="0" insertColumns="0" insertRows="0" insertHyperlinks="0" deleteColumns="0" deleteRows="0" sort="0" autoFilter="0" pivotTables="0"/>
  <mergeCells count="3">
    <mergeCell ref="B4:M4"/>
    <mergeCell ref="N4:O4"/>
    <mergeCell ref="R4:Y4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"/>
  <sheetViews>
    <sheetView showZeros="0" rightToLeft="1" workbookViewId="0">
      <selection activeCell="T10" sqref="T10"/>
    </sheetView>
  </sheetViews>
  <sheetFormatPr defaultRowHeight="15.6"/>
  <cols>
    <col min="1" max="1" width="25.5546875" style="51" customWidth="1"/>
    <col min="2" max="3" width="10.33203125" style="53" customWidth="1"/>
    <col min="4" max="4" width="11.109375" style="53" customWidth="1"/>
    <col min="5" max="9" width="10.33203125" style="53" customWidth="1"/>
    <col min="10" max="10" width="10.33203125" style="53" hidden="1" customWidth="1"/>
    <col min="11" max="14" width="10.33203125" style="53" customWidth="1"/>
    <col min="15" max="15" width="11.33203125" style="51" customWidth="1"/>
    <col min="16" max="16" width="8.88671875" style="51" customWidth="1"/>
    <col min="17" max="17" width="13.33203125" style="118" hidden="1" customWidth="1"/>
    <col min="18" max="18" width="11.88671875" style="118" customWidth="1"/>
    <col min="19" max="19" width="12.109375" style="118" customWidth="1"/>
    <col min="20" max="20" width="2.6640625" style="118" customWidth="1"/>
    <col min="21" max="21" width="10.109375" style="118" bestFit="1" customWidth="1"/>
    <col min="22" max="22" width="9.109375" style="51" customWidth="1"/>
    <col min="23" max="257" width="9.109375" style="51"/>
    <col min="258" max="258" width="4.109375" style="51" customWidth="1"/>
    <col min="259" max="259" width="25.5546875" style="51" customWidth="1"/>
    <col min="260" max="260" width="0" style="51" hidden="1" customWidth="1"/>
    <col min="261" max="261" width="9.109375" style="51" bestFit="1" customWidth="1"/>
    <col min="262" max="262" width="9.109375" style="51" customWidth="1"/>
    <col min="263" max="263" width="8.88671875" style="51" customWidth="1"/>
    <col min="264" max="265" width="10.6640625" style="51" customWidth="1"/>
    <col min="266" max="266" width="10" style="51" customWidth="1"/>
    <col min="267" max="267" width="10.44140625" style="51" customWidth="1"/>
    <col min="268" max="268" width="8.6640625" style="51" customWidth="1"/>
    <col min="269" max="269" width="0" style="51" hidden="1" customWidth="1"/>
    <col min="270" max="270" width="10.109375" style="51" bestFit="1" customWidth="1"/>
    <col min="271" max="271" width="10.109375" style="51" customWidth="1"/>
    <col min="272" max="272" width="0" style="51" hidden="1" customWidth="1"/>
    <col min="273" max="273" width="10" style="51" customWidth="1"/>
    <col min="274" max="274" width="12.88671875" style="51" customWidth="1"/>
    <col min="275" max="513" width="9.109375" style="51"/>
    <col min="514" max="514" width="4.109375" style="51" customWidth="1"/>
    <col min="515" max="515" width="25.5546875" style="51" customWidth="1"/>
    <col min="516" max="516" width="0" style="51" hidden="1" customWidth="1"/>
    <col min="517" max="517" width="9.109375" style="51" bestFit="1" customWidth="1"/>
    <col min="518" max="518" width="9.109375" style="51" customWidth="1"/>
    <col min="519" max="519" width="8.88671875" style="51" customWidth="1"/>
    <col min="520" max="521" width="10.6640625" style="51" customWidth="1"/>
    <col min="522" max="522" width="10" style="51" customWidth="1"/>
    <col min="523" max="523" width="10.44140625" style="51" customWidth="1"/>
    <col min="524" max="524" width="8.6640625" style="51" customWidth="1"/>
    <col min="525" max="525" width="0" style="51" hidden="1" customWidth="1"/>
    <col min="526" max="526" width="10.109375" style="51" bestFit="1" customWidth="1"/>
    <col min="527" max="527" width="10.109375" style="51" customWidth="1"/>
    <col min="528" max="528" width="0" style="51" hidden="1" customWidth="1"/>
    <col min="529" max="529" width="10" style="51" customWidth="1"/>
    <col min="530" max="530" width="12.88671875" style="51" customWidth="1"/>
    <col min="531" max="769" width="9.109375" style="51"/>
    <col min="770" max="770" width="4.109375" style="51" customWidth="1"/>
    <col min="771" max="771" width="25.5546875" style="51" customWidth="1"/>
    <col min="772" max="772" width="0" style="51" hidden="1" customWidth="1"/>
    <col min="773" max="773" width="9.109375" style="51" bestFit="1" customWidth="1"/>
    <col min="774" max="774" width="9.109375" style="51" customWidth="1"/>
    <col min="775" max="775" width="8.88671875" style="51" customWidth="1"/>
    <col min="776" max="777" width="10.6640625" style="51" customWidth="1"/>
    <col min="778" max="778" width="10" style="51" customWidth="1"/>
    <col min="779" max="779" width="10.44140625" style="51" customWidth="1"/>
    <col min="780" max="780" width="8.6640625" style="51" customWidth="1"/>
    <col min="781" max="781" width="0" style="51" hidden="1" customWidth="1"/>
    <col min="782" max="782" width="10.109375" style="51" bestFit="1" customWidth="1"/>
    <col min="783" max="783" width="10.109375" style="51" customWidth="1"/>
    <col min="784" max="784" width="0" style="51" hidden="1" customWidth="1"/>
    <col min="785" max="785" width="10" style="51" customWidth="1"/>
    <col min="786" max="786" width="12.88671875" style="51" customWidth="1"/>
    <col min="787" max="1025" width="9.109375" style="51"/>
    <col min="1026" max="1026" width="4.109375" style="51" customWidth="1"/>
    <col min="1027" max="1027" width="25.5546875" style="51" customWidth="1"/>
    <col min="1028" max="1028" width="0" style="51" hidden="1" customWidth="1"/>
    <col min="1029" max="1029" width="9.109375" style="51" bestFit="1" customWidth="1"/>
    <col min="1030" max="1030" width="9.109375" style="51" customWidth="1"/>
    <col min="1031" max="1031" width="8.88671875" style="51" customWidth="1"/>
    <col min="1032" max="1033" width="10.6640625" style="51" customWidth="1"/>
    <col min="1034" max="1034" width="10" style="51" customWidth="1"/>
    <col min="1035" max="1035" width="10.44140625" style="51" customWidth="1"/>
    <col min="1036" max="1036" width="8.6640625" style="51" customWidth="1"/>
    <col min="1037" max="1037" width="0" style="51" hidden="1" customWidth="1"/>
    <col min="1038" max="1038" width="10.109375" style="51" bestFit="1" customWidth="1"/>
    <col min="1039" max="1039" width="10.109375" style="51" customWidth="1"/>
    <col min="1040" max="1040" width="0" style="51" hidden="1" customWidth="1"/>
    <col min="1041" max="1041" width="10" style="51" customWidth="1"/>
    <col min="1042" max="1042" width="12.88671875" style="51" customWidth="1"/>
    <col min="1043" max="1281" width="9.109375" style="51"/>
    <col min="1282" max="1282" width="4.109375" style="51" customWidth="1"/>
    <col min="1283" max="1283" width="25.5546875" style="51" customWidth="1"/>
    <col min="1284" max="1284" width="0" style="51" hidden="1" customWidth="1"/>
    <col min="1285" max="1285" width="9.109375" style="51" bestFit="1" customWidth="1"/>
    <col min="1286" max="1286" width="9.109375" style="51" customWidth="1"/>
    <col min="1287" max="1287" width="8.88671875" style="51" customWidth="1"/>
    <col min="1288" max="1289" width="10.6640625" style="51" customWidth="1"/>
    <col min="1290" max="1290" width="10" style="51" customWidth="1"/>
    <col min="1291" max="1291" width="10.44140625" style="51" customWidth="1"/>
    <col min="1292" max="1292" width="8.6640625" style="51" customWidth="1"/>
    <col min="1293" max="1293" width="0" style="51" hidden="1" customWidth="1"/>
    <col min="1294" max="1294" width="10.109375" style="51" bestFit="1" customWidth="1"/>
    <col min="1295" max="1295" width="10.109375" style="51" customWidth="1"/>
    <col min="1296" max="1296" width="0" style="51" hidden="1" customWidth="1"/>
    <col min="1297" max="1297" width="10" style="51" customWidth="1"/>
    <col min="1298" max="1298" width="12.88671875" style="51" customWidth="1"/>
    <col min="1299" max="1537" width="9.109375" style="51"/>
    <col min="1538" max="1538" width="4.109375" style="51" customWidth="1"/>
    <col min="1539" max="1539" width="25.5546875" style="51" customWidth="1"/>
    <col min="1540" max="1540" width="0" style="51" hidden="1" customWidth="1"/>
    <col min="1541" max="1541" width="9.109375" style="51" bestFit="1" customWidth="1"/>
    <col min="1542" max="1542" width="9.109375" style="51" customWidth="1"/>
    <col min="1543" max="1543" width="8.88671875" style="51" customWidth="1"/>
    <col min="1544" max="1545" width="10.6640625" style="51" customWidth="1"/>
    <col min="1546" max="1546" width="10" style="51" customWidth="1"/>
    <col min="1547" max="1547" width="10.44140625" style="51" customWidth="1"/>
    <col min="1548" max="1548" width="8.6640625" style="51" customWidth="1"/>
    <col min="1549" max="1549" width="0" style="51" hidden="1" customWidth="1"/>
    <col min="1550" max="1550" width="10.109375" style="51" bestFit="1" customWidth="1"/>
    <col min="1551" max="1551" width="10.109375" style="51" customWidth="1"/>
    <col min="1552" max="1552" width="0" style="51" hidden="1" customWidth="1"/>
    <col min="1553" max="1553" width="10" style="51" customWidth="1"/>
    <col min="1554" max="1554" width="12.88671875" style="51" customWidth="1"/>
    <col min="1555" max="1793" width="9.109375" style="51"/>
    <col min="1794" max="1794" width="4.109375" style="51" customWidth="1"/>
    <col min="1795" max="1795" width="25.5546875" style="51" customWidth="1"/>
    <col min="1796" max="1796" width="0" style="51" hidden="1" customWidth="1"/>
    <col min="1797" max="1797" width="9.109375" style="51" bestFit="1" customWidth="1"/>
    <col min="1798" max="1798" width="9.109375" style="51" customWidth="1"/>
    <col min="1799" max="1799" width="8.88671875" style="51" customWidth="1"/>
    <col min="1800" max="1801" width="10.6640625" style="51" customWidth="1"/>
    <col min="1802" max="1802" width="10" style="51" customWidth="1"/>
    <col min="1803" max="1803" width="10.44140625" style="51" customWidth="1"/>
    <col min="1804" max="1804" width="8.6640625" style="51" customWidth="1"/>
    <col min="1805" max="1805" width="0" style="51" hidden="1" customWidth="1"/>
    <col min="1806" max="1806" width="10.109375" style="51" bestFit="1" customWidth="1"/>
    <col min="1807" max="1807" width="10.109375" style="51" customWidth="1"/>
    <col min="1808" max="1808" width="0" style="51" hidden="1" customWidth="1"/>
    <col min="1809" max="1809" width="10" style="51" customWidth="1"/>
    <col min="1810" max="1810" width="12.88671875" style="51" customWidth="1"/>
    <col min="1811" max="2049" width="9.109375" style="51"/>
    <col min="2050" max="2050" width="4.109375" style="51" customWidth="1"/>
    <col min="2051" max="2051" width="25.5546875" style="51" customWidth="1"/>
    <col min="2052" max="2052" width="0" style="51" hidden="1" customWidth="1"/>
    <col min="2053" max="2053" width="9.109375" style="51" bestFit="1" customWidth="1"/>
    <col min="2054" max="2054" width="9.109375" style="51" customWidth="1"/>
    <col min="2055" max="2055" width="8.88671875" style="51" customWidth="1"/>
    <col min="2056" max="2057" width="10.6640625" style="51" customWidth="1"/>
    <col min="2058" max="2058" width="10" style="51" customWidth="1"/>
    <col min="2059" max="2059" width="10.44140625" style="51" customWidth="1"/>
    <col min="2060" max="2060" width="8.6640625" style="51" customWidth="1"/>
    <col min="2061" max="2061" width="0" style="51" hidden="1" customWidth="1"/>
    <col min="2062" max="2062" width="10.109375" style="51" bestFit="1" customWidth="1"/>
    <col min="2063" max="2063" width="10.109375" style="51" customWidth="1"/>
    <col min="2064" max="2064" width="0" style="51" hidden="1" customWidth="1"/>
    <col min="2065" max="2065" width="10" style="51" customWidth="1"/>
    <col min="2066" max="2066" width="12.88671875" style="51" customWidth="1"/>
    <col min="2067" max="2305" width="9.109375" style="51"/>
    <col min="2306" max="2306" width="4.109375" style="51" customWidth="1"/>
    <col min="2307" max="2307" width="25.5546875" style="51" customWidth="1"/>
    <col min="2308" max="2308" width="0" style="51" hidden="1" customWidth="1"/>
    <col min="2309" max="2309" width="9.109375" style="51" bestFit="1" customWidth="1"/>
    <col min="2310" max="2310" width="9.109375" style="51" customWidth="1"/>
    <col min="2311" max="2311" width="8.88671875" style="51" customWidth="1"/>
    <col min="2312" max="2313" width="10.6640625" style="51" customWidth="1"/>
    <col min="2314" max="2314" width="10" style="51" customWidth="1"/>
    <col min="2315" max="2315" width="10.44140625" style="51" customWidth="1"/>
    <col min="2316" max="2316" width="8.6640625" style="51" customWidth="1"/>
    <col min="2317" max="2317" width="0" style="51" hidden="1" customWidth="1"/>
    <col min="2318" max="2318" width="10.109375" style="51" bestFit="1" customWidth="1"/>
    <col min="2319" max="2319" width="10.109375" style="51" customWidth="1"/>
    <col min="2320" max="2320" width="0" style="51" hidden="1" customWidth="1"/>
    <col min="2321" max="2321" width="10" style="51" customWidth="1"/>
    <col min="2322" max="2322" width="12.88671875" style="51" customWidth="1"/>
    <col min="2323" max="2561" width="9.109375" style="51"/>
    <col min="2562" max="2562" width="4.109375" style="51" customWidth="1"/>
    <col min="2563" max="2563" width="25.5546875" style="51" customWidth="1"/>
    <col min="2564" max="2564" width="0" style="51" hidden="1" customWidth="1"/>
    <col min="2565" max="2565" width="9.109375" style="51" bestFit="1" customWidth="1"/>
    <col min="2566" max="2566" width="9.109375" style="51" customWidth="1"/>
    <col min="2567" max="2567" width="8.88671875" style="51" customWidth="1"/>
    <col min="2568" max="2569" width="10.6640625" style="51" customWidth="1"/>
    <col min="2570" max="2570" width="10" style="51" customWidth="1"/>
    <col min="2571" max="2571" width="10.44140625" style="51" customWidth="1"/>
    <col min="2572" max="2572" width="8.6640625" style="51" customWidth="1"/>
    <col min="2573" max="2573" width="0" style="51" hidden="1" customWidth="1"/>
    <col min="2574" max="2574" width="10.109375" style="51" bestFit="1" customWidth="1"/>
    <col min="2575" max="2575" width="10.109375" style="51" customWidth="1"/>
    <col min="2576" max="2576" width="0" style="51" hidden="1" customWidth="1"/>
    <col min="2577" max="2577" width="10" style="51" customWidth="1"/>
    <col min="2578" max="2578" width="12.88671875" style="51" customWidth="1"/>
    <col min="2579" max="2817" width="9.109375" style="51"/>
    <col min="2818" max="2818" width="4.109375" style="51" customWidth="1"/>
    <col min="2819" max="2819" width="25.5546875" style="51" customWidth="1"/>
    <col min="2820" max="2820" width="0" style="51" hidden="1" customWidth="1"/>
    <col min="2821" max="2821" width="9.109375" style="51" bestFit="1" customWidth="1"/>
    <col min="2822" max="2822" width="9.109375" style="51" customWidth="1"/>
    <col min="2823" max="2823" width="8.88671875" style="51" customWidth="1"/>
    <col min="2824" max="2825" width="10.6640625" style="51" customWidth="1"/>
    <col min="2826" max="2826" width="10" style="51" customWidth="1"/>
    <col min="2827" max="2827" width="10.44140625" style="51" customWidth="1"/>
    <col min="2828" max="2828" width="8.6640625" style="51" customWidth="1"/>
    <col min="2829" max="2829" width="0" style="51" hidden="1" customWidth="1"/>
    <col min="2830" max="2830" width="10.109375" style="51" bestFit="1" customWidth="1"/>
    <col min="2831" max="2831" width="10.109375" style="51" customWidth="1"/>
    <col min="2832" max="2832" width="0" style="51" hidden="1" customWidth="1"/>
    <col min="2833" max="2833" width="10" style="51" customWidth="1"/>
    <col min="2834" max="2834" width="12.88671875" style="51" customWidth="1"/>
    <col min="2835" max="3073" width="9.109375" style="51"/>
    <col min="3074" max="3074" width="4.109375" style="51" customWidth="1"/>
    <col min="3075" max="3075" width="25.5546875" style="51" customWidth="1"/>
    <col min="3076" max="3076" width="0" style="51" hidden="1" customWidth="1"/>
    <col min="3077" max="3077" width="9.109375" style="51" bestFit="1" customWidth="1"/>
    <col min="3078" max="3078" width="9.109375" style="51" customWidth="1"/>
    <col min="3079" max="3079" width="8.88671875" style="51" customWidth="1"/>
    <col min="3080" max="3081" width="10.6640625" style="51" customWidth="1"/>
    <col min="3082" max="3082" width="10" style="51" customWidth="1"/>
    <col min="3083" max="3083" width="10.44140625" style="51" customWidth="1"/>
    <col min="3084" max="3084" width="8.6640625" style="51" customWidth="1"/>
    <col min="3085" max="3085" width="0" style="51" hidden="1" customWidth="1"/>
    <col min="3086" max="3086" width="10.109375" style="51" bestFit="1" customWidth="1"/>
    <col min="3087" max="3087" width="10.109375" style="51" customWidth="1"/>
    <col min="3088" max="3088" width="0" style="51" hidden="1" customWidth="1"/>
    <col min="3089" max="3089" width="10" style="51" customWidth="1"/>
    <col min="3090" max="3090" width="12.88671875" style="51" customWidth="1"/>
    <col min="3091" max="3329" width="9.109375" style="51"/>
    <col min="3330" max="3330" width="4.109375" style="51" customWidth="1"/>
    <col min="3331" max="3331" width="25.5546875" style="51" customWidth="1"/>
    <col min="3332" max="3332" width="0" style="51" hidden="1" customWidth="1"/>
    <col min="3333" max="3333" width="9.109375" style="51" bestFit="1" customWidth="1"/>
    <col min="3334" max="3334" width="9.109375" style="51" customWidth="1"/>
    <col min="3335" max="3335" width="8.88671875" style="51" customWidth="1"/>
    <col min="3336" max="3337" width="10.6640625" style="51" customWidth="1"/>
    <col min="3338" max="3338" width="10" style="51" customWidth="1"/>
    <col min="3339" max="3339" width="10.44140625" style="51" customWidth="1"/>
    <col min="3340" max="3340" width="8.6640625" style="51" customWidth="1"/>
    <col min="3341" max="3341" width="0" style="51" hidden="1" customWidth="1"/>
    <col min="3342" max="3342" width="10.109375" style="51" bestFit="1" customWidth="1"/>
    <col min="3343" max="3343" width="10.109375" style="51" customWidth="1"/>
    <col min="3344" max="3344" width="0" style="51" hidden="1" customWidth="1"/>
    <col min="3345" max="3345" width="10" style="51" customWidth="1"/>
    <col min="3346" max="3346" width="12.88671875" style="51" customWidth="1"/>
    <col min="3347" max="3585" width="9.109375" style="51"/>
    <col min="3586" max="3586" width="4.109375" style="51" customWidth="1"/>
    <col min="3587" max="3587" width="25.5546875" style="51" customWidth="1"/>
    <col min="3588" max="3588" width="0" style="51" hidden="1" customWidth="1"/>
    <col min="3589" max="3589" width="9.109375" style="51" bestFit="1" customWidth="1"/>
    <col min="3590" max="3590" width="9.109375" style="51" customWidth="1"/>
    <col min="3591" max="3591" width="8.88671875" style="51" customWidth="1"/>
    <col min="3592" max="3593" width="10.6640625" style="51" customWidth="1"/>
    <col min="3594" max="3594" width="10" style="51" customWidth="1"/>
    <col min="3595" max="3595" width="10.44140625" style="51" customWidth="1"/>
    <col min="3596" max="3596" width="8.6640625" style="51" customWidth="1"/>
    <col min="3597" max="3597" width="0" style="51" hidden="1" customWidth="1"/>
    <col min="3598" max="3598" width="10.109375" style="51" bestFit="1" customWidth="1"/>
    <col min="3599" max="3599" width="10.109375" style="51" customWidth="1"/>
    <col min="3600" max="3600" width="0" style="51" hidden="1" customWidth="1"/>
    <col min="3601" max="3601" width="10" style="51" customWidth="1"/>
    <col min="3602" max="3602" width="12.88671875" style="51" customWidth="1"/>
    <col min="3603" max="3841" width="9.109375" style="51"/>
    <col min="3842" max="3842" width="4.109375" style="51" customWidth="1"/>
    <col min="3843" max="3843" width="25.5546875" style="51" customWidth="1"/>
    <col min="3844" max="3844" width="0" style="51" hidden="1" customWidth="1"/>
    <col min="3845" max="3845" width="9.109375" style="51" bestFit="1" customWidth="1"/>
    <col min="3846" max="3846" width="9.109375" style="51" customWidth="1"/>
    <col min="3847" max="3847" width="8.88671875" style="51" customWidth="1"/>
    <col min="3848" max="3849" width="10.6640625" style="51" customWidth="1"/>
    <col min="3850" max="3850" width="10" style="51" customWidth="1"/>
    <col min="3851" max="3851" width="10.44140625" style="51" customWidth="1"/>
    <col min="3852" max="3852" width="8.6640625" style="51" customWidth="1"/>
    <col min="3853" max="3853" width="0" style="51" hidden="1" customWidth="1"/>
    <col min="3854" max="3854" width="10.109375" style="51" bestFit="1" customWidth="1"/>
    <col min="3855" max="3855" width="10.109375" style="51" customWidth="1"/>
    <col min="3856" max="3856" width="0" style="51" hidden="1" customWidth="1"/>
    <col min="3857" max="3857" width="10" style="51" customWidth="1"/>
    <col min="3858" max="3858" width="12.88671875" style="51" customWidth="1"/>
    <col min="3859" max="4097" width="9.109375" style="51"/>
    <col min="4098" max="4098" width="4.109375" style="51" customWidth="1"/>
    <col min="4099" max="4099" width="25.5546875" style="51" customWidth="1"/>
    <col min="4100" max="4100" width="0" style="51" hidden="1" customWidth="1"/>
    <col min="4101" max="4101" width="9.109375" style="51" bestFit="1" customWidth="1"/>
    <col min="4102" max="4102" width="9.109375" style="51" customWidth="1"/>
    <col min="4103" max="4103" width="8.88671875" style="51" customWidth="1"/>
    <col min="4104" max="4105" width="10.6640625" style="51" customWidth="1"/>
    <col min="4106" max="4106" width="10" style="51" customWidth="1"/>
    <col min="4107" max="4107" width="10.44140625" style="51" customWidth="1"/>
    <col min="4108" max="4108" width="8.6640625" style="51" customWidth="1"/>
    <col min="4109" max="4109" width="0" style="51" hidden="1" customWidth="1"/>
    <col min="4110" max="4110" width="10.109375" style="51" bestFit="1" customWidth="1"/>
    <col min="4111" max="4111" width="10.109375" style="51" customWidth="1"/>
    <col min="4112" max="4112" width="0" style="51" hidden="1" customWidth="1"/>
    <col min="4113" max="4113" width="10" style="51" customWidth="1"/>
    <col min="4114" max="4114" width="12.88671875" style="51" customWidth="1"/>
    <col min="4115" max="4353" width="9.109375" style="51"/>
    <col min="4354" max="4354" width="4.109375" style="51" customWidth="1"/>
    <col min="4355" max="4355" width="25.5546875" style="51" customWidth="1"/>
    <col min="4356" max="4356" width="0" style="51" hidden="1" customWidth="1"/>
    <col min="4357" max="4357" width="9.109375" style="51" bestFit="1" customWidth="1"/>
    <col min="4358" max="4358" width="9.109375" style="51" customWidth="1"/>
    <col min="4359" max="4359" width="8.88671875" style="51" customWidth="1"/>
    <col min="4360" max="4361" width="10.6640625" style="51" customWidth="1"/>
    <col min="4362" max="4362" width="10" style="51" customWidth="1"/>
    <col min="4363" max="4363" width="10.44140625" style="51" customWidth="1"/>
    <col min="4364" max="4364" width="8.6640625" style="51" customWidth="1"/>
    <col min="4365" max="4365" width="0" style="51" hidden="1" customWidth="1"/>
    <col min="4366" max="4366" width="10.109375" style="51" bestFit="1" customWidth="1"/>
    <col min="4367" max="4367" width="10.109375" style="51" customWidth="1"/>
    <col min="4368" max="4368" width="0" style="51" hidden="1" customWidth="1"/>
    <col min="4369" max="4369" width="10" style="51" customWidth="1"/>
    <col min="4370" max="4370" width="12.88671875" style="51" customWidth="1"/>
    <col min="4371" max="4609" width="9.109375" style="51"/>
    <col min="4610" max="4610" width="4.109375" style="51" customWidth="1"/>
    <col min="4611" max="4611" width="25.5546875" style="51" customWidth="1"/>
    <col min="4612" max="4612" width="0" style="51" hidden="1" customWidth="1"/>
    <col min="4613" max="4613" width="9.109375" style="51" bestFit="1" customWidth="1"/>
    <col min="4614" max="4614" width="9.109375" style="51" customWidth="1"/>
    <col min="4615" max="4615" width="8.88671875" style="51" customWidth="1"/>
    <col min="4616" max="4617" width="10.6640625" style="51" customWidth="1"/>
    <col min="4618" max="4618" width="10" style="51" customWidth="1"/>
    <col min="4619" max="4619" width="10.44140625" style="51" customWidth="1"/>
    <col min="4620" max="4620" width="8.6640625" style="51" customWidth="1"/>
    <col min="4621" max="4621" width="0" style="51" hidden="1" customWidth="1"/>
    <col min="4622" max="4622" width="10.109375" style="51" bestFit="1" customWidth="1"/>
    <col min="4623" max="4623" width="10.109375" style="51" customWidth="1"/>
    <col min="4624" max="4624" width="0" style="51" hidden="1" customWidth="1"/>
    <col min="4625" max="4625" width="10" style="51" customWidth="1"/>
    <col min="4626" max="4626" width="12.88671875" style="51" customWidth="1"/>
    <col min="4627" max="4865" width="9.109375" style="51"/>
    <col min="4866" max="4866" width="4.109375" style="51" customWidth="1"/>
    <col min="4867" max="4867" width="25.5546875" style="51" customWidth="1"/>
    <col min="4868" max="4868" width="0" style="51" hidden="1" customWidth="1"/>
    <col min="4869" max="4869" width="9.109375" style="51" bestFit="1" customWidth="1"/>
    <col min="4870" max="4870" width="9.109375" style="51" customWidth="1"/>
    <col min="4871" max="4871" width="8.88671875" style="51" customWidth="1"/>
    <col min="4872" max="4873" width="10.6640625" style="51" customWidth="1"/>
    <col min="4874" max="4874" width="10" style="51" customWidth="1"/>
    <col min="4875" max="4875" width="10.44140625" style="51" customWidth="1"/>
    <col min="4876" max="4876" width="8.6640625" style="51" customWidth="1"/>
    <col min="4877" max="4877" width="0" style="51" hidden="1" customWidth="1"/>
    <col min="4878" max="4878" width="10.109375" style="51" bestFit="1" customWidth="1"/>
    <col min="4879" max="4879" width="10.109375" style="51" customWidth="1"/>
    <col min="4880" max="4880" width="0" style="51" hidden="1" customWidth="1"/>
    <col min="4881" max="4881" width="10" style="51" customWidth="1"/>
    <col min="4882" max="4882" width="12.88671875" style="51" customWidth="1"/>
    <col min="4883" max="5121" width="9.109375" style="51"/>
    <col min="5122" max="5122" width="4.109375" style="51" customWidth="1"/>
    <col min="5123" max="5123" width="25.5546875" style="51" customWidth="1"/>
    <col min="5124" max="5124" width="0" style="51" hidden="1" customWidth="1"/>
    <col min="5125" max="5125" width="9.109375" style="51" bestFit="1" customWidth="1"/>
    <col min="5126" max="5126" width="9.109375" style="51" customWidth="1"/>
    <col min="5127" max="5127" width="8.88671875" style="51" customWidth="1"/>
    <col min="5128" max="5129" width="10.6640625" style="51" customWidth="1"/>
    <col min="5130" max="5130" width="10" style="51" customWidth="1"/>
    <col min="5131" max="5131" width="10.44140625" style="51" customWidth="1"/>
    <col min="5132" max="5132" width="8.6640625" style="51" customWidth="1"/>
    <col min="5133" max="5133" width="0" style="51" hidden="1" customWidth="1"/>
    <col min="5134" max="5134" width="10.109375" style="51" bestFit="1" customWidth="1"/>
    <col min="5135" max="5135" width="10.109375" style="51" customWidth="1"/>
    <col min="5136" max="5136" width="0" style="51" hidden="1" customWidth="1"/>
    <col min="5137" max="5137" width="10" style="51" customWidth="1"/>
    <col min="5138" max="5138" width="12.88671875" style="51" customWidth="1"/>
    <col min="5139" max="5377" width="9.109375" style="51"/>
    <col min="5378" max="5378" width="4.109375" style="51" customWidth="1"/>
    <col min="5379" max="5379" width="25.5546875" style="51" customWidth="1"/>
    <col min="5380" max="5380" width="0" style="51" hidden="1" customWidth="1"/>
    <col min="5381" max="5381" width="9.109375" style="51" bestFit="1" customWidth="1"/>
    <col min="5382" max="5382" width="9.109375" style="51" customWidth="1"/>
    <col min="5383" max="5383" width="8.88671875" style="51" customWidth="1"/>
    <col min="5384" max="5385" width="10.6640625" style="51" customWidth="1"/>
    <col min="5386" max="5386" width="10" style="51" customWidth="1"/>
    <col min="5387" max="5387" width="10.44140625" style="51" customWidth="1"/>
    <col min="5388" max="5388" width="8.6640625" style="51" customWidth="1"/>
    <col min="5389" max="5389" width="0" style="51" hidden="1" customWidth="1"/>
    <col min="5390" max="5390" width="10.109375" style="51" bestFit="1" customWidth="1"/>
    <col min="5391" max="5391" width="10.109375" style="51" customWidth="1"/>
    <col min="5392" max="5392" width="0" style="51" hidden="1" customWidth="1"/>
    <col min="5393" max="5393" width="10" style="51" customWidth="1"/>
    <col min="5394" max="5394" width="12.88671875" style="51" customWidth="1"/>
    <col min="5395" max="5633" width="9.109375" style="51"/>
    <col min="5634" max="5634" width="4.109375" style="51" customWidth="1"/>
    <col min="5635" max="5635" width="25.5546875" style="51" customWidth="1"/>
    <col min="5636" max="5636" width="0" style="51" hidden="1" customWidth="1"/>
    <col min="5637" max="5637" width="9.109375" style="51" bestFit="1" customWidth="1"/>
    <col min="5638" max="5638" width="9.109375" style="51" customWidth="1"/>
    <col min="5639" max="5639" width="8.88671875" style="51" customWidth="1"/>
    <col min="5640" max="5641" width="10.6640625" style="51" customWidth="1"/>
    <col min="5642" max="5642" width="10" style="51" customWidth="1"/>
    <col min="5643" max="5643" width="10.44140625" style="51" customWidth="1"/>
    <col min="5644" max="5644" width="8.6640625" style="51" customWidth="1"/>
    <col min="5645" max="5645" width="0" style="51" hidden="1" customWidth="1"/>
    <col min="5646" max="5646" width="10.109375" style="51" bestFit="1" customWidth="1"/>
    <col min="5647" max="5647" width="10.109375" style="51" customWidth="1"/>
    <col min="5648" max="5648" width="0" style="51" hidden="1" customWidth="1"/>
    <col min="5649" max="5649" width="10" style="51" customWidth="1"/>
    <col min="5650" max="5650" width="12.88671875" style="51" customWidth="1"/>
    <col min="5651" max="5889" width="9.109375" style="51"/>
    <col min="5890" max="5890" width="4.109375" style="51" customWidth="1"/>
    <col min="5891" max="5891" width="25.5546875" style="51" customWidth="1"/>
    <col min="5892" max="5892" width="0" style="51" hidden="1" customWidth="1"/>
    <col min="5893" max="5893" width="9.109375" style="51" bestFit="1" customWidth="1"/>
    <col min="5894" max="5894" width="9.109375" style="51" customWidth="1"/>
    <col min="5895" max="5895" width="8.88671875" style="51" customWidth="1"/>
    <col min="5896" max="5897" width="10.6640625" style="51" customWidth="1"/>
    <col min="5898" max="5898" width="10" style="51" customWidth="1"/>
    <col min="5899" max="5899" width="10.44140625" style="51" customWidth="1"/>
    <col min="5900" max="5900" width="8.6640625" style="51" customWidth="1"/>
    <col min="5901" max="5901" width="0" style="51" hidden="1" customWidth="1"/>
    <col min="5902" max="5902" width="10.109375" style="51" bestFit="1" customWidth="1"/>
    <col min="5903" max="5903" width="10.109375" style="51" customWidth="1"/>
    <col min="5904" max="5904" width="0" style="51" hidden="1" customWidth="1"/>
    <col min="5905" max="5905" width="10" style="51" customWidth="1"/>
    <col min="5906" max="5906" width="12.88671875" style="51" customWidth="1"/>
    <col min="5907" max="6145" width="9.109375" style="51"/>
    <col min="6146" max="6146" width="4.109375" style="51" customWidth="1"/>
    <col min="6147" max="6147" width="25.5546875" style="51" customWidth="1"/>
    <col min="6148" max="6148" width="0" style="51" hidden="1" customWidth="1"/>
    <col min="6149" max="6149" width="9.109375" style="51" bestFit="1" customWidth="1"/>
    <col min="6150" max="6150" width="9.109375" style="51" customWidth="1"/>
    <col min="6151" max="6151" width="8.88671875" style="51" customWidth="1"/>
    <col min="6152" max="6153" width="10.6640625" style="51" customWidth="1"/>
    <col min="6154" max="6154" width="10" style="51" customWidth="1"/>
    <col min="6155" max="6155" width="10.44140625" style="51" customWidth="1"/>
    <col min="6156" max="6156" width="8.6640625" style="51" customWidth="1"/>
    <col min="6157" max="6157" width="0" style="51" hidden="1" customWidth="1"/>
    <col min="6158" max="6158" width="10.109375" style="51" bestFit="1" customWidth="1"/>
    <col min="6159" max="6159" width="10.109375" style="51" customWidth="1"/>
    <col min="6160" max="6160" width="0" style="51" hidden="1" customWidth="1"/>
    <col min="6161" max="6161" width="10" style="51" customWidth="1"/>
    <col min="6162" max="6162" width="12.88671875" style="51" customWidth="1"/>
    <col min="6163" max="6401" width="9.109375" style="51"/>
    <col min="6402" max="6402" width="4.109375" style="51" customWidth="1"/>
    <col min="6403" max="6403" width="25.5546875" style="51" customWidth="1"/>
    <col min="6404" max="6404" width="0" style="51" hidden="1" customWidth="1"/>
    <col min="6405" max="6405" width="9.109375" style="51" bestFit="1" customWidth="1"/>
    <col min="6406" max="6406" width="9.109375" style="51" customWidth="1"/>
    <col min="6407" max="6407" width="8.88671875" style="51" customWidth="1"/>
    <col min="6408" max="6409" width="10.6640625" style="51" customWidth="1"/>
    <col min="6410" max="6410" width="10" style="51" customWidth="1"/>
    <col min="6411" max="6411" width="10.44140625" style="51" customWidth="1"/>
    <col min="6412" max="6412" width="8.6640625" style="51" customWidth="1"/>
    <col min="6413" max="6413" width="0" style="51" hidden="1" customWidth="1"/>
    <col min="6414" max="6414" width="10.109375" style="51" bestFit="1" customWidth="1"/>
    <col min="6415" max="6415" width="10.109375" style="51" customWidth="1"/>
    <col min="6416" max="6416" width="0" style="51" hidden="1" customWidth="1"/>
    <col min="6417" max="6417" width="10" style="51" customWidth="1"/>
    <col min="6418" max="6418" width="12.88671875" style="51" customWidth="1"/>
    <col min="6419" max="6657" width="9.109375" style="51"/>
    <col min="6658" max="6658" width="4.109375" style="51" customWidth="1"/>
    <col min="6659" max="6659" width="25.5546875" style="51" customWidth="1"/>
    <col min="6660" max="6660" width="0" style="51" hidden="1" customWidth="1"/>
    <col min="6661" max="6661" width="9.109375" style="51" bestFit="1" customWidth="1"/>
    <col min="6662" max="6662" width="9.109375" style="51" customWidth="1"/>
    <col min="6663" max="6663" width="8.88671875" style="51" customWidth="1"/>
    <col min="6664" max="6665" width="10.6640625" style="51" customWidth="1"/>
    <col min="6666" max="6666" width="10" style="51" customWidth="1"/>
    <col min="6667" max="6667" width="10.44140625" style="51" customWidth="1"/>
    <col min="6668" max="6668" width="8.6640625" style="51" customWidth="1"/>
    <col min="6669" max="6669" width="0" style="51" hidden="1" customWidth="1"/>
    <col min="6670" max="6670" width="10.109375" style="51" bestFit="1" customWidth="1"/>
    <col min="6671" max="6671" width="10.109375" style="51" customWidth="1"/>
    <col min="6672" max="6672" width="0" style="51" hidden="1" customWidth="1"/>
    <col min="6673" max="6673" width="10" style="51" customWidth="1"/>
    <col min="6674" max="6674" width="12.88671875" style="51" customWidth="1"/>
    <col min="6675" max="6913" width="9.109375" style="51"/>
    <col min="6914" max="6914" width="4.109375" style="51" customWidth="1"/>
    <col min="6915" max="6915" width="25.5546875" style="51" customWidth="1"/>
    <col min="6916" max="6916" width="0" style="51" hidden="1" customWidth="1"/>
    <col min="6917" max="6917" width="9.109375" style="51" bestFit="1" customWidth="1"/>
    <col min="6918" max="6918" width="9.109375" style="51" customWidth="1"/>
    <col min="6919" max="6919" width="8.88671875" style="51" customWidth="1"/>
    <col min="6920" max="6921" width="10.6640625" style="51" customWidth="1"/>
    <col min="6922" max="6922" width="10" style="51" customWidth="1"/>
    <col min="6923" max="6923" width="10.44140625" style="51" customWidth="1"/>
    <col min="6924" max="6924" width="8.6640625" style="51" customWidth="1"/>
    <col min="6925" max="6925" width="0" style="51" hidden="1" customWidth="1"/>
    <col min="6926" max="6926" width="10.109375" style="51" bestFit="1" customWidth="1"/>
    <col min="6927" max="6927" width="10.109375" style="51" customWidth="1"/>
    <col min="6928" max="6928" width="0" style="51" hidden="1" customWidth="1"/>
    <col min="6929" max="6929" width="10" style="51" customWidth="1"/>
    <col min="6930" max="6930" width="12.88671875" style="51" customWidth="1"/>
    <col min="6931" max="7169" width="9.109375" style="51"/>
    <col min="7170" max="7170" width="4.109375" style="51" customWidth="1"/>
    <col min="7171" max="7171" width="25.5546875" style="51" customWidth="1"/>
    <col min="7172" max="7172" width="0" style="51" hidden="1" customWidth="1"/>
    <col min="7173" max="7173" width="9.109375" style="51" bestFit="1" customWidth="1"/>
    <col min="7174" max="7174" width="9.109375" style="51" customWidth="1"/>
    <col min="7175" max="7175" width="8.88671875" style="51" customWidth="1"/>
    <col min="7176" max="7177" width="10.6640625" style="51" customWidth="1"/>
    <col min="7178" max="7178" width="10" style="51" customWidth="1"/>
    <col min="7179" max="7179" width="10.44140625" style="51" customWidth="1"/>
    <col min="7180" max="7180" width="8.6640625" style="51" customWidth="1"/>
    <col min="7181" max="7181" width="0" style="51" hidden="1" customWidth="1"/>
    <col min="7182" max="7182" width="10.109375" style="51" bestFit="1" customWidth="1"/>
    <col min="7183" max="7183" width="10.109375" style="51" customWidth="1"/>
    <col min="7184" max="7184" width="0" style="51" hidden="1" customWidth="1"/>
    <col min="7185" max="7185" width="10" style="51" customWidth="1"/>
    <col min="7186" max="7186" width="12.88671875" style="51" customWidth="1"/>
    <col min="7187" max="7425" width="9.109375" style="51"/>
    <col min="7426" max="7426" width="4.109375" style="51" customWidth="1"/>
    <col min="7427" max="7427" width="25.5546875" style="51" customWidth="1"/>
    <col min="7428" max="7428" width="0" style="51" hidden="1" customWidth="1"/>
    <col min="7429" max="7429" width="9.109375" style="51" bestFit="1" customWidth="1"/>
    <col min="7430" max="7430" width="9.109375" style="51" customWidth="1"/>
    <col min="7431" max="7431" width="8.88671875" style="51" customWidth="1"/>
    <col min="7432" max="7433" width="10.6640625" style="51" customWidth="1"/>
    <col min="7434" max="7434" width="10" style="51" customWidth="1"/>
    <col min="7435" max="7435" width="10.44140625" style="51" customWidth="1"/>
    <col min="7436" max="7436" width="8.6640625" style="51" customWidth="1"/>
    <col min="7437" max="7437" width="0" style="51" hidden="1" customWidth="1"/>
    <col min="7438" max="7438" width="10.109375" style="51" bestFit="1" customWidth="1"/>
    <col min="7439" max="7439" width="10.109375" style="51" customWidth="1"/>
    <col min="7440" max="7440" width="0" style="51" hidden="1" customWidth="1"/>
    <col min="7441" max="7441" width="10" style="51" customWidth="1"/>
    <col min="7442" max="7442" width="12.88671875" style="51" customWidth="1"/>
    <col min="7443" max="7681" width="9.109375" style="51"/>
    <col min="7682" max="7682" width="4.109375" style="51" customWidth="1"/>
    <col min="7683" max="7683" width="25.5546875" style="51" customWidth="1"/>
    <col min="7684" max="7684" width="0" style="51" hidden="1" customWidth="1"/>
    <col min="7685" max="7685" width="9.109375" style="51" bestFit="1" customWidth="1"/>
    <col min="7686" max="7686" width="9.109375" style="51" customWidth="1"/>
    <col min="7687" max="7687" width="8.88671875" style="51" customWidth="1"/>
    <col min="7688" max="7689" width="10.6640625" style="51" customWidth="1"/>
    <col min="7690" max="7690" width="10" style="51" customWidth="1"/>
    <col min="7691" max="7691" width="10.44140625" style="51" customWidth="1"/>
    <col min="7692" max="7692" width="8.6640625" style="51" customWidth="1"/>
    <col min="7693" max="7693" width="0" style="51" hidden="1" customWidth="1"/>
    <col min="7694" max="7694" width="10.109375" style="51" bestFit="1" customWidth="1"/>
    <col min="7695" max="7695" width="10.109375" style="51" customWidth="1"/>
    <col min="7696" max="7696" width="0" style="51" hidden="1" customWidth="1"/>
    <col min="7697" max="7697" width="10" style="51" customWidth="1"/>
    <col min="7698" max="7698" width="12.88671875" style="51" customWidth="1"/>
    <col min="7699" max="7937" width="9.109375" style="51"/>
    <col min="7938" max="7938" width="4.109375" style="51" customWidth="1"/>
    <col min="7939" max="7939" width="25.5546875" style="51" customWidth="1"/>
    <col min="7940" max="7940" width="0" style="51" hidden="1" customWidth="1"/>
    <col min="7941" max="7941" width="9.109375" style="51" bestFit="1" customWidth="1"/>
    <col min="7942" max="7942" width="9.109375" style="51" customWidth="1"/>
    <col min="7943" max="7943" width="8.88671875" style="51" customWidth="1"/>
    <col min="7944" max="7945" width="10.6640625" style="51" customWidth="1"/>
    <col min="7946" max="7946" width="10" style="51" customWidth="1"/>
    <col min="7947" max="7947" width="10.44140625" style="51" customWidth="1"/>
    <col min="7948" max="7948" width="8.6640625" style="51" customWidth="1"/>
    <col min="7949" max="7949" width="0" style="51" hidden="1" customWidth="1"/>
    <col min="7950" max="7950" width="10.109375" style="51" bestFit="1" customWidth="1"/>
    <col min="7951" max="7951" width="10.109375" style="51" customWidth="1"/>
    <col min="7952" max="7952" width="0" style="51" hidden="1" customWidth="1"/>
    <col min="7953" max="7953" width="10" style="51" customWidth="1"/>
    <col min="7954" max="7954" width="12.88671875" style="51" customWidth="1"/>
    <col min="7955" max="8193" width="9.109375" style="51"/>
    <col min="8194" max="8194" width="4.109375" style="51" customWidth="1"/>
    <col min="8195" max="8195" width="25.5546875" style="51" customWidth="1"/>
    <col min="8196" max="8196" width="0" style="51" hidden="1" customWidth="1"/>
    <col min="8197" max="8197" width="9.109375" style="51" bestFit="1" customWidth="1"/>
    <col min="8198" max="8198" width="9.109375" style="51" customWidth="1"/>
    <col min="8199" max="8199" width="8.88671875" style="51" customWidth="1"/>
    <col min="8200" max="8201" width="10.6640625" style="51" customWidth="1"/>
    <col min="8202" max="8202" width="10" style="51" customWidth="1"/>
    <col min="8203" max="8203" width="10.44140625" style="51" customWidth="1"/>
    <col min="8204" max="8204" width="8.6640625" style="51" customWidth="1"/>
    <col min="8205" max="8205" width="0" style="51" hidden="1" customWidth="1"/>
    <col min="8206" max="8206" width="10.109375" style="51" bestFit="1" customWidth="1"/>
    <col min="8207" max="8207" width="10.109375" style="51" customWidth="1"/>
    <col min="8208" max="8208" width="0" style="51" hidden="1" customWidth="1"/>
    <col min="8209" max="8209" width="10" style="51" customWidth="1"/>
    <col min="8210" max="8210" width="12.88671875" style="51" customWidth="1"/>
    <col min="8211" max="8449" width="9.109375" style="51"/>
    <col min="8450" max="8450" width="4.109375" style="51" customWidth="1"/>
    <col min="8451" max="8451" width="25.5546875" style="51" customWidth="1"/>
    <col min="8452" max="8452" width="0" style="51" hidden="1" customWidth="1"/>
    <col min="8453" max="8453" width="9.109375" style="51" bestFit="1" customWidth="1"/>
    <col min="8454" max="8454" width="9.109375" style="51" customWidth="1"/>
    <col min="8455" max="8455" width="8.88671875" style="51" customWidth="1"/>
    <col min="8456" max="8457" width="10.6640625" style="51" customWidth="1"/>
    <col min="8458" max="8458" width="10" style="51" customWidth="1"/>
    <col min="8459" max="8459" width="10.44140625" style="51" customWidth="1"/>
    <col min="8460" max="8460" width="8.6640625" style="51" customWidth="1"/>
    <col min="8461" max="8461" width="0" style="51" hidden="1" customWidth="1"/>
    <col min="8462" max="8462" width="10.109375" style="51" bestFit="1" customWidth="1"/>
    <col min="8463" max="8463" width="10.109375" style="51" customWidth="1"/>
    <col min="8464" max="8464" width="0" style="51" hidden="1" customWidth="1"/>
    <col min="8465" max="8465" width="10" style="51" customWidth="1"/>
    <col min="8466" max="8466" width="12.88671875" style="51" customWidth="1"/>
    <col min="8467" max="8705" width="9.109375" style="51"/>
    <col min="8706" max="8706" width="4.109375" style="51" customWidth="1"/>
    <col min="8707" max="8707" width="25.5546875" style="51" customWidth="1"/>
    <col min="8708" max="8708" width="0" style="51" hidden="1" customWidth="1"/>
    <col min="8709" max="8709" width="9.109375" style="51" bestFit="1" customWidth="1"/>
    <col min="8710" max="8710" width="9.109375" style="51" customWidth="1"/>
    <col min="8711" max="8711" width="8.88671875" style="51" customWidth="1"/>
    <col min="8712" max="8713" width="10.6640625" style="51" customWidth="1"/>
    <col min="8714" max="8714" width="10" style="51" customWidth="1"/>
    <col min="8715" max="8715" width="10.44140625" style="51" customWidth="1"/>
    <col min="8716" max="8716" width="8.6640625" style="51" customWidth="1"/>
    <col min="8717" max="8717" width="0" style="51" hidden="1" customWidth="1"/>
    <col min="8718" max="8718" width="10.109375" style="51" bestFit="1" customWidth="1"/>
    <col min="8719" max="8719" width="10.109375" style="51" customWidth="1"/>
    <col min="8720" max="8720" width="0" style="51" hidden="1" customWidth="1"/>
    <col min="8721" max="8721" width="10" style="51" customWidth="1"/>
    <col min="8722" max="8722" width="12.88671875" style="51" customWidth="1"/>
    <col min="8723" max="8961" width="9.109375" style="51"/>
    <col min="8962" max="8962" width="4.109375" style="51" customWidth="1"/>
    <col min="8963" max="8963" width="25.5546875" style="51" customWidth="1"/>
    <col min="8964" max="8964" width="0" style="51" hidden="1" customWidth="1"/>
    <col min="8965" max="8965" width="9.109375" style="51" bestFit="1" customWidth="1"/>
    <col min="8966" max="8966" width="9.109375" style="51" customWidth="1"/>
    <col min="8967" max="8967" width="8.88671875" style="51" customWidth="1"/>
    <col min="8968" max="8969" width="10.6640625" style="51" customWidth="1"/>
    <col min="8970" max="8970" width="10" style="51" customWidth="1"/>
    <col min="8971" max="8971" width="10.44140625" style="51" customWidth="1"/>
    <col min="8972" max="8972" width="8.6640625" style="51" customWidth="1"/>
    <col min="8973" max="8973" width="0" style="51" hidden="1" customWidth="1"/>
    <col min="8974" max="8974" width="10.109375" style="51" bestFit="1" customWidth="1"/>
    <col min="8975" max="8975" width="10.109375" style="51" customWidth="1"/>
    <col min="8976" max="8976" width="0" style="51" hidden="1" customWidth="1"/>
    <col min="8977" max="8977" width="10" style="51" customWidth="1"/>
    <col min="8978" max="8978" width="12.88671875" style="51" customWidth="1"/>
    <col min="8979" max="9217" width="9.109375" style="51"/>
    <col min="9218" max="9218" width="4.109375" style="51" customWidth="1"/>
    <col min="9219" max="9219" width="25.5546875" style="51" customWidth="1"/>
    <col min="9220" max="9220" width="0" style="51" hidden="1" customWidth="1"/>
    <col min="9221" max="9221" width="9.109375" style="51" bestFit="1" customWidth="1"/>
    <col min="9222" max="9222" width="9.109375" style="51" customWidth="1"/>
    <col min="9223" max="9223" width="8.88671875" style="51" customWidth="1"/>
    <col min="9224" max="9225" width="10.6640625" style="51" customWidth="1"/>
    <col min="9226" max="9226" width="10" style="51" customWidth="1"/>
    <col min="9227" max="9227" width="10.44140625" style="51" customWidth="1"/>
    <col min="9228" max="9228" width="8.6640625" style="51" customWidth="1"/>
    <col min="9229" max="9229" width="0" style="51" hidden="1" customWidth="1"/>
    <col min="9230" max="9230" width="10.109375" style="51" bestFit="1" customWidth="1"/>
    <col min="9231" max="9231" width="10.109375" style="51" customWidth="1"/>
    <col min="9232" max="9232" width="0" style="51" hidden="1" customWidth="1"/>
    <col min="9233" max="9233" width="10" style="51" customWidth="1"/>
    <col min="9234" max="9234" width="12.88671875" style="51" customWidth="1"/>
    <col min="9235" max="9473" width="9.109375" style="51"/>
    <col min="9474" max="9474" width="4.109375" style="51" customWidth="1"/>
    <col min="9475" max="9475" width="25.5546875" style="51" customWidth="1"/>
    <col min="9476" max="9476" width="0" style="51" hidden="1" customWidth="1"/>
    <col min="9477" max="9477" width="9.109375" style="51" bestFit="1" customWidth="1"/>
    <col min="9478" max="9478" width="9.109375" style="51" customWidth="1"/>
    <col min="9479" max="9479" width="8.88671875" style="51" customWidth="1"/>
    <col min="9480" max="9481" width="10.6640625" style="51" customWidth="1"/>
    <col min="9482" max="9482" width="10" style="51" customWidth="1"/>
    <col min="9483" max="9483" width="10.44140625" style="51" customWidth="1"/>
    <col min="9484" max="9484" width="8.6640625" style="51" customWidth="1"/>
    <col min="9485" max="9485" width="0" style="51" hidden="1" customWidth="1"/>
    <col min="9486" max="9486" width="10.109375" style="51" bestFit="1" customWidth="1"/>
    <col min="9487" max="9487" width="10.109375" style="51" customWidth="1"/>
    <col min="9488" max="9488" width="0" style="51" hidden="1" customWidth="1"/>
    <col min="9489" max="9489" width="10" style="51" customWidth="1"/>
    <col min="9490" max="9490" width="12.88671875" style="51" customWidth="1"/>
    <col min="9491" max="9729" width="9.109375" style="51"/>
    <col min="9730" max="9730" width="4.109375" style="51" customWidth="1"/>
    <col min="9731" max="9731" width="25.5546875" style="51" customWidth="1"/>
    <col min="9732" max="9732" width="0" style="51" hidden="1" customWidth="1"/>
    <col min="9733" max="9733" width="9.109375" style="51" bestFit="1" customWidth="1"/>
    <col min="9734" max="9734" width="9.109375" style="51" customWidth="1"/>
    <col min="9735" max="9735" width="8.88671875" style="51" customWidth="1"/>
    <col min="9736" max="9737" width="10.6640625" style="51" customWidth="1"/>
    <col min="9738" max="9738" width="10" style="51" customWidth="1"/>
    <col min="9739" max="9739" width="10.44140625" style="51" customWidth="1"/>
    <col min="9740" max="9740" width="8.6640625" style="51" customWidth="1"/>
    <col min="9741" max="9741" width="0" style="51" hidden="1" customWidth="1"/>
    <col min="9742" max="9742" width="10.109375" style="51" bestFit="1" customWidth="1"/>
    <col min="9743" max="9743" width="10.109375" style="51" customWidth="1"/>
    <col min="9744" max="9744" width="0" style="51" hidden="1" customWidth="1"/>
    <col min="9745" max="9745" width="10" style="51" customWidth="1"/>
    <col min="9746" max="9746" width="12.88671875" style="51" customWidth="1"/>
    <col min="9747" max="9985" width="9.109375" style="51"/>
    <col min="9986" max="9986" width="4.109375" style="51" customWidth="1"/>
    <col min="9987" max="9987" width="25.5546875" style="51" customWidth="1"/>
    <col min="9988" max="9988" width="0" style="51" hidden="1" customWidth="1"/>
    <col min="9989" max="9989" width="9.109375" style="51" bestFit="1" customWidth="1"/>
    <col min="9990" max="9990" width="9.109375" style="51" customWidth="1"/>
    <col min="9991" max="9991" width="8.88671875" style="51" customWidth="1"/>
    <col min="9992" max="9993" width="10.6640625" style="51" customWidth="1"/>
    <col min="9994" max="9994" width="10" style="51" customWidth="1"/>
    <col min="9995" max="9995" width="10.44140625" style="51" customWidth="1"/>
    <col min="9996" max="9996" width="8.6640625" style="51" customWidth="1"/>
    <col min="9997" max="9997" width="0" style="51" hidden="1" customWidth="1"/>
    <col min="9998" max="9998" width="10.109375" style="51" bestFit="1" customWidth="1"/>
    <col min="9999" max="9999" width="10.109375" style="51" customWidth="1"/>
    <col min="10000" max="10000" width="0" style="51" hidden="1" customWidth="1"/>
    <col min="10001" max="10001" width="10" style="51" customWidth="1"/>
    <col min="10002" max="10002" width="12.88671875" style="51" customWidth="1"/>
    <col min="10003" max="10241" width="9.109375" style="51"/>
    <col min="10242" max="10242" width="4.109375" style="51" customWidth="1"/>
    <col min="10243" max="10243" width="25.5546875" style="51" customWidth="1"/>
    <col min="10244" max="10244" width="0" style="51" hidden="1" customWidth="1"/>
    <col min="10245" max="10245" width="9.109375" style="51" bestFit="1" customWidth="1"/>
    <col min="10246" max="10246" width="9.109375" style="51" customWidth="1"/>
    <col min="10247" max="10247" width="8.88671875" style="51" customWidth="1"/>
    <col min="10248" max="10249" width="10.6640625" style="51" customWidth="1"/>
    <col min="10250" max="10250" width="10" style="51" customWidth="1"/>
    <col min="10251" max="10251" width="10.44140625" style="51" customWidth="1"/>
    <col min="10252" max="10252" width="8.6640625" style="51" customWidth="1"/>
    <col min="10253" max="10253" width="0" style="51" hidden="1" customWidth="1"/>
    <col min="10254" max="10254" width="10.109375" style="51" bestFit="1" customWidth="1"/>
    <col min="10255" max="10255" width="10.109375" style="51" customWidth="1"/>
    <col min="10256" max="10256" width="0" style="51" hidden="1" customWidth="1"/>
    <col min="10257" max="10257" width="10" style="51" customWidth="1"/>
    <col min="10258" max="10258" width="12.88671875" style="51" customWidth="1"/>
    <col min="10259" max="10497" width="9.109375" style="51"/>
    <col min="10498" max="10498" width="4.109375" style="51" customWidth="1"/>
    <col min="10499" max="10499" width="25.5546875" style="51" customWidth="1"/>
    <col min="10500" max="10500" width="0" style="51" hidden="1" customWidth="1"/>
    <col min="10501" max="10501" width="9.109375" style="51" bestFit="1" customWidth="1"/>
    <col min="10502" max="10502" width="9.109375" style="51" customWidth="1"/>
    <col min="10503" max="10503" width="8.88671875" style="51" customWidth="1"/>
    <col min="10504" max="10505" width="10.6640625" style="51" customWidth="1"/>
    <col min="10506" max="10506" width="10" style="51" customWidth="1"/>
    <col min="10507" max="10507" width="10.44140625" style="51" customWidth="1"/>
    <col min="10508" max="10508" width="8.6640625" style="51" customWidth="1"/>
    <col min="10509" max="10509" width="0" style="51" hidden="1" customWidth="1"/>
    <col min="10510" max="10510" width="10.109375" style="51" bestFit="1" customWidth="1"/>
    <col min="10511" max="10511" width="10.109375" style="51" customWidth="1"/>
    <col min="10512" max="10512" width="0" style="51" hidden="1" customWidth="1"/>
    <col min="10513" max="10513" width="10" style="51" customWidth="1"/>
    <col min="10514" max="10514" width="12.88671875" style="51" customWidth="1"/>
    <col min="10515" max="10753" width="9.109375" style="51"/>
    <col min="10754" max="10754" width="4.109375" style="51" customWidth="1"/>
    <col min="10755" max="10755" width="25.5546875" style="51" customWidth="1"/>
    <col min="10756" max="10756" width="0" style="51" hidden="1" customWidth="1"/>
    <col min="10757" max="10757" width="9.109375" style="51" bestFit="1" customWidth="1"/>
    <col min="10758" max="10758" width="9.109375" style="51" customWidth="1"/>
    <col min="10759" max="10759" width="8.88671875" style="51" customWidth="1"/>
    <col min="10760" max="10761" width="10.6640625" style="51" customWidth="1"/>
    <col min="10762" max="10762" width="10" style="51" customWidth="1"/>
    <col min="10763" max="10763" width="10.44140625" style="51" customWidth="1"/>
    <col min="10764" max="10764" width="8.6640625" style="51" customWidth="1"/>
    <col min="10765" max="10765" width="0" style="51" hidden="1" customWidth="1"/>
    <col min="10766" max="10766" width="10.109375" style="51" bestFit="1" customWidth="1"/>
    <col min="10767" max="10767" width="10.109375" style="51" customWidth="1"/>
    <col min="10768" max="10768" width="0" style="51" hidden="1" customWidth="1"/>
    <col min="10769" max="10769" width="10" style="51" customWidth="1"/>
    <col min="10770" max="10770" width="12.88671875" style="51" customWidth="1"/>
    <col min="10771" max="11009" width="9.109375" style="51"/>
    <col min="11010" max="11010" width="4.109375" style="51" customWidth="1"/>
    <col min="11011" max="11011" width="25.5546875" style="51" customWidth="1"/>
    <col min="11012" max="11012" width="0" style="51" hidden="1" customWidth="1"/>
    <col min="11013" max="11013" width="9.109375" style="51" bestFit="1" customWidth="1"/>
    <col min="11014" max="11014" width="9.109375" style="51" customWidth="1"/>
    <col min="11015" max="11015" width="8.88671875" style="51" customWidth="1"/>
    <col min="11016" max="11017" width="10.6640625" style="51" customWidth="1"/>
    <col min="11018" max="11018" width="10" style="51" customWidth="1"/>
    <col min="11019" max="11019" width="10.44140625" style="51" customWidth="1"/>
    <col min="11020" max="11020" width="8.6640625" style="51" customWidth="1"/>
    <col min="11021" max="11021" width="0" style="51" hidden="1" customWidth="1"/>
    <col min="11022" max="11022" width="10.109375" style="51" bestFit="1" customWidth="1"/>
    <col min="11023" max="11023" width="10.109375" style="51" customWidth="1"/>
    <col min="11024" max="11024" width="0" style="51" hidden="1" customWidth="1"/>
    <col min="11025" max="11025" width="10" style="51" customWidth="1"/>
    <col min="11026" max="11026" width="12.88671875" style="51" customWidth="1"/>
    <col min="11027" max="11265" width="9.109375" style="51"/>
    <col min="11266" max="11266" width="4.109375" style="51" customWidth="1"/>
    <col min="11267" max="11267" width="25.5546875" style="51" customWidth="1"/>
    <col min="11268" max="11268" width="0" style="51" hidden="1" customWidth="1"/>
    <col min="11269" max="11269" width="9.109375" style="51" bestFit="1" customWidth="1"/>
    <col min="11270" max="11270" width="9.109375" style="51" customWidth="1"/>
    <col min="11271" max="11271" width="8.88671875" style="51" customWidth="1"/>
    <col min="11272" max="11273" width="10.6640625" style="51" customWidth="1"/>
    <col min="11274" max="11274" width="10" style="51" customWidth="1"/>
    <col min="11275" max="11275" width="10.44140625" style="51" customWidth="1"/>
    <col min="11276" max="11276" width="8.6640625" style="51" customWidth="1"/>
    <col min="11277" max="11277" width="0" style="51" hidden="1" customWidth="1"/>
    <col min="11278" max="11278" width="10.109375" style="51" bestFit="1" customWidth="1"/>
    <col min="11279" max="11279" width="10.109375" style="51" customWidth="1"/>
    <col min="11280" max="11280" width="0" style="51" hidden="1" customWidth="1"/>
    <col min="11281" max="11281" width="10" style="51" customWidth="1"/>
    <col min="11282" max="11282" width="12.88671875" style="51" customWidth="1"/>
    <col min="11283" max="11521" width="9.109375" style="51"/>
    <col min="11522" max="11522" width="4.109375" style="51" customWidth="1"/>
    <col min="11523" max="11523" width="25.5546875" style="51" customWidth="1"/>
    <col min="11524" max="11524" width="0" style="51" hidden="1" customWidth="1"/>
    <col min="11525" max="11525" width="9.109375" style="51" bestFit="1" customWidth="1"/>
    <col min="11526" max="11526" width="9.109375" style="51" customWidth="1"/>
    <col min="11527" max="11527" width="8.88671875" style="51" customWidth="1"/>
    <col min="11528" max="11529" width="10.6640625" style="51" customWidth="1"/>
    <col min="11530" max="11530" width="10" style="51" customWidth="1"/>
    <col min="11531" max="11531" width="10.44140625" style="51" customWidth="1"/>
    <col min="11532" max="11532" width="8.6640625" style="51" customWidth="1"/>
    <col min="11533" max="11533" width="0" style="51" hidden="1" customWidth="1"/>
    <col min="11534" max="11534" width="10.109375" style="51" bestFit="1" customWidth="1"/>
    <col min="11535" max="11535" width="10.109375" style="51" customWidth="1"/>
    <col min="11536" max="11536" width="0" style="51" hidden="1" customWidth="1"/>
    <col min="11537" max="11537" width="10" style="51" customWidth="1"/>
    <col min="11538" max="11538" width="12.88671875" style="51" customWidth="1"/>
    <col min="11539" max="11777" width="9.109375" style="51"/>
    <col min="11778" max="11778" width="4.109375" style="51" customWidth="1"/>
    <col min="11779" max="11779" width="25.5546875" style="51" customWidth="1"/>
    <col min="11780" max="11780" width="0" style="51" hidden="1" customWidth="1"/>
    <col min="11781" max="11781" width="9.109375" style="51" bestFit="1" customWidth="1"/>
    <col min="11782" max="11782" width="9.109375" style="51" customWidth="1"/>
    <col min="11783" max="11783" width="8.88671875" style="51" customWidth="1"/>
    <col min="11784" max="11785" width="10.6640625" style="51" customWidth="1"/>
    <col min="11786" max="11786" width="10" style="51" customWidth="1"/>
    <col min="11787" max="11787" width="10.44140625" style="51" customWidth="1"/>
    <col min="11788" max="11788" width="8.6640625" style="51" customWidth="1"/>
    <col min="11789" max="11789" width="0" style="51" hidden="1" customWidth="1"/>
    <col min="11790" max="11790" width="10.109375" style="51" bestFit="1" customWidth="1"/>
    <col min="11791" max="11791" width="10.109375" style="51" customWidth="1"/>
    <col min="11792" max="11792" width="0" style="51" hidden="1" customWidth="1"/>
    <col min="11793" max="11793" width="10" style="51" customWidth="1"/>
    <col min="11794" max="11794" width="12.88671875" style="51" customWidth="1"/>
    <col min="11795" max="12033" width="9.109375" style="51"/>
    <col min="12034" max="12034" width="4.109375" style="51" customWidth="1"/>
    <col min="12035" max="12035" width="25.5546875" style="51" customWidth="1"/>
    <col min="12036" max="12036" width="0" style="51" hidden="1" customWidth="1"/>
    <col min="12037" max="12037" width="9.109375" style="51" bestFit="1" customWidth="1"/>
    <col min="12038" max="12038" width="9.109375" style="51" customWidth="1"/>
    <col min="12039" max="12039" width="8.88671875" style="51" customWidth="1"/>
    <col min="12040" max="12041" width="10.6640625" style="51" customWidth="1"/>
    <col min="12042" max="12042" width="10" style="51" customWidth="1"/>
    <col min="12043" max="12043" width="10.44140625" style="51" customWidth="1"/>
    <col min="12044" max="12044" width="8.6640625" style="51" customWidth="1"/>
    <col min="12045" max="12045" width="0" style="51" hidden="1" customWidth="1"/>
    <col min="12046" max="12046" width="10.109375" style="51" bestFit="1" customWidth="1"/>
    <col min="12047" max="12047" width="10.109375" style="51" customWidth="1"/>
    <col min="12048" max="12048" width="0" style="51" hidden="1" customWidth="1"/>
    <col min="12049" max="12049" width="10" style="51" customWidth="1"/>
    <col min="12050" max="12050" width="12.88671875" style="51" customWidth="1"/>
    <col min="12051" max="12289" width="9.109375" style="51"/>
    <col min="12290" max="12290" width="4.109375" style="51" customWidth="1"/>
    <col min="12291" max="12291" width="25.5546875" style="51" customWidth="1"/>
    <col min="12292" max="12292" width="0" style="51" hidden="1" customWidth="1"/>
    <col min="12293" max="12293" width="9.109375" style="51" bestFit="1" customWidth="1"/>
    <col min="12294" max="12294" width="9.109375" style="51" customWidth="1"/>
    <col min="12295" max="12295" width="8.88671875" style="51" customWidth="1"/>
    <col min="12296" max="12297" width="10.6640625" style="51" customWidth="1"/>
    <col min="12298" max="12298" width="10" style="51" customWidth="1"/>
    <col min="12299" max="12299" width="10.44140625" style="51" customWidth="1"/>
    <col min="12300" max="12300" width="8.6640625" style="51" customWidth="1"/>
    <col min="12301" max="12301" width="0" style="51" hidden="1" customWidth="1"/>
    <col min="12302" max="12302" width="10.109375" style="51" bestFit="1" customWidth="1"/>
    <col min="12303" max="12303" width="10.109375" style="51" customWidth="1"/>
    <col min="12304" max="12304" width="0" style="51" hidden="1" customWidth="1"/>
    <col min="12305" max="12305" width="10" style="51" customWidth="1"/>
    <col min="12306" max="12306" width="12.88671875" style="51" customWidth="1"/>
    <col min="12307" max="12545" width="9.109375" style="51"/>
    <col min="12546" max="12546" width="4.109375" style="51" customWidth="1"/>
    <col min="12547" max="12547" width="25.5546875" style="51" customWidth="1"/>
    <col min="12548" max="12548" width="0" style="51" hidden="1" customWidth="1"/>
    <col min="12549" max="12549" width="9.109375" style="51" bestFit="1" customWidth="1"/>
    <col min="12550" max="12550" width="9.109375" style="51" customWidth="1"/>
    <col min="12551" max="12551" width="8.88671875" style="51" customWidth="1"/>
    <col min="12552" max="12553" width="10.6640625" style="51" customWidth="1"/>
    <col min="12554" max="12554" width="10" style="51" customWidth="1"/>
    <col min="12555" max="12555" width="10.44140625" style="51" customWidth="1"/>
    <col min="12556" max="12556" width="8.6640625" style="51" customWidth="1"/>
    <col min="12557" max="12557" width="0" style="51" hidden="1" customWidth="1"/>
    <col min="12558" max="12558" width="10.109375" style="51" bestFit="1" customWidth="1"/>
    <col min="12559" max="12559" width="10.109375" style="51" customWidth="1"/>
    <col min="12560" max="12560" width="0" style="51" hidden="1" customWidth="1"/>
    <col min="12561" max="12561" width="10" style="51" customWidth="1"/>
    <col min="12562" max="12562" width="12.88671875" style="51" customWidth="1"/>
    <col min="12563" max="12801" width="9.109375" style="51"/>
    <col min="12802" max="12802" width="4.109375" style="51" customWidth="1"/>
    <col min="12803" max="12803" width="25.5546875" style="51" customWidth="1"/>
    <col min="12804" max="12804" width="0" style="51" hidden="1" customWidth="1"/>
    <col min="12805" max="12805" width="9.109375" style="51" bestFit="1" customWidth="1"/>
    <col min="12806" max="12806" width="9.109375" style="51" customWidth="1"/>
    <col min="12807" max="12807" width="8.88671875" style="51" customWidth="1"/>
    <col min="12808" max="12809" width="10.6640625" style="51" customWidth="1"/>
    <col min="12810" max="12810" width="10" style="51" customWidth="1"/>
    <col min="12811" max="12811" width="10.44140625" style="51" customWidth="1"/>
    <col min="12812" max="12812" width="8.6640625" style="51" customWidth="1"/>
    <col min="12813" max="12813" width="0" style="51" hidden="1" customWidth="1"/>
    <col min="12814" max="12814" width="10.109375" style="51" bestFit="1" customWidth="1"/>
    <col min="12815" max="12815" width="10.109375" style="51" customWidth="1"/>
    <col min="12816" max="12816" width="0" style="51" hidden="1" customWidth="1"/>
    <col min="12817" max="12817" width="10" style="51" customWidth="1"/>
    <col min="12818" max="12818" width="12.88671875" style="51" customWidth="1"/>
    <col min="12819" max="13057" width="9.109375" style="51"/>
    <col min="13058" max="13058" width="4.109375" style="51" customWidth="1"/>
    <col min="13059" max="13059" width="25.5546875" style="51" customWidth="1"/>
    <col min="13060" max="13060" width="0" style="51" hidden="1" customWidth="1"/>
    <col min="13061" max="13061" width="9.109375" style="51" bestFit="1" customWidth="1"/>
    <col min="13062" max="13062" width="9.109375" style="51" customWidth="1"/>
    <col min="13063" max="13063" width="8.88671875" style="51" customWidth="1"/>
    <col min="13064" max="13065" width="10.6640625" style="51" customWidth="1"/>
    <col min="13066" max="13066" width="10" style="51" customWidth="1"/>
    <col min="13067" max="13067" width="10.44140625" style="51" customWidth="1"/>
    <col min="13068" max="13068" width="8.6640625" style="51" customWidth="1"/>
    <col min="13069" max="13069" width="0" style="51" hidden="1" customWidth="1"/>
    <col min="13070" max="13070" width="10.109375" style="51" bestFit="1" customWidth="1"/>
    <col min="13071" max="13071" width="10.109375" style="51" customWidth="1"/>
    <col min="13072" max="13072" width="0" style="51" hidden="1" customWidth="1"/>
    <col min="13073" max="13073" width="10" style="51" customWidth="1"/>
    <col min="13074" max="13074" width="12.88671875" style="51" customWidth="1"/>
    <col min="13075" max="13313" width="9.109375" style="51"/>
    <col min="13314" max="13314" width="4.109375" style="51" customWidth="1"/>
    <col min="13315" max="13315" width="25.5546875" style="51" customWidth="1"/>
    <col min="13316" max="13316" width="0" style="51" hidden="1" customWidth="1"/>
    <col min="13317" max="13317" width="9.109375" style="51" bestFit="1" customWidth="1"/>
    <col min="13318" max="13318" width="9.109375" style="51" customWidth="1"/>
    <col min="13319" max="13319" width="8.88671875" style="51" customWidth="1"/>
    <col min="13320" max="13321" width="10.6640625" style="51" customWidth="1"/>
    <col min="13322" max="13322" width="10" style="51" customWidth="1"/>
    <col min="13323" max="13323" width="10.44140625" style="51" customWidth="1"/>
    <col min="13324" max="13324" width="8.6640625" style="51" customWidth="1"/>
    <col min="13325" max="13325" width="0" style="51" hidden="1" customWidth="1"/>
    <col min="13326" max="13326" width="10.109375" style="51" bestFit="1" customWidth="1"/>
    <col min="13327" max="13327" width="10.109375" style="51" customWidth="1"/>
    <col min="13328" max="13328" width="0" style="51" hidden="1" customWidth="1"/>
    <col min="13329" max="13329" width="10" style="51" customWidth="1"/>
    <col min="13330" max="13330" width="12.88671875" style="51" customWidth="1"/>
    <col min="13331" max="13569" width="9.109375" style="51"/>
    <col min="13570" max="13570" width="4.109375" style="51" customWidth="1"/>
    <col min="13571" max="13571" width="25.5546875" style="51" customWidth="1"/>
    <col min="13572" max="13572" width="0" style="51" hidden="1" customWidth="1"/>
    <col min="13573" max="13573" width="9.109375" style="51" bestFit="1" customWidth="1"/>
    <col min="13574" max="13574" width="9.109375" style="51" customWidth="1"/>
    <col min="13575" max="13575" width="8.88671875" style="51" customWidth="1"/>
    <col min="13576" max="13577" width="10.6640625" style="51" customWidth="1"/>
    <col min="13578" max="13578" width="10" style="51" customWidth="1"/>
    <col min="13579" max="13579" width="10.44140625" style="51" customWidth="1"/>
    <col min="13580" max="13580" width="8.6640625" style="51" customWidth="1"/>
    <col min="13581" max="13581" width="0" style="51" hidden="1" customWidth="1"/>
    <col min="13582" max="13582" width="10.109375" style="51" bestFit="1" customWidth="1"/>
    <col min="13583" max="13583" width="10.109375" style="51" customWidth="1"/>
    <col min="13584" max="13584" width="0" style="51" hidden="1" customWidth="1"/>
    <col min="13585" max="13585" width="10" style="51" customWidth="1"/>
    <col min="13586" max="13586" width="12.88671875" style="51" customWidth="1"/>
    <col min="13587" max="13825" width="9.109375" style="51"/>
    <col min="13826" max="13826" width="4.109375" style="51" customWidth="1"/>
    <col min="13827" max="13827" width="25.5546875" style="51" customWidth="1"/>
    <col min="13828" max="13828" width="0" style="51" hidden="1" customWidth="1"/>
    <col min="13829" max="13829" width="9.109375" style="51" bestFit="1" customWidth="1"/>
    <col min="13830" max="13830" width="9.109375" style="51" customWidth="1"/>
    <col min="13831" max="13831" width="8.88671875" style="51" customWidth="1"/>
    <col min="13832" max="13833" width="10.6640625" style="51" customWidth="1"/>
    <col min="13834" max="13834" width="10" style="51" customWidth="1"/>
    <col min="13835" max="13835" width="10.44140625" style="51" customWidth="1"/>
    <col min="13836" max="13836" width="8.6640625" style="51" customWidth="1"/>
    <col min="13837" max="13837" width="0" style="51" hidden="1" customWidth="1"/>
    <col min="13838" max="13838" width="10.109375" style="51" bestFit="1" customWidth="1"/>
    <col min="13839" max="13839" width="10.109375" style="51" customWidth="1"/>
    <col min="13840" max="13840" width="0" style="51" hidden="1" customWidth="1"/>
    <col min="13841" max="13841" width="10" style="51" customWidth="1"/>
    <col min="13842" max="13842" width="12.88671875" style="51" customWidth="1"/>
    <col min="13843" max="14081" width="9.109375" style="51"/>
    <col min="14082" max="14082" width="4.109375" style="51" customWidth="1"/>
    <col min="14083" max="14083" width="25.5546875" style="51" customWidth="1"/>
    <col min="14084" max="14084" width="0" style="51" hidden="1" customWidth="1"/>
    <col min="14085" max="14085" width="9.109375" style="51" bestFit="1" customWidth="1"/>
    <col min="14086" max="14086" width="9.109375" style="51" customWidth="1"/>
    <col min="14087" max="14087" width="8.88671875" style="51" customWidth="1"/>
    <col min="14088" max="14089" width="10.6640625" style="51" customWidth="1"/>
    <col min="14090" max="14090" width="10" style="51" customWidth="1"/>
    <col min="14091" max="14091" width="10.44140625" style="51" customWidth="1"/>
    <col min="14092" max="14092" width="8.6640625" style="51" customWidth="1"/>
    <col min="14093" max="14093" width="0" style="51" hidden="1" customWidth="1"/>
    <col min="14094" max="14094" width="10.109375" style="51" bestFit="1" customWidth="1"/>
    <col min="14095" max="14095" width="10.109375" style="51" customWidth="1"/>
    <col min="14096" max="14096" width="0" style="51" hidden="1" customWidth="1"/>
    <col min="14097" max="14097" width="10" style="51" customWidth="1"/>
    <col min="14098" max="14098" width="12.88671875" style="51" customWidth="1"/>
    <col min="14099" max="14337" width="9.109375" style="51"/>
    <col min="14338" max="14338" width="4.109375" style="51" customWidth="1"/>
    <col min="14339" max="14339" width="25.5546875" style="51" customWidth="1"/>
    <col min="14340" max="14340" width="0" style="51" hidden="1" customWidth="1"/>
    <col min="14341" max="14341" width="9.109375" style="51" bestFit="1" customWidth="1"/>
    <col min="14342" max="14342" width="9.109375" style="51" customWidth="1"/>
    <col min="14343" max="14343" width="8.88671875" style="51" customWidth="1"/>
    <col min="14344" max="14345" width="10.6640625" style="51" customWidth="1"/>
    <col min="14346" max="14346" width="10" style="51" customWidth="1"/>
    <col min="14347" max="14347" width="10.44140625" style="51" customWidth="1"/>
    <col min="14348" max="14348" width="8.6640625" style="51" customWidth="1"/>
    <col min="14349" max="14349" width="0" style="51" hidden="1" customWidth="1"/>
    <col min="14350" max="14350" width="10.109375" style="51" bestFit="1" customWidth="1"/>
    <col min="14351" max="14351" width="10.109375" style="51" customWidth="1"/>
    <col min="14352" max="14352" width="0" style="51" hidden="1" customWidth="1"/>
    <col min="14353" max="14353" width="10" style="51" customWidth="1"/>
    <col min="14354" max="14354" width="12.88671875" style="51" customWidth="1"/>
    <col min="14355" max="14593" width="9.109375" style="51"/>
    <col min="14594" max="14594" width="4.109375" style="51" customWidth="1"/>
    <col min="14595" max="14595" width="25.5546875" style="51" customWidth="1"/>
    <col min="14596" max="14596" width="0" style="51" hidden="1" customWidth="1"/>
    <col min="14597" max="14597" width="9.109375" style="51" bestFit="1" customWidth="1"/>
    <col min="14598" max="14598" width="9.109375" style="51" customWidth="1"/>
    <col min="14599" max="14599" width="8.88671875" style="51" customWidth="1"/>
    <col min="14600" max="14601" width="10.6640625" style="51" customWidth="1"/>
    <col min="14602" max="14602" width="10" style="51" customWidth="1"/>
    <col min="14603" max="14603" width="10.44140625" style="51" customWidth="1"/>
    <col min="14604" max="14604" width="8.6640625" style="51" customWidth="1"/>
    <col min="14605" max="14605" width="0" style="51" hidden="1" customWidth="1"/>
    <col min="14606" max="14606" width="10.109375" style="51" bestFit="1" customWidth="1"/>
    <col min="14607" max="14607" width="10.109375" style="51" customWidth="1"/>
    <col min="14608" max="14608" width="0" style="51" hidden="1" customWidth="1"/>
    <col min="14609" max="14609" width="10" style="51" customWidth="1"/>
    <col min="14610" max="14610" width="12.88671875" style="51" customWidth="1"/>
    <col min="14611" max="14849" width="9.109375" style="51"/>
    <col min="14850" max="14850" width="4.109375" style="51" customWidth="1"/>
    <col min="14851" max="14851" width="25.5546875" style="51" customWidth="1"/>
    <col min="14852" max="14852" width="0" style="51" hidden="1" customWidth="1"/>
    <col min="14853" max="14853" width="9.109375" style="51" bestFit="1" customWidth="1"/>
    <col min="14854" max="14854" width="9.109375" style="51" customWidth="1"/>
    <col min="14855" max="14855" width="8.88671875" style="51" customWidth="1"/>
    <col min="14856" max="14857" width="10.6640625" style="51" customWidth="1"/>
    <col min="14858" max="14858" width="10" style="51" customWidth="1"/>
    <col min="14859" max="14859" width="10.44140625" style="51" customWidth="1"/>
    <col min="14860" max="14860" width="8.6640625" style="51" customWidth="1"/>
    <col min="14861" max="14861" width="0" style="51" hidden="1" customWidth="1"/>
    <col min="14862" max="14862" width="10.109375" style="51" bestFit="1" customWidth="1"/>
    <col min="14863" max="14863" width="10.109375" style="51" customWidth="1"/>
    <col min="14864" max="14864" width="0" style="51" hidden="1" customWidth="1"/>
    <col min="14865" max="14865" width="10" style="51" customWidth="1"/>
    <col min="14866" max="14866" width="12.88671875" style="51" customWidth="1"/>
    <col min="14867" max="15105" width="9.109375" style="51"/>
    <col min="15106" max="15106" width="4.109375" style="51" customWidth="1"/>
    <col min="15107" max="15107" width="25.5546875" style="51" customWidth="1"/>
    <col min="15108" max="15108" width="0" style="51" hidden="1" customWidth="1"/>
    <col min="15109" max="15109" width="9.109375" style="51" bestFit="1" customWidth="1"/>
    <col min="15110" max="15110" width="9.109375" style="51" customWidth="1"/>
    <col min="15111" max="15111" width="8.88671875" style="51" customWidth="1"/>
    <col min="15112" max="15113" width="10.6640625" style="51" customWidth="1"/>
    <col min="15114" max="15114" width="10" style="51" customWidth="1"/>
    <col min="15115" max="15115" width="10.44140625" style="51" customWidth="1"/>
    <col min="15116" max="15116" width="8.6640625" style="51" customWidth="1"/>
    <col min="15117" max="15117" width="0" style="51" hidden="1" customWidth="1"/>
    <col min="15118" max="15118" width="10.109375" style="51" bestFit="1" customWidth="1"/>
    <col min="15119" max="15119" width="10.109375" style="51" customWidth="1"/>
    <col min="15120" max="15120" width="0" style="51" hidden="1" customWidth="1"/>
    <col min="15121" max="15121" width="10" style="51" customWidth="1"/>
    <col min="15122" max="15122" width="12.88671875" style="51" customWidth="1"/>
    <col min="15123" max="15361" width="9.109375" style="51"/>
    <col min="15362" max="15362" width="4.109375" style="51" customWidth="1"/>
    <col min="15363" max="15363" width="25.5546875" style="51" customWidth="1"/>
    <col min="15364" max="15364" width="0" style="51" hidden="1" customWidth="1"/>
    <col min="15365" max="15365" width="9.109375" style="51" bestFit="1" customWidth="1"/>
    <col min="15366" max="15366" width="9.109375" style="51" customWidth="1"/>
    <col min="15367" max="15367" width="8.88671875" style="51" customWidth="1"/>
    <col min="15368" max="15369" width="10.6640625" style="51" customWidth="1"/>
    <col min="15370" max="15370" width="10" style="51" customWidth="1"/>
    <col min="15371" max="15371" width="10.44140625" style="51" customWidth="1"/>
    <col min="15372" max="15372" width="8.6640625" style="51" customWidth="1"/>
    <col min="15373" max="15373" width="0" style="51" hidden="1" customWidth="1"/>
    <col min="15374" max="15374" width="10.109375" style="51" bestFit="1" customWidth="1"/>
    <col min="15375" max="15375" width="10.109375" style="51" customWidth="1"/>
    <col min="15376" max="15376" width="0" style="51" hidden="1" customWidth="1"/>
    <col min="15377" max="15377" width="10" style="51" customWidth="1"/>
    <col min="15378" max="15378" width="12.88671875" style="51" customWidth="1"/>
    <col min="15379" max="15617" width="9.109375" style="51"/>
    <col min="15618" max="15618" width="4.109375" style="51" customWidth="1"/>
    <col min="15619" max="15619" width="25.5546875" style="51" customWidth="1"/>
    <col min="15620" max="15620" width="0" style="51" hidden="1" customWidth="1"/>
    <col min="15621" max="15621" width="9.109375" style="51" bestFit="1" customWidth="1"/>
    <col min="15622" max="15622" width="9.109375" style="51" customWidth="1"/>
    <col min="15623" max="15623" width="8.88671875" style="51" customWidth="1"/>
    <col min="15624" max="15625" width="10.6640625" style="51" customWidth="1"/>
    <col min="15626" max="15626" width="10" style="51" customWidth="1"/>
    <col min="15627" max="15627" width="10.44140625" style="51" customWidth="1"/>
    <col min="15628" max="15628" width="8.6640625" style="51" customWidth="1"/>
    <col min="15629" max="15629" width="0" style="51" hidden="1" customWidth="1"/>
    <col min="15630" max="15630" width="10.109375" style="51" bestFit="1" customWidth="1"/>
    <col min="15631" max="15631" width="10.109375" style="51" customWidth="1"/>
    <col min="15632" max="15632" width="0" style="51" hidden="1" customWidth="1"/>
    <col min="15633" max="15633" width="10" style="51" customWidth="1"/>
    <col min="15634" max="15634" width="12.88671875" style="51" customWidth="1"/>
    <col min="15635" max="15873" width="9.109375" style="51"/>
    <col min="15874" max="15874" width="4.109375" style="51" customWidth="1"/>
    <col min="15875" max="15875" width="25.5546875" style="51" customWidth="1"/>
    <col min="15876" max="15876" width="0" style="51" hidden="1" customWidth="1"/>
    <col min="15877" max="15877" width="9.109375" style="51" bestFit="1" customWidth="1"/>
    <col min="15878" max="15878" width="9.109375" style="51" customWidth="1"/>
    <col min="15879" max="15879" width="8.88671875" style="51" customWidth="1"/>
    <col min="15880" max="15881" width="10.6640625" style="51" customWidth="1"/>
    <col min="15882" max="15882" width="10" style="51" customWidth="1"/>
    <col min="15883" max="15883" width="10.44140625" style="51" customWidth="1"/>
    <col min="15884" max="15884" width="8.6640625" style="51" customWidth="1"/>
    <col min="15885" max="15885" width="0" style="51" hidden="1" customWidth="1"/>
    <col min="15886" max="15886" width="10.109375" style="51" bestFit="1" customWidth="1"/>
    <col min="15887" max="15887" width="10.109375" style="51" customWidth="1"/>
    <col min="15888" max="15888" width="0" style="51" hidden="1" customWidth="1"/>
    <col min="15889" max="15889" width="10" style="51" customWidth="1"/>
    <col min="15890" max="15890" width="12.88671875" style="51" customWidth="1"/>
    <col min="15891" max="16129" width="9.109375" style="51"/>
    <col min="16130" max="16130" width="4.109375" style="51" customWidth="1"/>
    <col min="16131" max="16131" width="25.5546875" style="51" customWidth="1"/>
    <col min="16132" max="16132" width="0" style="51" hidden="1" customWidth="1"/>
    <col min="16133" max="16133" width="9.109375" style="51" bestFit="1" customWidth="1"/>
    <col min="16134" max="16134" width="9.109375" style="51" customWidth="1"/>
    <col min="16135" max="16135" width="8.88671875" style="51" customWidth="1"/>
    <col min="16136" max="16137" width="10.6640625" style="51" customWidth="1"/>
    <col min="16138" max="16138" width="10" style="51" customWidth="1"/>
    <col min="16139" max="16139" width="10.44140625" style="51" customWidth="1"/>
    <col min="16140" max="16140" width="8.6640625" style="51" customWidth="1"/>
    <col min="16141" max="16141" width="0" style="51" hidden="1" customWidth="1"/>
    <col min="16142" max="16142" width="10.109375" style="51" bestFit="1" customWidth="1"/>
    <col min="16143" max="16143" width="10.109375" style="51" customWidth="1"/>
    <col min="16144" max="16144" width="0" style="51" hidden="1" customWidth="1"/>
    <col min="16145" max="16145" width="10" style="51" customWidth="1"/>
    <col min="16146" max="16146" width="12.88671875" style="51" customWidth="1"/>
    <col min="16147" max="16383" width="9.109375" style="51"/>
    <col min="16384" max="16384" width="9.109375" style="51" customWidth="1"/>
  </cols>
  <sheetData>
    <row r="1" spans="1:22" ht="21">
      <c r="A1" s="154" t="s">
        <v>189</v>
      </c>
      <c r="B1" s="207"/>
      <c r="C1" s="207"/>
      <c r="D1" s="207"/>
      <c r="E1" s="207"/>
      <c r="F1" s="207"/>
      <c r="G1" s="207"/>
      <c r="H1" s="207"/>
      <c r="J1" s="207"/>
      <c r="K1" s="207"/>
      <c r="L1" s="207"/>
      <c r="M1" s="207"/>
      <c r="N1" s="207"/>
      <c r="O1" s="207"/>
    </row>
    <row r="2" spans="1:22" ht="16.2" thickBot="1"/>
    <row r="3" spans="1:22" s="118" customFormat="1" ht="46.8">
      <c r="A3" s="306" t="s">
        <v>190</v>
      </c>
      <c r="B3" s="307" t="s">
        <v>194</v>
      </c>
      <c r="C3" s="307" t="s">
        <v>191</v>
      </c>
      <c r="D3" s="307" t="s">
        <v>178</v>
      </c>
      <c r="E3" s="307" t="s">
        <v>563</v>
      </c>
      <c r="F3" s="307" t="s">
        <v>1254</v>
      </c>
      <c r="G3" s="307" t="s">
        <v>501</v>
      </c>
      <c r="H3" s="307" t="s">
        <v>181</v>
      </c>
      <c r="I3" s="307" t="s">
        <v>768</v>
      </c>
      <c r="J3" s="307" t="s">
        <v>179</v>
      </c>
      <c r="K3" s="307" t="s">
        <v>75</v>
      </c>
      <c r="L3" s="307" t="s">
        <v>769</v>
      </c>
      <c r="M3" s="307" t="s">
        <v>177</v>
      </c>
      <c r="N3" s="307" t="s">
        <v>192</v>
      </c>
      <c r="O3" s="308" t="s">
        <v>84</v>
      </c>
    </row>
    <row r="4" spans="1:22" s="122" customFormat="1" ht="32.1" customHeight="1">
      <c r="A4" s="304" t="s">
        <v>317</v>
      </c>
      <c r="B4" s="119"/>
      <c r="C4" s="119">
        <f>'תקציב הנדסה 2024'!AA60</f>
        <v>450000</v>
      </c>
      <c r="D4" s="119"/>
      <c r="E4" s="119"/>
      <c r="F4" s="119"/>
      <c r="G4" s="119"/>
      <c r="H4" s="119"/>
      <c r="I4" s="119"/>
      <c r="J4" s="119"/>
      <c r="K4" s="119"/>
      <c r="L4" s="119"/>
      <c r="M4" s="119">
        <f>'תקציב הנדסה 2024'!AA42+'תקציב הנדסה 2024'!AA54</f>
        <v>29833</v>
      </c>
      <c r="N4" s="119"/>
      <c r="O4" s="305">
        <f t="shared" ref="O4:O13" si="0">SUM(B4:N4)</f>
        <v>479833</v>
      </c>
      <c r="Q4" s="275">
        <f>'ריכוז אגפים'!Y7</f>
        <v>479833</v>
      </c>
      <c r="R4" s="275">
        <f>Q4-O4</f>
        <v>0</v>
      </c>
      <c r="S4" s="207"/>
      <c r="T4" s="118"/>
      <c r="U4" s="118"/>
    </row>
    <row r="5" spans="1:22" s="122" customFormat="1" ht="32.1" customHeight="1">
      <c r="A5" s="304" t="s">
        <v>193</v>
      </c>
      <c r="B5" s="119">
        <f>'תקציב החברה לפיתוח 2024'!AA10+'תקציב החברה לפיתוח 2024'!AA16+'תקציב החברה לפיתוח 2024'!AA26+'תקציב החברה לפיתוח 2024'!AA27+'תקציב החברה לפיתוח 2024'!AA36+'תקציב החברה לפיתוח 2024'!AA39+'תקציב החברה לפיתוח 2024'!AA106+'תקציב החברה לפיתוח 2024'!AA120</f>
        <v>33695572</v>
      </c>
      <c r="C5" s="119">
        <f>'תקציב החברה לפיתוח 2024'!AA5</f>
        <v>1200000</v>
      </c>
      <c r="D5" s="119">
        <f>'תקציב החברה לפיתוח 2024'!AA31+'תקציב החברה לפיתוח 2024'!AA43+'תקציב החברה לפיתוח 2024'!AA48+'תקציב החברה לפיתוח 2024'!AA68+'תקציב החברה לפיתוח 2024'!AA92+'תקציב החברה לפיתוח 2024'!AA116+'תקציב החברה לפיתוח 2024'!AA124+'תקציב החברה לפיתוח 2024'!AA126+'תקציב החברה לפיתוח 2024'!AA131-1500000-1600000-405860+2846661</f>
        <v>39772138</v>
      </c>
      <c r="E5" s="119"/>
      <c r="F5" s="119"/>
      <c r="G5" s="119"/>
      <c r="H5" s="119">
        <f>'תקציב החברה לפיתוח 2024'!AA98-1500000</f>
        <v>10000000</v>
      </c>
      <c r="I5" s="119">
        <f>1500000+'תקציב החברה לפיתוח 2024'!AA108</f>
        <v>3977000</v>
      </c>
      <c r="J5" s="119"/>
      <c r="K5" s="119">
        <f>'תקציב החברה לפיתוח 2024'!AA89+1500000+1600000+405860</f>
        <v>9558660</v>
      </c>
      <c r="L5" s="119"/>
      <c r="M5" s="119"/>
      <c r="N5" s="119">
        <f>'תקציב החברה לפיתוח 2024'!AA109-2724071</f>
        <v>-2124071</v>
      </c>
      <c r="O5" s="305">
        <f t="shared" si="0"/>
        <v>96079299</v>
      </c>
      <c r="Q5" s="275">
        <f>'ריכוז אגפים'!Y8</f>
        <v>96079299</v>
      </c>
      <c r="R5" s="275">
        <f t="shared" ref="R5:R13" si="1">Q5-O5</f>
        <v>0</v>
      </c>
      <c r="S5" s="275"/>
      <c r="T5" s="118"/>
      <c r="U5" s="118"/>
      <c r="V5" s="123"/>
    </row>
    <row r="6" spans="1:22" s="122" customFormat="1" ht="32.1" customHeight="1">
      <c r="A6" s="304" t="s">
        <v>598</v>
      </c>
      <c r="B6" s="119"/>
      <c r="C6" s="119"/>
      <c r="D6" s="119">
        <f>'תקציב מינהל תפעול 2024 '!AA32+'תקציב מינהל תפעול 2024 '!AA41+'תקציב מינהל תפעול 2024 '!AA80+'תקציב מינהל תפעול 2024 '!AA42+'תקציב מינהל תפעול 2024 '!AA47+'תקציב מינהל תפעול 2024 '!AA61+'תקציב מינהל תפעול 2024 '!AA64</f>
        <v>167126</v>
      </c>
      <c r="E6" s="119">
        <f>'תקציב מינהל תפעול 2024 '!AA25+'תקציב מינהל תפעול 2024 '!AA44</f>
        <v>-1721613</v>
      </c>
      <c r="F6" s="119">
        <f>'תקציב מינהל תפעול 2024 '!AA26</f>
        <v>-128955</v>
      </c>
      <c r="G6" s="119">
        <f>'תקציב מינהל תפעול 2024 '!AA74+'תקציב מינהל תפעול 2024 '!AA109+'תקציב מינהל תפעול 2024 '!AA110+'תקציב מינהל תפעול 2024 '!AA111</f>
        <v>555395</v>
      </c>
      <c r="H6" s="119"/>
      <c r="I6" s="119">
        <f>'תקציב מינהל תפעול 2024 '!AA101</f>
        <v>523000</v>
      </c>
      <c r="J6" s="119"/>
      <c r="K6" s="119">
        <f>'תקציב מינהל תפעול 2024 '!AA72</f>
        <v>-65822</v>
      </c>
      <c r="L6" s="119"/>
      <c r="M6" s="119"/>
      <c r="N6" s="119">
        <f>'תקציב מינהל תפעול 2024 '!AA5+'תקציב מינהל תפעול 2024 '!AA98</f>
        <v>12500000</v>
      </c>
      <c r="O6" s="305">
        <f t="shared" si="0"/>
        <v>11829131</v>
      </c>
      <c r="Q6" s="275">
        <f>'ריכוז אגפים'!Y9</f>
        <v>11829131</v>
      </c>
      <c r="R6" s="275">
        <f t="shared" si="1"/>
        <v>0</v>
      </c>
      <c r="S6" s="275"/>
      <c r="T6" s="118"/>
      <c r="U6" s="118"/>
      <c r="V6" s="123"/>
    </row>
    <row r="7" spans="1:22" s="122" customFormat="1" ht="32.1" customHeight="1">
      <c r="A7" s="304" t="s">
        <v>872</v>
      </c>
      <c r="B7" s="119"/>
      <c r="C7" s="119"/>
      <c r="D7" s="119">
        <f>'תקציב מינהל חינוך 2024 '!AA13</f>
        <v>-100000</v>
      </c>
      <c r="E7" s="119"/>
      <c r="F7" s="119"/>
      <c r="G7" s="119"/>
      <c r="H7" s="119"/>
      <c r="I7" s="119"/>
      <c r="J7" s="119"/>
      <c r="K7" s="119"/>
      <c r="L7" s="119">
        <f>'תקציב מינהל חינוך 2024 '!AA8</f>
        <v>-782837</v>
      </c>
      <c r="M7" s="119"/>
      <c r="N7" s="119"/>
      <c r="O7" s="305">
        <f t="shared" si="0"/>
        <v>-882837</v>
      </c>
      <c r="Q7" s="275">
        <f>'ריכוז אגפים'!Y10</f>
        <v>-882837</v>
      </c>
      <c r="R7" s="275">
        <f t="shared" si="1"/>
        <v>0</v>
      </c>
      <c r="S7" s="118"/>
      <c r="T7" s="118"/>
      <c r="U7" s="118"/>
      <c r="V7" s="123"/>
    </row>
    <row r="8" spans="1:22" s="122" customFormat="1" ht="32.1" customHeight="1">
      <c r="A8" s="304" t="s">
        <v>989</v>
      </c>
      <c r="B8" s="119"/>
      <c r="C8" s="119"/>
      <c r="D8" s="119"/>
      <c r="E8" s="119"/>
      <c r="F8" s="119"/>
      <c r="G8" s="119"/>
      <c r="H8" s="119"/>
      <c r="I8" s="119">
        <f>'תקציב אגף ספורט 2024'!AA12</f>
        <v>0</v>
      </c>
      <c r="J8" s="119"/>
      <c r="K8" s="119"/>
      <c r="L8" s="119"/>
      <c r="M8" s="119"/>
      <c r="N8" s="119"/>
      <c r="O8" s="305">
        <f>SUM(B8:N8)</f>
        <v>0</v>
      </c>
      <c r="Q8" s="275">
        <f>'ריכוז אגפים'!Y11</f>
        <v>0</v>
      </c>
      <c r="R8" s="275">
        <f>Q8-O8</f>
        <v>0</v>
      </c>
      <c r="S8" s="118"/>
      <c r="T8" s="118"/>
      <c r="U8" s="118"/>
    </row>
    <row r="9" spans="1:22" s="122" customFormat="1" ht="32.1" customHeight="1">
      <c r="A9" s="304" t="s">
        <v>1010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305">
        <f t="shared" si="0"/>
        <v>0</v>
      </c>
      <c r="Q9" s="275">
        <f>'ריכוז אגפים'!Y12</f>
        <v>0</v>
      </c>
      <c r="R9" s="275">
        <f t="shared" si="1"/>
        <v>0</v>
      </c>
      <c r="S9" s="118"/>
      <c r="T9" s="118"/>
      <c r="U9" s="118"/>
    </row>
    <row r="10" spans="1:22" s="122" customFormat="1" ht="32.1" customHeight="1">
      <c r="A10" s="304" t="s">
        <v>912</v>
      </c>
      <c r="B10" s="119">
        <f>'תקציב החברה לתירות 2024 '!AA5</f>
        <v>345753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305">
        <f t="shared" si="0"/>
        <v>345753</v>
      </c>
      <c r="Q10" s="275">
        <f>'ריכוז אגפים'!Y13</f>
        <v>345753</v>
      </c>
      <c r="R10" s="275">
        <f t="shared" si="1"/>
        <v>0</v>
      </c>
      <c r="S10" s="118"/>
      <c r="T10" s="118"/>
      <c r="U10" s="118"/>
    </row>
    <row r="11" spans="1:22" s="122" customFormat="1" ht="32.1" customHeight="1">
      <c r="A11" s="304" t="s">
        <v>298</v>
      </c>
      <c r="B11" s="119"/>
      <c r="C11" s="119"/>
      <c r="D11" s="119"/>
      <c r="E11" s="119"/>
      <c r="F11" s="119"/>
      <c r="G11" s="119"/>
      <c r="H11" s="119">
        <f>'תקציב אגף המיחשוב 2024 '!AA15+'תקציב אגף המיחשוב 2024 '!AA11</f>
        <v>847793</v>
      </c>
      <c r="I11" s="119"/>
      <c r="J11" s="119"/>
      <c r="K11" s="119"/>
      <c r="L11" s="119"/>
      <c r="M11" s="119"/>
      <c r="N11" s="119"/>
      <c r="O11" s="305">
        <f t="shared" si="0"/>
        <v>847793</v>
      </c>
      <c r="Q11" s="275">
        <f>'ריכוז אגפים'!Y14</f>
        <v>847793</v>
      </c>
      <c r="R11" s="275">
        <f t="shared" si="1"/>
        <v>0</v>
      </c>
      <c r="S11" s="118"/>
      <c r="T11" s="118"/>
      <c r="U11" s="118"/>
    </row>
    <row r="12" spans="1:22" s="122" customFormat="1" ht="32.1" customHeight="1">
      <c r="A12" s="304" t="s">
        <v>300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305">
        <f t="shared" si="0"/>
        <v>0</v>
      </c>
      <c r="Q12" s="275">
        <f>'ריכוז אגפים'!Y15</f>
        <v>0</v>
      </c>
      <c r="R12" s="275">
        <f t="shared" si="1"/>
        <v>0</v>
      </c>
      <c r="S12" s="118"/>
      <c r="T12" s="118"/>
      <c r="U12" s="118"/>
    </row>
    <row r="13" spans="1:22" s="122" customFormat="1" ht="32.1" customHeight="1">
      <c r="A13" s="304" t="s">
        <v>202</v>
      </c>
      <c r="B13" s="119"/>
      <c r="C13" s="119">
        <f>'תקציב איכות הסביבה 2024  '!AA6+'תקציב איכות הסביבה 2024  '!AA10+'תקציב איכות הסביבה 2024  '!AA12</f>
        <v>495033</v>
      </c>
      <c r="D13" s="119"/>
      <c r="E13" s="119"/>
      <c r="F13" s="119"/>
      <c r="G13" s="119"/>
      <c r="H13" s="119"/>
      <c r="I13" s="119"/>
      <c r="J13" s="119"/>
      <c r="K13" s="119">
        <f>'תקציב איכות הסביבה 2024  '!AA7</f>
        <v>100000</v>
      </c>
      <c r="L13" s="119"/>
      <c r="M13" s="119"/>
      <c r="N13" s="119"/>
      <c r="O13" s="305">
        <f t="shared" si="0"/>
        <v>595033</v>
      </c>
      <c r="Q13" s="275">
        <f>'ריכוז אגפים'!Y16</f>
        <v>595033</v>
      </c>
      <c r="R13" s="275">
        <f t="shared" si="1"/>
        <v>0</v>
      </c>
      <c r="S13" s="118"/>
      <c r="T13" s="118"/>
      <c r="U13" s="118"/>
    </row>
    <row r="14" spans="1:22" s="122" customFormat="1" ht="32.1" customHeight="1" thickBot="1">
      <c r="A14" s="309" t="s">
        <v>84</v>
      </c>
      <c r="B14" s="310">
        <f t="shared" ref="B14:R14" si="2">SUM(B4:B13)</f>
        <v>34041325</v>
      </c>
      <c r="C14" s="310">
        <f t="shared" si="2"/>
        <v>2145033</v>
      </c>
      <c r="D14" s="310">
        <f t="shared" si="2"/>
        <v>39839264</v>
      </c>
      <c r="E14" s="310">
        <f t="shared" si="2"/>
        <v>-1721613</v>
      </c>
      <c r="F14" s="310">
        <f t="shared" si="2"/>
        <v>-128955</v>
      </c>
      <c r="G14" s="310">
        <f>SUM(G4:G13)</f>
        <v>555395</v>
      </c>
      <c r="H14" s="310">
        <f t="shared" si="2"/>
        <v>10847793</v>
      </c>
      <c r="I14" s="310">
        <f t="shared" si="2"/>
        <v>4500000</v>
      </c>
      <c r="J14" s="310">
        <f t="shared" si="2"/>
        <v>0</v>
      </c>
      <c r="K14" s="310">
        <f t="shared" si="2"/>
        <v>9592838</v>
      </c>
      <c r="L14" s="310">
        <f t="shared" si="2"/>
        <v>-782837</v>
      </c>
      <c r="M14" s="310">
        <f t="shared" si="2"/>
        <v>29833</v>
      </c>
      <c r="N14" s="310">
        <f t="shared" si="2"/>
        <v>10375929</v>
      </c>
      <c r="O14" s="311">
        <f t="shared" si="2"/>
        <v>109294005</v>
      </c>
      <c r="Q14" s="121">
        <f t="shared" si="2"/>
        <v>109294005</v>
      </c>
      <c r="R14" s="118">
        <f t="shared" si="2"/>
        <v>0</v>
      </c>
      <c r="S14" s="118"/>
      <c r="T14" s="118"/>
      <c r="U14" s="118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zoomScaleNormal="100" workbookViewId="0">
      <selection activeCell="T10" sqref="T10"/>
    </sheetView>
  </sheetViews>
  <sheetFormatPr defaultColWidth="9.109375" defaultRowHeight="13.2"/>
  <cols>
    <col min="1" max="16384" width="9.109375" style="157"/>
  </cols>
  <sheetData/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6"/>
  <sheetViews>
    <sheetView showZeros="0" rightToLeft="1" tabSelected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24.109375" style="176" customWidth="1"/>
    <col min="5" max="5" width="34.5546875" style="176" customWidth="1"/>
    <col min="6" max="6" width="5.664062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317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1269</v>
      </c>
      <c r="D5" s="175"/>
      <c r="E5" s="175"/>
      <c r="F5" s="175"/>
      <c r="H5" s="179">
        <f>'תקציב הנדסה 2024'!U65</f>
        <v>521027</v>
      </c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1593</v>
      </c>
      <c r="D7" s="175"/>
      <c r="F7" s="175"/>
      <c r="H7" s="179">
        <f>'תקציב הנדסה 2024'!A65</f>
        <v>60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C11" s="886" t="s">
        <v>220</v>
      </c>
      <c r="D11" s="887"/>
      <c r="E11" s="892" t="s">
        <v>221</v>
      </c>
      <c r="F11" s="893"/>
      <c r="G11" s="894"/>
      <c r="H11" s="210" t="s">
        <v>222</v>
      </c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888" t="s">
        <v>13</v>
      </c>
      <c r="D12" s="889"/>
      <c r="E12" s="880">
        <f>'תקציב הנדסה 2024'!V65</f>
        <v>791194</v>
      </c>
      <c r="F12" s="881"/>
      <c r="G12" s="882"/>
      <c r="H12" s="211">
        <f>E12/$E$15</f>
        <v>1.5185278306114653</v>
      </c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792" t="s">
        <v>14</v>
      </c>
      <c r="D13" s="793"/>
      <c r="E13" s="880">
        <f>'תקציב הנדסה 2024'!W65</f>
        <v>-750000</v>
      </c>
      <c r="F13" s="881"/>
      <c r="G13" s="882"/>
      <c r="H13" s="211">
        <f>E13/$E$15</f>
        <v>-1.4394647494275727</v>
      </c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C14" s="888" t="s">
        <v>75</v>
      </c>
      <c r="D14" s="889"/>
      <c r="E14" s="880">
        <f>'תקציב הנדסה 2024'!AA65</f>
        <v>479833</v>
      </c>
      <c r="F14" s="881"/>
      <c r="G14" s="882"/>
      <c r="H14" s="211">
        <f>E14/$E$15</f>
        <v>0.9209369188161074</v>
      </c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6.2" thickBot="1">
      <c r="C15" s="890" t="s">
        <v>84</v>
      </c>
      <c r="D15" s="891"/>
      <c r="E15" s="883">
        <f>SUM(E12:E14)</f>
        <v>521027</v>
      </c>
      <c r="F15" s="884"/>
      <c r="G15" s="885"/>
      <c r="H15" s="263">
        <f>E15/$E$15</f>
        <v>1</v>
      </c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B16" s="178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s="789" customFormat="1" ht="15.6">
      <c r="B17" s="254" t="s">
        <v>1576</v>
      </c>
      <c r="D17" s="790"/>
      <c r="E17" s="871" t="s">
        <v>1592</v>
      </c>
      <c r="G17" s="791"/>
      <c r="H17" s="791"/>
      <c r="I17" s="791"/>
      <c r="J17" s="791"/>
      <c r="K17" s="791"/>
      <c r="L17" s="791"/>
      <c r="M17" s="791"/>
      <c r="N17" s="791"/>
      <c r="O17" s="791"/>
      <c r="P17" s="791"/>
      <c r="Q17" s="791"/>
    </row>
    <row r="18" spans="1:17" s="789" customFormat="1" ht="15.6">
      <c r="D18"/>
      <c r="E18" s="791"/>
      <c r="F18"/>
      <c r="G18" s="791"/>
      <c r="H18" s="791"/>
      <c r="I18" s="791"/>
      <c r="J18" s="791"/>
      <c r="K18" s="791"/>
      <c r="L18" s="791"/>
      <c r="M18" s="791"/>
      <c r="N18" s="791"/>
      <c r="O18" s="791"/>
      <c r="P18" s="791"/>
      <c r="Q18" s="791"/>
    </row>
    <row r="19" spans="1:17" s="789" customFormat="1" ht="15.6">
      <c r="A19" s="791"/>
      <c r="B19" s="791"/>
      <c r="C19" s="791"/>
      <c r="D19"/>
      <c r="E19" s="791"/>
      <c r="F19" s="791"/>
      <c r="G19" s="791"/>
      <c r="H19" s="791"/>
      <c r="I19" s="791"/>
      <c r="J19" s="791"/>
      <c r="K19" s="791"/>
      <c r="L19" s="791"/>
      <c r="M19" s="791"/>
      <c r="N19" s="791"/>
      <c r="O19" s="791"/>
      <c r="P19" s="791"/>
      <c r="Q19" s="791"/>
    </row>
    <row r="20" spans="1:17" s="240" customFormat="1" ht="15.6">
      <c r="C20" s="242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</row>
    <row r="21" spans="1:17" s="240" customFormat="1" ht="15.6">
      <c r="C21" s="242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</row>
    <row r="22" spans="1:17" s="240" customFormat="1" ht="15.6">
      <c r="A22" s="239"/>
      <c r="B22" s="239"/>
      <c r="C22" s="239"/>
      <c r="D22" s="281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</row>
    <row r="23" spans="1:17" s="240" customFormat="1" ht="15.6">
      <c r="A23" s="239"/>
      <c r="B23" s="239"/>
      <c r="C23" s="239"/>
      <c r="D23" s="280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</row>
    <row r="24" spans="1:17" s="240" customFormat="1" ht="15.6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17" s="240" customFormat="1" ht="15.6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A26" s="239"/>
      <c r="B26" s="239"/>
      <c r="C26" s="239"/>
      <c r="D26" s="25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A27" s="239"/>
      <c r="B27" s="239"/>
      <c r="C27" s="239"/>
      <c r="D27" s="25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  <row r="28" spans="1:17" s="240" customFormat="1" ht="15.6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</row>
    <row r="30" spans="1:17" s="260" customFormat="1" ht="15.6">
      <c r="C30" s="261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</row>
    <row r="36" spans="3:17" s="260" customFormat="1" ht="15.6">
      <c r="C36" s="261" t="s">
        <v>129</v>
      </c>
      <c r="D36" s="262" t="s">
        <v>1630</v>
      </c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</row>
  </sheetData>
  <mergeCells count="9">
    <mergeCell ref="E12:G12"/>
    <mergeCell ref="E14:G14"/>
    <mergeCell ref="E15:G15"/>
    <mergeCell ref="C11:D11"/>
    <mergeCell ref="C12:D12"/>
    <mergeCell ref="C14:D14"/>
    <mergeCell ref="C15:D15"/>
    <mergeCell ref="E11:G11"/>
    <mergeCell ref="E13:G13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7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5.44140625" style="176" customWidth="1"/>
    <col min="5" max="5" width="39.5546875" style="176" customWidth="1"/>
    <col min="6" max="6" width="5.664062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799" t="s">
        <v>317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5.6">
      <c r="B5" s="178" t="s">
        <v>129</v>
      </c>
      <c r="C5" s="175" t="s">
        <v>1270</v>
      </c>
      <c r="D5" s="175"/>
      <c r="E5" s="282"/>
      <c r="F5" s="175"/>
      <c r="H5" s="175"/>
      <c r="I5" s="175"/>
      <c r="J5" s="175"/>
      <c r="K5" s="175"/>
      <c r="L5" s="175"/>
      <c r="M5" s="175"/>
      <c r="N5" s="175"/>
      <c r="O5" s="175"/>
      <c r="P5" s="175"/>
      <c r="Q5" s="175"/>
    </row>
    <row r="6" spans="1:17" ht="15.6">
      <c r="C6" s="175"/>
      <c r="D6" s="175"/>
      <c r="E6" s="175"/>
      <c r="F6" s="175"/>
      <c r="H6" s="175"/>
      <c r="I6" s="175"/>
      <c r="J6" s="175"/>
      <c r="K6" s="175"/>
      <c r="L6" s="175"/>
    </row>
    <row r="7" spans="1:17" ht="15.6">
      <c r="D7" s="350" t="s">
        <v>223</v>
      </c>
      <c r="E7" s="351" t="s">
        <v>1360</v>
      </c>
      <c r="F7" s="181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C8" s="178"/>
      <c r="D8" s="352" t="s">
        <v>89</v>
      </c>
      <c r="E8" s="189">
        <f>'תקציב הנדסה 2024'!N24</f>
        <v>2500000</v>
      </c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C9" s="178"/>
      <c r="D9" s="352" t="s">
        <v>588</v>
      </c>
      <c r="E9" s="189">
        <f>'תקציב הנדסה 2024'!N49</f>
        <v>2000000</v>
      </c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.6">
      <c r="C10" s="178"/>
      <c r="D10" s="352" t="s">
        <v>419</v>
      </c>
      <c r="E10" s="189">
        <f>'תקציב הנדסה 2024'!N9</f>
        <v>1690000</v>
      </c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C11" s="178"/>
      <c r="D11" s="352" t="s">
        <v>1535</v>
      </c>
      <c r="E11" s="189">
        <f>'תקציב הנדסה 2024'!N60</f>
        <v>1000000</v>
      </c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75"/>
      <c r="E12" s="20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75" t="s">
        <v>809</v>
      </c>
      <c r="E13" s="20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C14" s="178"/>
      <c r="D14" s="175" t="s">
        <v>874</v>
      </c>
      <c r="E14" s="20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6" spans="1:17" ht="15.6">
      <c r="D16" s="841" t="s">
        <v>1577</v>
      </c>
    </row>
    <row r="17" spans="4:4">
      <c r="D17"/>
    </row>
    <row r="37" spans="4:4" ht="15.6">
      <c r="D37" s="175"/>
    </row>
  </sheetData>
  <sortState ref="A8:Q11">
    <sortCondition descending="1" ref="E8:E11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1"/>
  <sheetViews>
    <sheetView showZeros="0" rightToLeft="1" zoomScaleNormal="100" workbookViewId="0">
      <pane xSplit="4" ySplit="4" topLeftCell="E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424" customWidth="1"/>
    <col min="2" max="2" width="5.6640625" style="424" customWidth="1"/>
    <col min="3" max="3" width="19.33203125" style="440" customWidth="1"/>
    <col min="4" max="5" width="10.33203125" style="423" customWidth="1"/>
    <col min="6" max="6" width="9.109375" style="423" customWidth="1"/>
    <col min="7" max="8" width="11.109375" style="423" hidden="1" customWidth="1"/>
    <col min="9" max="10" width="10.44140625" style="423" hidden="1" customWidth="1"/>
    <col min="11" max="11" width="11.109375" style="423" hidden="1" customWidth="1"/>
    <col min="12" max="12" width="10" style="423" customWidth="1"/>
    <col min="13" max="13" width="8.6640625" style="462" customWidth="1"/>
    <col min="14" max="14" width="9.33203125" style="423" customWidth="1"/>
    <col min="15" max="15" width="10.33203125" style="423" customWidth="1"/>
    <col min="16" max="19" width="10.44140625" style="423" hidden="1" customWidth="1"/>
    <col min="20" max="20" width="9" style="462" customWidth="1"/>
    <col min="21" max="21" width="8.88671875" style="424" customWidth="1"/>
    <col min="22" max="22" width="10.88671875" style="424" customWidth="1"/>
    <col min="23" max="23" width="9.33203125" style="424" customWidth="1"/>
    <col min="24" max="24" width="6.44140625" style="424" hidden="1" customWidth="1"/>
    <col min="25" max="25" width="9.109375" style="424" hidden="1" customWidth="1"/>
    <col min="26" max="26" width="9.5546875" style="424" hidden="1" customWidth="1"/>
    <col min="27" max="27" width="7.33203125" style="424" customWidth="1"/>
    <col min="28" max="28" width="35.109375" style="440" hidden="1" customWidth="1"/>
    <col min="29" max="29" width="8.88671875" style="424" hidden="1" customWidth="1"/>
    <col min="30" max="30" width="26" style="422" customWidth="1"/>
    <col min="31" max="31" width="22.44140625" style="422" customWidth="1"/>
    <col min="32" max="32" width="11.5546875" style="422" customWidth="1"/>
    <col min="33" max="33" width="26" style="422" customWidth="1"/>
    <col min="34" max="34" width="6.5546875" style="422" customWidth="1"/>
    <col min="35" max="35" width="11.5546875" style="422" customWidth="1"/>
    <col min="36" max="36" width="24.33203125" style="422" customWidth="1"/>
    <col min="37" max="37" width="9.6640625" style="422" customWidth="1"/>
    <col min="38" max="38" width="14.5546875" style="422" customWidth="1"/>
    <col min="39" max="39" width="22.88671875" style="422" customWidth="1"/>
    <col min="40" max="40" width="12.44140625" style="422" customWidth="1"/>
    <col min="41" max="45" width="10.6640625" style="422" customWidth="1"/>
    <col min="46" max="48" width="10.6640625" style="422" hidden="1" customWidth="1"/>
    <col min="49" max="49" width="10.6640625" style="422" customWidth="1"/>
    <col min="50" max="50" width="15" style="422" customWidth="1"/>
    <col min="51" max="16384" width="8.88671875" style="424"/>
  </cols>
  <sheetData>
    <row r="1" spans="1:50" s="434" customFormat="1" ht="18">
      <c r="A1" s="432"/>
      <c r="B1" s="432"/>
      <c r="C1" s="433"/>
      <c r="J1" s="423"/>
      <c r="K1" s="432"/>
      <c r="M1" s="435"/>
      <c r="N1" s="432"/>
      <c r="O1" s="432"/>
      <c r="P1" s="432"/>
      <c r="Q1" s="432"/>
      <c r="R1" s="432"/>
      <c r="S1" s="432"/>
      <c r="T1" s="435"/>
      <c r="U1" s="432"/>
      <c r="V1" s="432" t="s">
        <v>966</v>
      </c>
      <c r="W1" s="436"/>
      <c r="X1" s="436"/>
      <c r="Y1" s="436"/>
      <c r="Z1" s="436"/>
      <c r="AA1" s="436"/>
      <c r="AB1" s="436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</row>
    <row r="2" spans="1:50" ht="18">
      <c r="A2" s="433" t="s">
        <v>317</v>
      </c>
      <c r="B2" s="432"/>
      <c r="C2" s="437"/>
      <c r="D2" s="434"/>
      <c r="E2" s="434"/>
      <c r="F2" s="434"/>
      <c r="K2" s="432"/>
      <c r="M2" s="438"/>
      <c r="N2" s="439"/>
      <c r="O2" s="439"/>
      <c r="P2" s="439"/>
      <c r="Q2" s="439"/>
      <c r="R2" s="439"/>
      <c r="S2" s="439"/>
      <c r="T2" s="438"/>
      <c r="U2" s="436"/>
      <c r="V2" s="436"/>
      <c r="W2" s="436"/>
      <c r="X2" s="436"/>
      <c r="Y2" s="436"/>
      <c r="Z2" s="436"/>
      <c r="AA2" s="436"/>
      <c r="AB2" s="424"/>
    </row>
    <row r="3" spans="1:50" ht="24.6" customHeight="1">
      <c r="D3" s="441"/>
      <c r="E3" s="442"/>
      <c r="F3" s="442"/>
      <c r="G3" s="443"/>
      <c r="H3" s="442"/>
      <c r="I3" s="442"/>
      <c r="J3" s="442"/>
      <c r="K3" s="442"/>
      <c r="L3" s="441"/>
      <c r="M3" s="444"/>
      <c r="N3" s="441"/>
      <c r="O3" s="441"/>
      <c r="P3" s="441"/>
      <c r="Q3" s="441"/>
      <c r="R3" s="441"/>
      <c r="S3" s="441"/>
      <c r="T3" s="445"/>
      <c r="U3" s="441"/>
    </row>
    <row r="4" spans="1:50" s="422" customFormat="1" ht="69">
      <c r="A4" s="421" t="s">
        <v>0</v>
      </c>
      <c r="B4" s="421" t="s">
        <v>1</v>
      </c>
      <c r="C4" s="421" t="s">
        <v>2</v>
      </c>
      <c r="D4" s="421" t="s">
        <v>80</v>
      </c>
      <c r="E4" s="421" t="s">
        <v>4</v>
      </c>
      <c r="F4" s="421" t="s">
        <v>5</v>
      </c>
      <c r="G4" s="421" t="s">
        <v>6</v>
      </c>
      <c r="H4" s="421" t="s">
        <v>7</v>
      </c>
      <c r="I4" s="421" t="s">
        <v>9</v>
      </c>
      <c r="J4" s="421" t="s">
        <v>125</v>
      </c>
      <c r="K4" s="421" t="s">
        <v>10</v>
      </c>
      <c r="L4" s="421" t="s">
        <v>11</v>
      </c>
      <c r="M4" s="421" t="s">
        <v>917</v>
      </c>
      <c r="N4" s="421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46" t="s">
        <v>923</v>
      </c>
      <c r="U4" s="421" t="s">
        <v>924</v>
      </c>
      <c r="V4" s="421" t="s">
        <v>13</v>
      </c>
      <c r="W4" s="421" t="s">
        <v>14</v>
      </c>
      <c r="X4" s="421" t="s">
        <v>15</v>
      </c>
      <c r="Y4" s="421" t="s">
        <v>214</v>
      </c>
      <c r="Z4" s="421" t="s">
        <v>502</v>
      </c>
      <c r="AA4" s="421" t="s">
        <v>75</v>
      </c>
      <c r="AB4" s="420" t="s">
        <v>242</v>
      </c>
      <c r="AC4" s="421" t="s">
        <v>16</v>
      </c>
    </row>
    <row r="5" spans="1:50" s="452" customFormat="1" ht="41.4">
      <c r="A5" s="448">
        <v>1</v>
      </c>
      <c r="B5" s="448">
        <v>179</v>
      </c>
      <c r="C5" s="448" t="s">
        <v>28</v>
      </c>
      <c r="D5" s="449">
        <v>3150250</v>
      </c>
      <c r="E5" s="449">
        <v>3150250</v>
      </c>
      <c r="F5" s="449">
        <f t="shared" ref="F5:F36" si="0">D5-E5</f>
        <v>0</v>
      </c>
      <c r="G5" s="449">
        <v>3150250</v>
      </c>
      <c r="H5" s="449">
        <v>3111417</v>
      </c>
      <c r="I5" s="449"/>
      <c r="J5" s="449"/>
      <c r="K5" s="449">
        <f t="shared" ref="K5:K36" si="1">SUM(I5:J5)</f>
        <v>0</v>
      </c>
      <c r="L5" s="449">
        <f t="shared" ref="L5:L36" si="2">H5+K5</f>
        <v>3111417</v>
      </c>
      <c r="M5" s="450">
        <f>P5+S5-38800</f>
        <v>33</v>
      </c>
      <c r="N5" s="449">
        <v>38800</v>
      </c>
      <c r="O5" s="449">
        <f t="shared" ref="O5:O36" si="3">D5-L5-M5-N5</f>
        <v>0</v>
      </c>
      <c r="P5" s="449">
        <f t="shared" ref="P5:P36" si="4">G5-L5</f>
        <v>38833</v>
      </c>
      <c r="Q5" s="451">
        <v>0</v>
      </c>
      <c r="R5" s="449">
        <v>0</v>
      </c>
      <c r="S5" s="449">
        <f t="shared" ref="S5:S36" si="5">SUM(Q5:R5)</f>
        <v>0</v>
      </c>
      <c r="T5" s="450">
        <f t="shared" ref="T5:T36" si="6">P5-M5+S5</f>
        <v>38800</v>
      </c>
      <c r="U5" s="449">
        <f t="shared" ref="U5:U36" si="7">N5-T5</f>
        <v>0</v>
      </c>
      <c r="V5" s="449">
        <f t="shared" ref="V5:V36" si="8">U5-AA5-W5-Z5-Y5-X5</f>
        <v>0</v>
      </c>
      <c r="W5" s="449"/>
      <c r="X5" s="449"/>
      <c r="Y5" s="449"/>
      <c r="Z5" s="449"/>
      <c r="AA5" s="448"/>
      <c r="AB5" s="448" t="s">
        <v>1412</v>
      </c>
      <c r="AC5" s="448">
        <v>732000</v>
      </c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  <c r="AR5" s="422"/>
      <c r="AS5" s="422"/>
      <c r="AT5" s="422"/>
      <c r="AU5" s="422"/>
      <c r="AV5" s="422"/>
      <c r="AW5" s="422"/>
      <c r="AX5" s="422"/>
    </row>
    <row r="6" spans="1:50" s="452" customFormat="1" ht="34.950000000000003" customHeight="1">
      <c r="A6" s="448">
        <f t="shared" ref="A6:A37" si="9">A5+1</f>
        <v>2</v>
      </c>
      <c r="B6" s="448">
        <v>507</v>
      </c>
      <c r="C6" s="448" t="s">
        <v>38</v>
      </c>
      <c r="D6" s="449">
        <f>1965000+1500000-1300000-200000</f>
        <v>1965000</v>
      </c>
      <c r="E6" s="449">
        <v>1965000</v>
      </c>
      <c r="F6" s="449">
        <f t="shared" si="0"/>
        <v>0</v>
      </c>
      <c r="G6" s="449">
        <v>1965000</v>
      </c>
      <c r="H6" s="449">
        <v>1701725</v>
      </c>
      <c r="I6" s="449"/>
      <c r="J6" s="449">
        <v>62055</v>
      </c>
      <c r="K6" s="449">
        <f t="shared" si="1"/>
        <v>62055</v>
      </c>
      <c r="L6" s="449">
        <f t="shared" si="2"/>
        <v>1763780</v>
      </c>
      <c r="M6" s="450">
        <f>P6+S6-200000</f>
        <v>1220</v>
      </c>
      <c r="N6" s="449">
        <f>200000+60000-260000</f>
        <v>0</v>
      </c>
      <c r="O6" s="449">
        <f t="shared" si="3"/>
        <v>200000</v>
      </c>
      <c r="P6" s="449">
        <f t="shared" si="4"/>
        <v>201220</v>
      </c>
      <c r="Q6" s="451"/>
      <c r="R6" s="449"/>
      <c r="S6" s="449">
        <f t="shared" si="5"/>
        <v>0</v>
      </c>
      <c r="T6" s="450">
        <f t="shared" si="6"/>
        <v>200000</v>
      </c>
      <c r="U6" s="449">
        <f t="shared" si="7"/>
        <v>-200000</v>
      </c>
      <c r="V6" s="449">
        <f t="shared" si="8"/>
        <v>-200000</v>
      </c>
      <c r="W6" s="449"/>
      <c r="X6" s="449"/>
      <c r="Y6" s="449"/>
      <c r="Z6" s="449"/>
      <c r="AA6" s="448"/>
      <c r="AB6" s="448" t="s">
        <v>380</v>
      </c>
      <c r="AC6" s="448">
        <v>742000</v>
      </c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</row>
    <row r="7" spans="1:50" s="452" customFormat="1" ht="34.950000000000003" customHeight="1">
      <c r="A7" s="448">
        <f t="shared" si="9"/>
        <v>3</v>
      </c>
      <c r="B7" s="448">
        <v>592</v>
      </c>
      <c r="C7" s="448" t="s">
        <v>22</v>
      </c>
      <c r="D7" s="449">
        <v>54893000</v>
      </c>
      <c r="E7" s="449">
        <v>54893000</v>
      </c>
      <c r="F7" s="449">
        <f t="shared" si="0"/>
        <v>0</v>
      </c>
      <c r="G7" s="449">
        <v>21420000</v>
      </c>
      <c r="H7" s="449">
        <v>19882849</v>
      </c>
      <c r="I7" s="449"/>
      <c r="J7" s="449">
        <f>1170012-1170012</f>
        <v>0</v>
      </c>
      <c r="K7" s="449">
        <f t="shared" si="1"/>
        <v>0</v>
      </c>
      <c r="L7" s="449">
        <f t="shared" si="2"/>
        <v>19882849</v>
      </c>
      <c r="M7" s="450">
        <f>P7+S7-1500000</f>
        <v>37151</v>
      </c>
      <c r="N7" s="449">
        <f>500000+1400000-1900000</f>
        <v>0</v>
      </c>
      <c r="O7" s="449">
        <f t="shared" si="3"/>
        <v>34973000</v>
      </c>
      <c r="P7" s="449">
        <f t="shared" si="4"/>
        <v>1537151</v>
      </c>
      <c r="Q7" s="451"/>
      <c r="R7" s="449"/>
      <c r="S7" s="449">
        <f t="shared" si="5"/>
        <v>0</v>
      </c>
      <c r="T7" s="450">
        <f t="shared" si="6"/>
        <v>1500000</v>
      </c>
      <c r="U7" s="449">
        <f t="shared" si="7"/>
        <v>-1500000</v>
      </c>
      <c r="V7" s="449">
        <f t="shared" si="8"/>
        <v>-1500000</v>
      </c>
      <c r="W7" s="449"/>
      <c r="X7" s="449"/>
      <c r="Y7" s="449"/>
      <c r="Z7" s="449"/>
      <c r="AA7" s="448"/>
      <c r="AB7" s="448" t="s">
        <v>818</v>
      </c>
      <c r="AC7" s="448">
        <v>742000</v>
      </c>
      <c r="AD7" s="422"/>
      <c r="AE7" s="422"/>
      <c r="AF7" s="422"/>
      <c r="AG7" s="422"/>
      <c r="AH7" s="422"/>
      <c r="AI7" s="422"/>
      <c r="AJ7" s="422"/>
      <c r="AK7" s="422"/>
      <c r="AL7" s="422"/>
      <c r="AM7" s="422"/>
      <c r="AN7" s="422"/>
      <c r="AO7" s="422"/>
      <c r="AP7" s="422"/>
      <c r="AQ7" s="422"/>
      <c r="AR7" s="422"/>
      <c r="AS7" s="422"/>
      <c r="AT7" s="422"/>
      <c r="AU7" s="422"/>
      <c r="AV7" s="422"/>
      <c r="AW7" s="422"/>
      <c r="AX7" s="422"/>
    </row>
    <row r="8" spans="1:50" s="452" customFormat="1" ht="34.950000000000003" customHeight="1">
      <c r="A8" s="448">
        <f t="shared" si="9"/>
        <v>4</v>
      </c>
      <c r="B8" s="448">
        <v>608</v>
      </c>
      <c r="C8" s="448" t="s">
        <v>29</v>
      </c>
      <c r="D8" s="449">
        <f>8300000+4700000-4350000-140000</f>
        <v>8510000</v>
      </c>
      <c r="E8" s="449">
        <v>8300000</v>
      </c>
      <c r="F8" s="449">
        <f t="shared" si="0"/>
        <v>210000</v>
      </c>
      <c r="G8" s="449">
        <v>7650000</v>
      </c>
      <c r="H8" s="449">
        <v>7352657</v>
      </c>
      <c r="I8" s="449"/>
      <c r="J8" s="449">
        <f>287586-31449-117000-18720-2340-56137</f>
        <v>61940</v>
      </c>
      <c r="K8" s="449">
        <f t="shared" si="1"/>
        <v>61940</v>
      </c>
      <c r="L8" s="449">
        <f t="shared" si="2"/>
        <v>7414597</v>
      </c>
      <c r="M8" s="450">
        <f>P8+S8-150000-140000+55000</f>
        <v>403</v>
      </c>
      <c r="N8" s="449">
        <f>1000000+150000-300000</f>
        <v>850000</v>
      </c>
      <c r="O8" s="449">
        <f t="shared" si="3"/>
        <v>245000</v>
      </c>
      <c r="P8" s="449">
        <f t="shared" si="4"/>
        <v>235403</v>
      </c>
      <c r="Q8" s="451"/>
      <c r="R8" s="449"/>
      <c r="S8" s="449">
        <f t="shared" si="5"/>
        <v>0</v>
      </c>
      <c r="T8" s="450">
        <f t="shared" si="6"/>
        <v>235000</v>
      </c>
      <c r="U8" s="449">
        <f t="shared" si="7"/>
        <v>615000</v>
      </c>
      <c r="V8" s="449">
        <f t="shared" si="8"/>
        <v>615000</v>
      </c>
      <c r="W8" s="449"/>
      <c r="X8" s="449"/>
      <c r="Y8" s="449"/>
      <c r="Z8" s="449"/>
      <c r="AA8" s="448"/>
      <c r="AB8" s="448" t="s">
        <v>243</v>
      </c>
      <c r="AC8" s="448">
        <v>745000</v>
      </c>
      <c r="AD8" s="422"/>
      <c r="AE8" s="422"/>
      <c r="AF8" s="422"/>
      <c r="AG8" s="422"/>
      <c r="AH8" s="422"/>
      <c r="AI8" s="422"/>
      <c r="AJ8" s="422"/>
      <c r="AK8" s="422"/>
      <c r="AL8" s="422"/>
      <c r="AM8" s="422"/>
      <c r="AN8" s="422"/>
      <c r="AO8" s="422"/>
      <c r="AP8" s="422"/>
      <c r="AQ8" s="422"/>
      <c r="AR8" s="422"/>
      <c r="AS8" s="422"/>
      <c r="AT8" s="422"/>
      <c r="AU8" s="422"/>
      <c r="AV8" s="422"/>
      <c r="AW8" s="422"/>
      <c r="AX8" s="422"/>
    </row>
    <row r="9" spans="1:50" s="456" customFormat="1" ht="41.4">
      <c r="A9" s="448">
        <f t="shared" si="9"/>
        <v>5</v>
      </c>
      <c r="B9" s="448">
        <v>626</v>
      </c>
      <c r="C9" s="448" t="s">
        <v>419</v>
      </c>
      <c r="D9" s="449">
        <v>34775000</v>
      </c>
      <c r="E9" s="449">
        <v>34775000</v>
      </c>
      <c r="F9" s="449">
        <f t="shared" si="0"/>
        <v>0</v>
      </c>
      <c r="G9" s="449">
        <v>19233898</v>
      </c>
      <c r="H9" s="449">
        <v>15582053</v>
      </c>
      <c r="I9" s="449">
        <v>107406</v>
      </c>
      <c r="J9" s="449">
        <f>332608-19188+4057166-1170000</f>
        <v>3200586</v>
      </c>
      <c r="K9" s="449">
        <f t="shared" si="1"/>
        <v>3307992</v>
      </c>
      <c r="L9" s="449">
        <f t="shared" si="2"/>
        <v>18890045</v>
      </c>
      <c r="M9" s="450">
        <f>P9+S9-1000000-2100000-90000+1850000</f>
        <v>3853</v>
      </c>
      <c r="N9" s="449">
        <f>10000000-7000000+100000+90000-500000-1000000</f>
        <v>1690000</v>
      </c>
      <c r="O9" s="449">
        <f t="shared" si="3"/>
        <v>14191102</v>
      </c>
      <c r="P9" s="449">
        <f t="shared" si="4"/>
        <v>343853</v>
      </c>
      <c r="Q9" s="451">
        <v>1000000</v>
      </c>
      <c r="R9" s="449"/>
      <c r="S9" s="449">
        <f t="shared" si="5"/>
        <v>1000000</v>
      </c>
      <c r="T9" s="450">
        <f t="shared" si="6"/>
        <v>1340000</v>
      </c>
      <c r="U9" s="449">
        <f t="shared" si="7"/>
        <v>350000</v>
      </c>
      <c r="V9" s="449">
        <f t="shared" si="8"/>
        <v>350000</v>
      </c>
      <c r="W9" s="449"/>
      <c r="X9" s="449"/>
      <c r="Y9" s="449"/>
      <c r="Z9" s="449"/>
      <c r="AA9" s="448"/>
      <c r="AB9" s="455" t="s">
        <v>967</v>
      </c>
      <c r="AC9" s="448">
        <v>732000</v>
      </c>
      <c r="AD9" s="422"/>
      <c r="AE9" s="422"/>
      <c r="AF9" s="422"/>
      <c r="AG9" s="422"/>
      <c r="AH9" s="422"/>
      <c r="AI9" s="422"/>
      <c r="AJ9" s="422"/>
      <c r="AK9" s="422"/>
      <c r="AL9" s="422"/>
      <c r="AM9" s="422"/>
      <c r="AN9" s="422"/>
      <c r="AO9" s="422"/>
      <c r="AP9" s="422"/>
      <c r="AQ9" s="422"/>
      <c r="AR9" s="422"/>
      <c r="AS9" s="422"/>
      <c r="AT9" s="422"/>
      <c r="AU9" s="422"/>
      <c r="AV9" s="422"/>
      <c r="AW9" s="422"/>
      <c r="AX9" s="422"/>
    </row>
    <row r="10" spans="1:50" s="452" customFormat="1" ht="41.4">
      <c r="A10" s="448">
        <f t="shared" si="9"/>
        <v>6</v>
      </c>
      <c r="B10" s="448">
        <v>638</v>
      </c>
      <c r="C10" s="448" t="s">
        <v>360</v>
      </c>
      <c r="D10" s="449">
        <v>4436000</v>
      </c>
      <c r="E10" s="449">
        <v>4436000</v>
      </c>
      <c r="F10" s="449">
        <f t="shared" si="0"/>
        <v>0</v>
      </c>
      <c r="G10" s="449">
        <v>4436000</v>
      </c>
      <c r="H10" s="449">
        <v>4253645</v>
      </c>
      <c r="I10" s="449"/>
      <c r="J10" s="449"/>
      <c r="K10" s="449">
        <f t="shared" si="1"/>
        <v>0</v>
      </c>
      <c r="L10" s="449">
        <f t="shared" si="2"/>
        <v>4253645</v>
      </c>
      <c r="M10" s="450">
        <f>P10+S10-182355</f>
        <v>0</v>
      </c>
      <c r="N10" s="449"/>
      <c r="O10" s="449">
        <f t="shared" si="3"/>
        <v>182355</v>
      </c>
      <c r="P10" s="449">
        <f t="shared" si="4"/>
        <v>182355</v>
      </c>
      <c r="Q10" s="451"/>
      <c r="R10" s="449"/>
      <c r="S10" s="449">
        <f t="shared" si="5"/>
        <v>0</v>
      </c>
      <c r="T10" s="450">
        <f t="shared" si="6"/>
        <v>182355</v>
      </c>
      <c r="U10" s="449">
        <f t="shared" si="7"/>
        <v>-182355</v>
      </c>
      <c r="V10" s="449">
        <f t="shared" si="8"/>
        <v>-182355</v>
      </c>
      <c r="W10" s="449"/>
      <c r="X10" s="449"/>
      <c r="Y10" s="449"/>
      <c r="Z10" s="449"/>
      <c r="AA10" s="448"/>
      <c r="AB10" s="448" t="s">
        <v>1318</v>
      </c>
      <c r="AC10" s="448">
        <v>742000</v>
      </c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</row>
    <row r="11" spans="1:50" s="452" customFormat="1" ht="46.95" customHeight="1">
      <c r="A11" s="448">
        <f t="shared" si="9"/>
        <v>7</v>
      </c>
      <c r="B11" s="448">
        <v>1018</v>
      </c>
      <c r="C11" s="448" t="s">
        <v>23</v>
      </c>
      <c r="D11" s="449">
        <v>31900000</v>
      </c>
      <c r="E11" s="449">
        <v>31900000</v>
      </c>
      <c r="F11" s="449">
        <f t="shared" si="0"/>
        <v>0</v>
      </c>
      <c r="G11" s="449">
        <v>3150000</v>
      </c>
      <c r="H11" s="449">
        <v>3059671</v>
      </c>
      <c r="I11" s="449">
        <v>84193</v>
      </c>
      <c r="J11" s="449"/>
      <c r="K11" s="449">
        <f t="shared" si="1"/>
        <v>84193</v>
      </c>
      <c r="L11" s="449">
        <f t="shared" si="2"/>
        <v>3143864</v>
      </c>
      <c r="M11" s="450">
        <f>P11+S11</f>
        <v>6136</v>
      </c>
      <c r="N11" s="449"/>
      <c r="O11" s="449">
        <f t="shared" si="3"/>
        <v>28750000</v>
      </c>
      <c r="P11" s="449">
        <f t="shared" si="4"/>
        <v>6136</v>
      </c>
      <c r="Q11" s="451"/>
      <c r="R11" s="449"/>
      <c r="S11" s="449">
        <f t="shared" si="5"/>
        <v>0</v>
      </c>
      <c r="T11" s="450">
        <f t="shared" si="6"/>
        <v>0</v>
      </c>
      <c r="U11" s="449">
        <f t="shared" si="7"/>
        <v>0</v>
      </c>
      <c r="V11" s="449">
        <f t="shared" si="8"/>
        <v>0</v>
      </c>
      <c r="W11" s="449"/>
      <c r="X11" s="449"/>
      <c r="Y11" s="449"/>
      <c r="Z11" s="449"/>
      <c r="AA11" s="448"/>
      <c r="AB11" s="448" t="s">
        <v>1379</v>
      </c>
      <c r="AC11" s="448">
        <v>742000</v>
      </c>
      <c r="AD11" s="422"/>
      <c r="AE11" s="422"/>
      <c r="AF11" s="422"/>
      <c r="AG11" s="422"/>
      <c r="AH11" s="422"/>
      <c r="AI11" s="422"/>
      <c r="AJ11" s="422"/>
      <c r="AK11" s="422"/>
      <c r="AL11" s="422"/>
      <c r="AM11" s="422"/>
      <c r="AN11" s="422"/>
      <c r="AO11" s="422"/>
      <c r="AP11" s="422"/>
      <c r="AQ11" s="422"/>
      <c r="AR11" s="422"/>
      <c r="AS11" s="422"/>
      <c r="AT11" s="422"/>
      <c r="AU11" s="422"/>
      <c r="AV11" s="422"/>
      <c r="AW11" s="422"/>
      <c r="AX11" s="422"/>
    </row>
    <row r="12" spans="1:50" s="452" customFormat="1" ht="34.950000000000003" customHeight="1">
      <c r="A12" s="448">
        <f t="shared" si="9"/>
        <v>8</v>
      </c>
      <c r="B12" s="448">
        <v>1100</v>
      </c>
      <c r="C12" s="448" t="s">
        <v>17</v>
      </c>
      <c r="D12" s="449">
        <v>6650000</v>
      </c>
      <c r="E12" s="449">
        <v>6650000</v>
      </c>
      <c r="F12" s="449">
        <f t="shared" si="0"/>
        <v>0</v>
      </c>
      <c r="G12" s="449">
        <v>6650000</v>
      </c>
      <c r="H12" s="449">
        <v>6636801</v>
      </c>
      <c r="I12" s="449"/>
      <c r="J12" s="449"/>
      <c r="K12" s="449">
        <f t="shared" si="1"/>
        <v>0</v>
      </c>
      <c r="L12" s="449">
        <f t="shared" si="2"/>
        <v>6636801</v>
      </c>
      <c r="M12" s="450">
        <f>P12+S12</f>
        <v>13199</v>
      </c>
      <c r="N12" s="449"/>
      <c r="O12" s="449">
        <f t="shared" si="3"/>
        <v>0</v>
      </c>
      <c r="P12" s="449">
        <f t="shared" si="4"/>
        <v>13199</v>
      </c>
      <c r="Q12" s="451"/>
      <c r="R12" s="449"/>
      <c r="S12" s="449">
        <f t="shared" si="5"/>
        <v>0</v>
      </c>
      <c r="T12" s="450">
        <f t="shared" si="6"/>
        <v>0</v>
      </c>
      <c r="U12" s="449">
        <f t="shared" si="7"/>
        <v>0</v>
      </c>
      <c r="V12" s="449">
        <f t="shared" si="8"/>
        <v>0</v>
      </c>
      <c r="W12" s="449"/>
      <c r="X12" s="449"/>
      <c r="Y12" s="449"/>
      <c r="Z12" s="449"/>
      <c r="AA12" s="448"/>
      <c r="AB12" s="448" t="s">
        <v>1407</v>
      </c>
      <c r="AC12" s="448">
        <v>732000</v>
      </c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</row>
    <row r="13" spans="1:50" s="456" customFormat="1" ht="34.950000000000003" customHeight="1">
      <c r="A13" s="448">
        <f t="shared" si="9"/>
        <v>9</v>
      </c>
      <c r="B13" s="448">
        <v>1129</v>
      </c>
      <c r="C13" s="448" t="s">
        <v>30</v>
      </c>
      <c r="D13" s="449">
        <f>7000000+3000000-2500000</f>
        <v>7500000</v>
      </c>
      <c r="E13" s="449">
        <v>7000000</v>
      </c>
      <c r="F13" s="449">
        <f t="shared" si="0"/>
        <v>500000</v>
      </c>
      <c r="G13" s="449">
        <v>6891771</v>
      </c>
      <c r="H13" s="449">
        <v>6201031</v>
      </c>
      <c r="I13" s="449"/>
      <c r="J13" s="449">
        <f>674374-397800</f>
        <v>276574</v>
      </c>
      <c r="K13" s="449">
        <f t="shared" si="1"/>
        <v>276574</v>
      </c>
      <c r="L13" s="449">
        <f t="shared" si="2"/>
        <v>6477605</v>
      </c>
      <c r="M13" s="450">
        <f>P13+S13-230000-180000</f>
        <v>4166</v>
      </c>
      <c r="N13" s="449">
        <f>500000-300000</f>
        <v>200000</v>
      </c>
      <c r="O13" s="449">
        <f t="shared" si="3"/>
        <v>818229</v>
      </c>
      <c r="P13" s="449">
        <f t="shared" si="4"/>
        <v>414166</v>
      </c>
      <c r="Q13" s="451"/>
      <c r="R13" s="449"/>
      <c r="S13" s="449">
        <f t="shared" si="5"/>
        <v>0</v>
      </c>
      <c r="T13" s="450">
        <f t="shared" si="6"/>
        <v>410000</v>
      </c>
      <c r="U13" s="449">
        <f t="shared" si="7"/>
        <v>-210000</v>
      </c>
      <c r="V13" s="449">
        <f t="shared" si="8"/>
        <v>-210000</v>
      </c>
      <c r="W13" s="449"/>
      <c r="X13" s="449"/>
      <c r="Y13" s="449"/>
      <c r="Z13" s="449"/>
      <c r="AA13" s="448"/>
      <c r="AB13" s="448" t="s">
        <v>318</v>
      </c>
      <c r="AC13" s="448">
        <v>742000</v>
      </c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</row>
    <row r="14" spans="1:50" s="452" customFormat="1" ht="34.950000000000003" customHeight="1">
      <c r="A14" s="448">
        <f t="shared" si="9"/>
        <v>10</v>
      </c>
      <c r="B14" s="448">
        <v>1220</v>
      </c>
      <c r="C14" s="448" t="s">
        <v>32</v>
      </c>
      <c r="D14" s="449">
        <f>7260000+2000000-2000000+200000-200000</f>
        <v>7260000</v>
      </c>
      <c r="E14" s="449">
        <v>7260000</v>
      </c>
      <c r="F14" s="449">
        <f t="shared" si="0"/>
        <v>0</v>
      </c>
      <c r="G14" s="449">
        <v>6760000</v>
      </c>
      <c r="H14" s="449">
        <v>6219405</v>
      </c>
      <c r="I14" s="449">
        <v>6436</v>
      </c>
      <c r="J14" s="449">
        <f>317137-16848-9660-46051</f>
        <v>244578</v>
      </c>
      <c r="K14" s="449">
        <f t="shared" si="1"/>
        <v>251014</v>
      </c>
      <c r="L14" s="449">
        <f t="shared" si="2"/>
        <v>6470419</v>
      </c>
      <c r="M14" s="450">
        <f>P14+S14-150000-230000+91000</f>
        <v>581</v>
      </c>
      <c r="N14" s="449">
        <f>700000+150000-550000-100000</f>
        <v>200000</v>
      </c>
      <c r="O14" s="449">
        <f t="shared" si="3"/>
        <v>589000</v>
      </c>
      <c r="P14" s="449">
        <f t="shared" si="4"/>
        <v>289581</v>
      </c>
      <c r="Q14" s="451"/>
      <c r="R14" s="449"/>
      <c r="S14" s="449">
        <f t="shared" si="5"/>
        <v>0</v>
      </c>
      <c r="T14" s="450">
        <f t="shared" si="6"/>
        <v>289000</v>
      </c>
      <c r="U14" s="449">
        <f t="shared" si="7"/>
        <v>-89000</v>
      </c>
      <c r="V14" s="449">
        <f t="shared" si="8"/>
        <v>-89000</v>
      </c>
      <c r="W14" s="449"/>
      <c r="X14" s="449"/>
      <c r="Y14" s="449"/>
      <c r="Z14" s="449"/>
      <c r="AA14" s="448"/>
      <c r="AB14" s="448" t="s">
        <v>725</v>
      </c>
      <c r="AC14" s="448">
        <v>732000</v>
      </c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</row>
    <row r="15" spans="1:50" s="456" customFormat="1" ht="41.4">
      <c r="A15" s="448">
        <f t="shared" si="9"/>
        <v>11</v>
      </c>
      <c r="B15" s="448">
        <v>1366</v>
      </c>
      <c r="C15" s="448" t="s">
        <v>34</v>
      </c>
      <c r="D15" s="449">
        <f>1500000+76000</f>
        <v>1576000</v>
      </c>
      <c r="E15" s="449">
        <v>1500000</v>
      </c>
      <c r="F15" s="449">
        <f t="shared" si="0"/>
        <v>76000</v>
      </c>
      <c r="G15" s="449">
        <v>1376000</v>
      </c>
      <c r="H15" s="449">
        <v>1044273</v>
      </c>
      <c r="I15" s="449"/>
      <c r="J15" s="449">
        <v>131715</v>
      </c>
      <c r="K15" s="449">
        <f t="shared" si="1"/>
        <v>131715</v>
      </c>
      <c r="L15" s="449">
        <f t="shared" si="2"/>
        <v>1175988</v>
      </c>
      <c r="M15" s="450">
        <f>P15+S15-200000-20000+20000</f>
        <v>12</v>
      </c>
      <c r="N15" s="449">
        <f>200000+200000-200000+20000-20000</f>
        <v>200000</v>
      </c>
      <c r="O15" s="449">
        <f t="shared" si="3"/>
        <v>200000</v>
      </c>
      <c r="P15" s="449">
        <f t="shared" si="4"/>
        <v>200012</v>
      </c>
      <c r="Q15" s="451"/>
      <c r="R15" s="449"/>
      <c r="S15" s="449">
        <f t="shared" si="5"/>
        <v>0</v>
      </c>
      <c r="T15" s="450">
        <f t="shared" si="6"/>
        <v>200000</v>
      </c>
      <c r="U15" s="449">
        <f t="shared" si="7"/>
        <v>0</v>
      </c>
      <c r="V15" s="449">
        <f t="shared" si="8"/>
        <v>0</v>
      </c>
      <c r="W15" s="449"/>
      <c r="X15" s="449"/>
      <c r="Y15" s="449"/>
      <c r="Z15" s="449"/>
      <c r="AA15" s="448"/>
      <c r="AB15" s="448" t="s">
        <v>481</v>
      </c>
      <c r="AC15" s="448">
        <v>742000</v>
      </c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</row>
    <row r="16" spans="1:50" s="456" customFormat="1" ht="41.4">
      <c r="A16" s="448">
        <f t="shared" si="9"/>
        <v>12</v>
      </c>
      <c r="B16" s="448">
        <v>1406</v>
      </c>
      <c r="C16" s="448" t="s">
        <v>99</v>
      </c>
      <c r="D16" s="449">
        <v>1250000</v>
      </c>
      <c r="E16" s="449">
        <v>1250000</v>
      </c>
      <c r="F16" s="449">
        <f t="shared" si="0"/>
        <v>0</v>
      </c>
      <c r="G16" s="449">
        <v>1250000</v>
      </c>
      <c r="H16" s="449">
        <v>1225877</v>
      </c>
      <c r="I16" s="449"/>
      <c r="J16" s="449">
        <v>24123</v>
      </c>
      <c r="K16" s="449">
        <f t="shared" si="1"/>
        <v>24123</v>
      </c>
      <c r="L16" s="449">
        <f t="shared" si="2"/>
        <v>1250000</v>
      </c>
      <c r="M16" s="450">
        <f>P16+S16-28590+4466+24124</f>
        <v>0</v>
      </c>
      <c r="N16" s="449"/>
      <c r="O16" s="449">
        <f t="shared" si="3"/>
        <v>0</v>
      </c>
      <c r="P16" s="449">
        <f t="shared" si="4"/>
        <v>0</v>
      </c>
      <c r="Q16" s="451"/>
      <c r="R16" s="449"/>
      <c r="S16" s="449">
        <f t="shared" si="5"/>
        <v>0</v>
      </c>
      <c r="T16" s="450">
        <f t="shared" si="6"/>
        <v>0</v>
      </c>
      <c r="U16" s="449">
        <f t="shared" si="7"/>
        <v>0</v>
      </c>
      <c r="V16" s="449">
        <f t="shared" si="8"/>
        <v>0</v>
      </c>
      <c r="W16" s="449"/>
      <c r="X16" s="449"/>
      <c r="Y16" s="449"/>
      <c r="Z16" s="449"/>
      <c r="AA16" s="448"/>
      <c r="AB16" s="448" t="s">
        <v>1336</v>
      </c>
      <c r="AC16" s="448">
        <v>732000</v>
      </c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</row>
    <row r="17" spans="1:50" s="456" customFormat="1" ht="34.950000000000003" customHeight="1">
      <c r="A17" s="448">
        <f t="shared" si="9"/>
        <v>13</v>
      </c>
      <c r="B17" s="448">
        <v>1407</v>
      </c>
      <c r="C17" s="448" t="s">
        <v>18</v>
      </c>
      <c r="D17" s="449">
        <f>5295000+3000000-3000000</f>
        <v>5295000</v>
      </c>
      <c r="E17" s="449">
        <v>5295000</v>
      </c>
      <c r="F17" s="449">
        <f t="shared" si="0"/>
        <v>0</v>
      </c>
      <c r="G17" s="449">
        <v>4145000</v>
      </c>
      <c r="H17" s="449">
        <v>3138708</v>
      </c>
      <c r="I17" s="449">
        <v>6581</v>
      </c>
      <c r="J17" s="449">
        <f>926932-40154-257400-12870</f>
        <v>616508</v>
      </c>
      <c r="K17" s="449">
        <f t="shared" si="1"/>
        <v>623089</v>
      </c>
      <c r="L17" s="449">
        <f t="shared" si="2"/>
        <v>3761797</v>
      </c>
      <c r="M17" s="450">
        <f>P17+S17-300000-30000-50000</f>
        <v>3203</v>
      </c>
      <c r="N17" s="449">
        <f>700000-300000-200000</f>
        <v>200000</v>
      </c>
      <c r="O17" s="449">
        <f t="shared" si="3"/>
        <v>1330000</v>
      </c>
      <c r="P17" s="449">
        <f t="shared" si="4"/>
        <v>383203</v>
      </c>
      <c r="Q17" s="451"/>
      <c r="R17" s="449"/>
      <c r="S17" s="449">
        <f t="shared" si="5"/>
        <v>0</v>
      </c>
      <c r="T17" s="450">
        <f t="shared" si="6"/>
        <v>380000</v>
      </c>
      <c r="U17" s="449">
        <f t="shared" si="7"/>
        <v>-180000</v>
      </c>
      <c r="V17" s="449">
        <f t="shared" si="8"/>
        <v>-180000</v>
      </c>
      <c r="W17" s="449"/>
      <c r="X17" s="449"/>
      <c r="Y17" s="449"/>
      <c r="Z17" s="449"/>
      <c r="AA17" s="448"/>
      <c r="AB17" s="448" t="s">
        <v>503</v>
      </c>
      <c r="AC17" s="448">
        <v>732000</v>
      </c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</row>
    <row r="18" spans="1:50" s="452" customFormat="1" ht="34.950000000000003" customHeight="1">
      <c r="A18" s="448">
        <f t="shared" si="9"/>
        <v>14</v>
      </c>
      <c r="B18" s="448">
        <v>1409</v>
      </c>
      <c r="C18" s="455" t="s">
        <v>820</v>
      </c>
      <c r="D18" s="449">
        <v>7680000</v>
      </c>
      <c r="E18" s="449">
        <v>7680000</v>
      </c>
      <c r="F18" s="449">
        <f t="shared" si="0"/>
        <v>0</v>
      </c>
      <c r="G18" s="449">
        <v>6985000</v>
      </c>
      <c r="H18" s="449">
        <v>5099564</v>
      </c>
      <c r="I18" s="449">
        <v>1314720</v>
      </c>
      <c r="J18" s="449"/>
      <c r="K18" s="449">
        <f t="shared" si="1"/>
        <v>1314720</v>
      </c>
      <c r="L18" s="449">
        <f t="shared" si="2"/>
        <v>6414284</v>
      </c>
      <c r="M18" s="450">
        <f>P18+S18-570000</f>
        <v>716</v>
      </c>
      <c r="N18" s="449">
        <f>570000-270000-200000</f>
        <v>100000</v>
      </c>
      <c r="O18" s="449">
        <f t="shared" si="3"/>
        <v>1165000</v>
      </c>
      <c r="P18" s="449">
        <f t="shared" si="4"/>
        <v>570716</v>
      </c>
      <c r="Q18" s="451"/>
      <c r="R18" s="449"/>
      <c r="S18" s="449">
        <f t="shared" si="5"/>
        <v>0</v>
      </c>
      <c r="T18" s="450">
        <f t="shared" si="6"/>
        <v>570000</v>
      </c>
      <c r="U18" s="449">
        <f t="shared" si="7"/>
        <v>-470000</v>
      </c>
      <c r="V18" s="449">
        <f t="shared" si="8"/>
        <v>-470000</v>
      </c>
      <c r="W18" s="449"/>
      <c r="X18" s="449"/>
      <c r="Y18" s="449"/>
      <c r="Z18" s="449"/>
      <c r="AA18" s="448"/>
      <c r="AB18" s="448" t="s">
        <v>504</v>
      </c>
      <c r="AC18" s="448">
        <v>732000</v>
      </c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</row>
    <row r="19" spans="1:50" s="452" customFormat="1" ht="41.4">
      <c r="A19" s="448">
        <f t="shared" si="9"/>
        <v>15</v>
      </c>
      <c r="B19" s="448">
        <v>1466</v>
      </c>
      <c r="C19" s="448" t="s">
        <v>19</v>
      </c>
      <c r="D19" s="449">
        <v>2200000</v>
      </c>
      <c r="E19" s="449">
        <v>2200000</v>
      </c>
      <c r="F19" s="449">
        <f t="shared" si="0"/>
        <v>0</v>
      </c>
      <c r="G19" s="449">
        <v>1600000</v>
      </c>
      <c r="H19" s="449">
        <v>1352852</v>
      </c>
      <c r="I19" s="449"/>
      <c r="J19" s="449">
        <f>31636+194234</f>
        <v>225870</v>
      </c>
      <c r="K19" s="449">
        <f t="shared" si="1"/>
        <v>225870</v>
      </c>
      <c r="L19" s="449">
        <f t="shared" si="2"/>
        <v>1578722</v>
      </c>
      <c r="M19" s="450">
        <f>P19+S19-50000-160000+190000</f>
        <v>1278</v>
      </c>
      <c r="N19" s="449">
        <f>200000+50000-200000</f>
        <v>50000</v>
      </c>
      <c r="O19" s="449">
        <f t="shared" si="3"/>
        <v>570000</v>
      </c>
      <c r="P19" s="449">
        <f t="shared" si="4"/>
        <v>21278</v>
      </c>
      <c r="Q19" s="451"/>
      <c r="R19" s="449"/>
      <c r="S19" s="449">
        <f t="shared" si="5"/>
        <v>0</v>
      </c>
      <c r="T19" s="450">
        <f t="shared" si="6"/>
        <v>20000</v>
      </c>
      <c r="U19" s="449">
        <f t="shared" si="7"/>
        <v>30000</v>
      </c>
      <c r="V19" s="449">
        <f t="shared" si="8"/>
        <v>30000</v>
      </c>
      <c r="W19" s="449"/>
      <c r="X19" s="449"/>
      <c r="Y19" s="449"/>
      <c r="Z19" s="449"/>
      <c r="AA19" s="448"/>
      <c r="AB19" s="448" t="s">
        <v>726</v>
      </c>
      <c r="AC19" s="448">
        <v>732000</v>
      </c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</row>
    <row r="20" spans="1:50" s="452" customFormat="1" ht="41.4">
      <c r="A20" s="448">
        <f t="shared" si="9"/>
        <v>16</v>
      </c>
      <c r="B20" s="448">
        <v>1527</v>
      </c>
      <c r="C20" s="448" t="s">
        <v>585</v>
      </c>
      <c r="D20" s="449">
        <v>3000000</v>
      </c>
      <c r="E20" s="449">
        <v>3000000</v>
      </c>
      <c r="F20" s="449">
        <f t="shared" si="0"/>
        <v>0</v>
      </c>
      <c r="G20" s="449">
        <v>1150000</v>
      </c>
      <c r="H20" s="449">
        <v>902305</v>
      </c>
      <c r="I20" s="449"/>
      <c r="J20" s="449"/>
      <c r="K20" s="449">
        <f t="shared" si="1"/>
        <v>0</v>
      </c>
      <c r="L20" s="449">
        <f t="shared" si="2"/>
        <v>902305</v>
      </c>
      <c r="M20" s="450">
        <f>P20+S20-245000</f>
        <v>2695</v>
      </c>
      <c r="N20" s="449">
        <f>245000-95000-100000</f>
        <v>50000</v>
      </c>
      <c r="O20" s="449">
        <f t="shared" si="3"/>
        <v>2045000</v>
      </c>
      <c r="P20" s="449">
        <f t="shared" si="4"/>
        <v>247695</v>
      </c>
      <c r="Q20" s="451"/>
      <c r="R20" s="449"/>
      <c r="S20" s="449">
        <f t="shared" si="5"/>
        <v>0</v>
      </c>
      <c r="T20" s="450">
        <f t="shared" si="6"/>
        <v>245000</v>
      </c>
      <c r="U20" s="449">
        <f t="shared" si="7"/>
        <v>-195000</v>
      </c>
      <c r="V20" s="449">
        <f t="shared" si="8"/>
        <v>-195000</v>
      </c>
      <c r="W20" s="449"/>
      <c r="X20" s="449"/>
      <c r="Y20" s="449"/>
      <c r="Z20" s="449"/>
      <c r="AA20" s="448"/>
      <c r="AB20" s="455" t="s">
        <v>968</v>
      </c>
      <c r="AC20" s="448">
        <v>732000</v>
      </c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</row>
    <row r="21" spans="1:50" s="452" customFormat="1" ht="40.200000000000003" customHeight="1">
      <c r="A21" s="448">
        <f t="shared" si="9"/>
        <v>17</v>
      </c>
      <c r="B21" s="448">
        <v>1529</v>
      </c>
      <c r="C21" s="448" t="s">
        <v>41</v>
      </c>
      <c r="D21" s="449">
        <v>700000</v>
      </c>
      <c r="E21" s="449">
        <v>700000</v>
      </c>
      <c r="F21" s="449">
        <f t="shared" si="0"/>
        <v>0</v>
      </c>
      <c r="G21" s="449">
        <v>500000</v>
      </c>
      <c r="H21" s="449">
        <v>417794</v>
      </c>
      <c r="I21" s="449"/>
      <c r="J21" s="449"/>
      <c r="K21" s="449">
        <f t="shared" si="1"/>
        <v>0</v>
      </c>
      <c r="L21" s="449">
        <f t="shared" si="2"/>
        <v>417794</v>
      </c>
      <c r="M21" s="450">
        <f>P21+S21-70000-10000</f>
        <v>2206</v>
      </c>
      <c r="N21" s="449">
        <f>70000-30000</f>
        <v>40000</v>
      </c>
      <c r="O21" s="449">
        <f t="shared" si="3"/>
        <v>240000</v>
      </c>
      <c r="P21" s="449">
        <f t="shared" si="4"/>
        <v>82206</v>
      </c>
      <c r="Q21" s="451"/>
      <c r="R21" s="449"/>
      <c r="S21" s="449">
        <f t="shared" si="5"/>
        <v>0</v>
      </c>
      <c r="T21" s="450">
        <f t="shared" si="6"/>
        <v>80000</v>
      </c>
      <c r="U21" s="449">
        <f t="shared" si="7"/>
        <v>-40000</v>
      </c>
      <c r="V21" s="449">
        <f t="shared" si="8"/>
        <v>-40000</v>
      </c>
      <c r="W21" s="449"/>
      <c r="X21" s="449"/>
      <c r="Y21" s="449"/>
      <c r="Z21" s="449"/>
      <c r="AA21" s="448"/>
      <c r="AB21" s="448" t="s">
        <v>303</v>
      </c>
      <c r="AC21" s="448">
        <v>760000</v>
      </c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</row>
    <row r="22" spans="1:50" s="452" customFormat="1" ht="41.4">
      <c r="A22" s="448">
        <f t="shared" si="9"/>
        <v>18</v>
      </c>
      <c r="B22" s="448">
        <v>1551</v>
      </c>
      <c r="C22" s="448" t="s">
        <v>958</v>
      </c>
      <c r="D22" s="449">
        <v>525240</v>
      </c>
      <c r="E22" s="449">
        <v>525240</v>
      </c>
      <c r="F22" s="449">
        <f t="shared" si="0"/>
        <v>0</v>
      </c>
      <c r="G22" s="449">
        <v>375240</v>
      </c>
      <c r="H22" s="449">
        <v>237203</v>
      </c>
      <c r="I22" s="449">
        <v>7492</v>
      </c>
      <c r="J22" s="449"/>
      <c r="K22" s="449">
        <f t="shared" si="1"/>
        <v>7492</v>
      </c>
      <c r="L22" s="449">
        <f t="shared" si="2"/>
        <v>244695</v>
      </c>
      <c r="M22" s="450">
        <f>P22+S22-130000</f>
        <v>545</v>
      </c>
      <c r="N22" s="449">
        <f>130000-30000-70000</f>
        <v>30000</v>
      </c>
      <c r="O22" s="449">
        <f t="shared" si="3"/>
        <v>250000</v>
      </c>
      <c r="P22" s="449">
        <f t="shared" si="4"/>
        <v>130545</v>
      </c>
      <c r="Q22" s="451"/>
      <c r="R22" s="449"/>
      <c r="S22" s="449">
        <f t="shared" si="5"/>
        <v>0</v>
      </c>
      <c r="T22" s="450">
        <f t="shared" si="6"/>
        <v>130000</v>
      </c>
      <c r="U22" s="449">
        <f t="shared" si="7"/>
        <v>-100000</v>
      </c>
      <c r="V22" s="449">
        <f t="shared" si="8"/>
        <v>-100000</v>
      </c>
      <c r="W22" s="449"/>
      <c r="X22" s="449"/>
      <c r="Y22" s="449"/>
      <c r="Z22" s="449"/>
      <c r="AA22" s="448"/>
      <c r="AB22" s="448" t="s">
        <v>483</v>
      </c>
      <c r="AC22" s="448">
        <v>732000</v>
      </c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</row>
    <row r="23" spans="1:50" s="452" customFormat="1" ht="40.200000000000003" customHeight="1">
      <c r="A23" s="448">
        <f t="shared" si="9"/>
        <v>19</v>
      </c>
      <c r="B23" s="448">
        <v>1576</v>
      </c>
      <c r="C23" s="448" t="s">
        <v>42</v>
      </c>
      <c r="D23" s="449">
        <v>1000000</v>
      </c>
      <c r="E23" s="449">
        <v>1000000</v>
      </c>
      <c r="F23" s="449">
        <f t="shared" si="0"/>
        <v>0</v>
      </c>
      <c r="G23" s="449">
        <v>450000</v>
      </c>
      <c r="H23" s="449">
        <v>376310</v>
      </c>
      <c r="I23" s="449"/>
      <c r="J23" s="449"/>
      <c r="K23" s="449">
        <f t="shared" si="1"/>
        <v>0</v>
      </c>
      <c r="L23" s="449">
        <f t="shared" si="2"/>
        <v>376310</v>
      </c>
      <c r="M23" s="450">
        <f>P23+S23-70000</f>
        <v>3690</v>
      </c>
      <c r="N23" s="449">
        <f>70000-20000</f>
        <v>50000</v>
      </c>
      <c r="O23" s="449">
        <f t="shared" si="3"/>
        <v>570000</v>
      </c>
      <c r="P23" s="449">
        <f t="shared" si="4"/>
        <v>73690</v>
      </c>
      <c r="Q23" s="451"/>
      <c r="R23" s="449"/>
      <c r="S23" s="449">
        <f t="shared" si="5"/>
        <v>0</v>
      </c>
      <c r="T23" s="450">
        <f t="shared" si="6"/>
        <v>70000</v>
      </c>
      <c r="U23" s="449">
        <f t="shared" si="7"/>
        <v>-20000</v>
      </c>
      <c r="V23" s="449">
        <f t="shared" si="8"/>
        <v>-20000</v>
      </c>
      <c r="W23" s="449"/>
      <c r="X23" s="449"/>
      <c r="Y23" s="449"/>
      <c r="Z23" s="449"/>
      <c r="AA23" s="448"/>
      <c r="AB23" s="448" t="s">
        <v>319</v>
      </c>
      <c r="AC23" s="448">
        <v>732000</v>
      </c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</row>
    <row r="24" spans="1:50" s="456" customFormat="1" ht="41.4">
      <c r="A24" s="448">
        <f t="shared" si="9"/>
        <v>20</v>
      </c>
      <c r="B24" s="448">
        <v>1587</v>
      </c>
      <c r="C24" s="448" t="s">
        <v>89</v>
      </c>
      <c r="D24" s="449">
        <v>34200000</v>
      </c>
      <c r="E24" s="449">
        <v>34200000</v>
      </c>
      <c r="F24" s="449">
        <f t="shared" si="0"/>
        <v>0</v>
      </c>
      <c r="G24" s="449">
        <v>15110000</v>
      </c>
      <c r="H24" s="449">
        <v>10204546</v>
      </c>
      <c r="I24" s="449">
        <v>1002050</v>
      </c>
      <c r="J24" s="449">
        <v>2328138</v>
      </c>
      <c r="K24" s="449">
        <f t="shared" si="1"/>
        <v>3330188</v>
      </c>
      <c r="L24" s="449">
        <f t="shared" si="2"/>
        <v>13534734</v>
      </c>
      <c r="M24" s="449">
        <f>P24+S24-1500000</f>
        <v>75266</v>
      </c>
      <c r="N24" s="449">
        <f>4500000+8800000+1500000-7400000-4400000-500000</f>
        <v>2500000</v>
      </c>
      <c r="O24" s="449">
        <f t="shared" si="3"/>
        <v>18090000</v>
      </c>
      <c r="P24" s="449">
        <f t="shared" si="4"/>
        <v>1575266</v>
      </c>
      <c r="Q24" s="451"/>
      <c r="R24" s="449"/>
      <c r="S24" s="449">
        <f t="shared" si="5"/>
        <v>0</v>
      </c>
      <c r="T24" s="450">
        <f t="shared" si="6"/>
        <v>1500000</v>
      </c>
      <c r="U24" s="449">
        <f t="shared" si="7"/>
        <v>1000000</v>
      </c>
      <c r="V24" s="449">
        <f t="shared" si="8"/>
        <v>1000000</v>
      </c>
      <c r="W24" s="449"/>
      <c r="X24" s="449"/>
      <c r="Y24" s="449"/>
      <c r="Z24" s="449"/>
      <c r="AA24" s="448"/>
      <c r="AB24" s="448" t="s">
        <v>1337</v>
      </c>
      <c r="AC24" s="448">
        <v>742000</v>
      </c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</row>
    <row r="25" spans="1:50" s="452" customFormat="1" ht="40.200000000000003" customHeight="1">
      <c r="A25" s="448">
        <f t="shared" si="9"/>
        <v>21</v>
      </c>
      <c r="B25" s="448">
        <v>1601</v>
      </c>
      <c r="C25" s="448" t="s">
        <v>35</v>
      </c>
      <c r="D25" s="449">
        <v>700000</v>
      </c>
      <c r="E25" s="449">
        <v>700000</v>
      </c>
      <c r="F25" s="449">
        <f t="shared" si="0"/>
        <v>0</v>
      </c>
      <c r="G25" s="449">
        <v>600000</v>
      </c>
      <c r="H25" s="449">
        <v>563211</v>
      </c>
      <c r="I25" s="449"/>
      <c r="J25" s="449"/>
      <c r="K25" s="449">
        <f t="shared" si="1"/>
        <v>0</v>
      </c>
      <c r="L25" s="449">
        <f t="shared" si="2"/>
        <v>563211</v>
      </c>
      <c r="M25" s="450">
        <f>P25+S25-30000</f>
        <v>6789</v>
      </c>
      <c r="N25" s="449">
        <v>50000</v>
      </c>
      <c r="O25" s="449">
        <f t="shared" si="3"/>
        <v>80000</v>
      </c>
      <c r="P25" s="449">
        <f t="shared" si="4"/>
        <v>36789</v>
      </c>
      <c r="Q25" s="451"/>
      <c r="R25" s="449"/>
      <c r="S25" s="449">
        <f t="shared" si="5"/>
        <v>0</v>
      </c>
      <c r="T25" s="450">
        <f t="shared" si="6"/>
        <v>30000</v>
      </c>
      <c r="U25" s="449">
        <f t="shared" si="7"/>
        <v>20000</v>
      </c>
      <c r="V25" s="449">
        <f t="shared" si="8"/>
        <v>20000</v>
      </c>
      <c r="W25" s="449"/>
      <c r="X25" s="449"/>
      <c r="Y25" s="449"/>
      <c r="Z25" s="449"/>
      <c r="AA25" s="448"/>
      <c r="AB25" s="448" t="s">
        <v>540</v>
      </c>
      <c r="AC25" s="448">
        <v>742000</v>
      </c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</row>
    <row r="26" spans="1:50" s="456" customFormat="1" ht="42.6" customHeight="1">
      <c r="A26" s="448">
        <f t="shared" si="9"/>
        <v>22</v>
      </c>
      <c r="B26" s="448">
        <v>1660</v>
      </c>
      <c r="C26" s="448" t="s">
        <v>20</v>
      </c>
      <c r="D26" s="449">
        <v>2000000</v>
      </c>
      <c r="E26" s="449">
        <v>2000000</v>
      </c>
      <c r="F26" s="449">
        <f t="shared" si="0"/>
        <v>0</v>
      </c>
      <c r="G26" s="449">
        <v>1300000</v>
      </c>
      <c r="H26" s="449">
        <v>425092</v>
      </c>
      <c r="I26" s="449">
        <f>173160-70200</f>
        <v>102960</v>
      </c>
      <c r="J26" s="449">
        <v>553295</v>
      </c>
      <c r="K26" s="449">
        <f t="shared" si="1"/>
        <v>656255</v>
      </c>
      <c r="L26" s="449">
        <f t="shared" si="2"/>
        <v>1081347</v>
      </c>
      <c r="M26" s="449">
        <f>P26+S26-100000-430000+382000-70000</f>
        <v>653</v>
      </c>
      <c r="N26" s="449">
        <f>400000+100000-300000-100000</f>
        <v>100000</v>
      </c>
      <c r="O26" s="449">
        <f t="shared" si="3"/>
        <v>818000</v>
      </c>
      <c r="P26" s="449">
        <f t="shared" si="4"/>
        <v>218653</v>
      </c>
      <c r="Q26" s="451"/>
      <c r="R26" s="449"/>
      <c r="S26" s="449">
        <f t="shared" si="5"/>
        <v>0</v>
      </c>
      <c r="T26" s="450">
        <f t="shared" si="6"/>
        <v>218000</v>
      </c>
      <c r="U26" s="449">
        <f t="shared" si="7"/>
        <v>-118000</v>
      </c>
      <c r="V26" s="449">
        <f t="shared" si="8"/>
        <v>-118000</v>
      </c>
      <c r="W26" s="449"/>
      <c r="X26" s="449"/>
      <c r="Y26" s="449"/>
      <c r="Z26" s="449"/>
      <c r="AA26" s="448"/>
      <c r="AB26" s="448" t="s">
        <v>1350</v>
      </c>
      <c r="AC26" s="448">
        <v>732000</v>
      </c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</row>
    <row r="27" spans="1:50" s="452" customFormat="1" ht="41.4">
      <c r="A27" s="448">
        <f t="shared" si="9"/>
        <v>23</v>
      </c>
      <c r="B27" s="448">
        <v>1692</v>
      </c>
      <c r="C27" s="448" t="s">
        <v>21</v>
      </c>
      <c r="D27" s="449">
        <v>2450000</v>
      </c>
      <c r="E27" s="449">
        <v>2450000</v>
      </c>
      <c r="F27" s="449">
        <f t="shared" si="0"/>
        <v>0</v>
      </c>
      <c r="G27" s="449">
        <v>1746509</v>
      </c>
      <c r="H27" s="449">
        <v>578671</v>
      </c>
      <c r="I27" s="449">
        <v>128716</v>
      </c>
      <c r="J27" s="449"/>
      <c r="K27" s="449">
        <f t="shared" si="1"/>
        <v>128716</v>
      </c>
      <c r="L27" s="449">
        <f t="shared" si="2"/>
        <v>707387</v>
      </c>
      <c r="M27" s="450">
        <f>P27+S27-1030000</f>
        <v>9122</v>
      </c>
      <c r="N27" s="449">
        <v>1030000</v>
      </c>
      <c r="O27" s="449">
        <f t="shared" si="3"/>
        <v>703491</v>
      </c>
      <c r="P27" s="449">
        <f t="shared" si="4"/>
        <v>1039122</v>
      </c>
      <c r="Q27" s="451"/>
      <c r="R27" s="449"/>
      <c r="S27" s="449">
        <f t="shared" si="5"/>
        <v>0</v>
      </c>
      <c r="T27" s="450">
        <f t="shared" si="6"/>
        <v>1030000</v>
      </c>
      <c r="U27" s="449">
        <f t="shared" si="7"/>
        <v>0</v>
      </c>
      <c r="V27" s="449">
        <f t="shared" si="8"/>
        <v>0</v>
      </c>
      <c r="W27" s="449"/>
      <c r="X27" s="449"/>
      <c r="Y27" s="449"/>
      <c r="Z27" s="449"/>
      <c r="AA27" s="448"/>
      <c r="AB27" s="448" t="s">
        <v>1413</v>
      </c>
      <c r="AC27" s="448">
        <v>732000</v>
      </c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</row>
    <row r="28" spans="1:50" s="452" customFormat="1" ht="40.200000000000003" customHeight="1">
      <c r="A28" s="448">
        <f t="shared" si="9"/>
        <v>24</v>
      </c>
      <c r="B28" s="448">
        <v>1701</v>
      </c>
      <c r="C28" s="448" t="s">
        <v>244</v>
      </c>
      <c r="D28" s="449">
        <v>1250000</v>
      </c>
      <c r="E28" s="449">
        <v>1250000</v>
      </c>
      <c r="F28" s="449">
        <f t="shared" si="0"/>
        <v>0</v>
      </c>
      <c r="G28" s="449">
        <v>570000</v>
      </c>
      <c r="H28" s="449">
        <v>149316</v>
      </c>
      <c r="I28" s="449">
        <v>75117</v>
      </c>
      <c r="J28" s="449"/>
      <c r="K28" s="449">
        <f t="shared" si="1"/>
        <v>75117</v>
      </c>
      <c r="L28" s="449">
        <f t="shared" si="2"/>
        <v>224433</v>
      </c>
      <c r="M28" s="450">
        <f>P28+S28-200000-145000</f>
        <v>567</v>
      </c>
      <c r="N28" s="449">
        <f>200000-100000-70000</f>
        <v>30000</v>
      </c>
      <c r="O28" s="449">
        <f t="shared" si="3"/>
        <v>995000</v>
      </c>
      <c r="P28" s="449">
        <f t="shared" si="4"/>
        <v>345567</v>
      </c>
      <c r="Q28" s="451"/>
      <c r="R28" s="449"/>
      <c r="S28" s="449">
        <f t="shared" si="5"/>
        <v>0</v>
      </c>
      <c r="T28" s="450">
        <f t="shared" si="6"/>
        <v>345000</v>
      </c>
      <c r="U28" s="449">
        <f t="shared" si="7"/>
        <v>-315000</v>
      </c>
      <c r="V28" s="449">
        <f t="shared" si="8"/>
        <v>-315000</v>
      </c>
      <c r="W28" s="449"/>
      <c r="X28" s="449"/>
      <c r="Y28" s="449"/>
      <c r="Z28" s="449"/>
      <c r="AA28" s="448"/>
      <c r="AB28" s="448" t="s">
        <v>485</v>
      </c>
      <c r="AC28" s="448">
        <v>732000</v>
      </c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2"/>
      <c r="AR28" s="422"/>
      <c r="AS28" s="422"/>
      <c r="AT28" s="422"/>
      <c r="AU28" s="422"/>
      <c r="AV28" s="422"/>
      <c r="AW28" s="422"/>
      <c r="AX28" s="422"/>
    </row>
    <row r="29" spans="1:50" s="452" customFormat="1" ht="40.200000000000003" customHeight="1">
      <c r="A29" s="448">
        <f t="shared" si="9"/>
        <v>25</v>
      </c>
      <c r="B29" s="448">
        <v>1722</v>
      </c>
      <c r="C29" s="448" t="s">
        <v>36</v>
      </c>
      <c r="D29" s="449">
        <f>2400000-2239000-2000</f>
        <v>159000</v>
      </c>
      <c r="E29" s="449">
        <v>2400000</v>
      </c>
      <c r="F29" s="449">
        <f t="shared" si="0"/>
        <v>-2241000</v>
      </c>
      <c r="G29" s="449">
        <v>300000</v>
      </c>
      <c r="H29" s="449">
        <v>108736</v>
      </c>
      <c r="I29" s="449">
        <f>67053-67053</f>
        <v>0</v>
      </c>
      <c r="J29" s="449"/>
      <c r="K29" s="449">
        <f t="shared" si="1"/>
        <v>0</v>
      </c>
      <c r="L29" s="449">
        <f t="shared" si="2"/>
        <v>108736</v>
      </c>
      <c r="M29" s="450">
        <f>P29+S29-120000-69000-2000</f>
        <v>264</v>
      </c>
      <c r="N29" s="449">
        <f>120000-70000</f>
        <v>50000</v>
      </c>
      <c r="O29" s="449">
        <f t="shared" si="3"/>
        <v>0</v>
      </c>
      <c r="P29" s="449">
        <f t="shared" si="4"/>
        <v>191264</v>
      </c>
      <c r="Q29" s="451"/>
      <c r="R29" s="449"/>
      <c r="S29" s="449">
        <f t="shared" si="5"/>
        <v>0</v>
      </c>
      <c r="T29" s="450">
        <f t="shared" si="6"/>
        <v>191000</v>
      </c>
      <c r="U29" s="449">
        <f t="shared" si="7"/>
        <v>-141000</v>
      </c>
      <c r="V29" s="449">
        <f t="shared" si="8"/>
        <v>-141000</v>
      </c>
      <c r="W29" s="449"/>
      <c r="X29" s="449"/>
      <c r="Y29" s="449"/>
      <c r="Z29" s="449"/>
      <c r="AA29" s="448"/>
      <c r="AB29" s="448" t="s">
        <v>245</v>
      </c>
      <c r="AC29" s="448">
        <v>742000</v>
      </c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  <c r="AP29" s="422"/>
      <c r="AQ29" s="422"/>
      <c r="AR29" s="422"/>
      <c r="AS29" s="422"/>
      <c r="AT29" s="422"/>
      <c r="AU29" s="422"/>
      <c r="AV29" s="422"/>
      <c r="AW29" s="422"/>
      <c r="AX29" s="422"/>
    </row>
    <row r="30" spans="1:50" s="456" customFormat="1" ht="40.200000000000003" customHeight="1">
      <c r="A30" s="448">
        <f t="shared" si="9"/>
        <v>26</v>
      </c>
      <c r="B30" s="448">
        <v>1744</v>
      </c>
      <c r="C30" s="448" t="s">
        <v>37</v>
      </c>
      <c r="D30" s="449">
        <v>13000000</v>
      </c>
      <c r="E30" s="449">
        <v>13000000</v>
      </c>
      <c r="F30" s="449">
        <f t="shared" si="0"/>
        <v>0</v>
      </c>
      <c r="G30" s="449">
        <v>7200000</v>
      </c>
      <c r="H30" s="449">
        <v>6067198</v>
      </c>
      <c r="I30" s="449"/>
      <c r="J30" s="449">
        <v>674849</v>
      </c>
      <c r="K30" s="449">
        <f t="shared" si="1"/>
        <v>674849</v>
      </c>
      <c r="L30" s="449">
        <f t="shared" si="2"/>
        <v>6742047</v>
      </c>
      <c r="M30" s="450">
        <f>P30+S30-450000</f>
        <v>7953</v>
      </c>
      <c r="N30" s="449">
        <f>450000-250000</f>
        <v>200000</v>
      </c>
      <c r="O30" s="449">
        <f t="shared" si="3"/>
        <v>6050000</v>
      </c>
      <c r="P30" s="449">
        <f t="shared" si="4"/>
        <v>457953</v>
      </c>
      <c r="Q30" s="451"/>
      <c r="R30" s="449"/>
      <c r="S30" s="449">
        <f t="shared" si="5"/>
        <v>0</v>
      </c>
      <c r="T30" s="450">
        <f t="shared" si="6"/>
        <v>450000</v>
      </c>
      <c r="U30" s="449">
        <f t="shared" si="7"/>
        <v>-250000</v>
      </c>
      <c r="V30" s="449">
        <f t="shared" si="8"/>
        <v>-250000</v>
      </c>
      <c r="W30" s="449"/>
      <c r="X30" s="449"/>
      <c r="Y30" s="449"/>
      <c r="Z30" s="449"/>
      <c r="AA30" s="448"/>
      <c r="AB30" s="448" t="s">
        <v>787</v>
      </c>
      <c r="AC30" s="448">
        <v>742000</v>
      </c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</row>
    <row r="31" spans="1:50" s="452" customFormat="1" ht="55.2" customHeight="1">
      <c r="A31" s="448">
        <f t="shared" si="9"/>
        <v>27</v>
      </c>
      <c r="B31" s="448">
        <v>1756</v>
      </c>
      <c r="C31" s="448" t="s">
        <v>436</v>
      </c>
      <c r="D31" s="449">
        <v>1700000</v>
      </c>
      <c r="E31" s="449">
        <v>1700000</v>
      </c>
      <c r="F31" s="449">
        <f t="shared" si="0"/>
        <v>0</v>
      </c>
      <c r="G31" s="449">
        <v>955000</v>
      </c>
      <c r="H31" s="449">
        <v>511535</v>
      </c>
      <c r="I31" s="449"/>
      <c r="J31" s="449">
        <v>119855</v>
      </c>
      <c r="K31" s="449">
        <f t="shared" si="1"/>
        <v>119855</v>
      </c>
      <c r="L31" s="449">
        <f t="shared" si="2"/>
        <v>631390</v>
      </c>
      <c r="M31" s="450">
        <f>P31+S31-320000</f>
        <v>3610</v>
      </c>
      <c r="N31" s="449">
        <f>320000-200000-50000+5000</f>
        <v>75000</v>
      </c>
      <c r="O31" s="449">
        <f t="shared" si="3"/>
        <v>990000</v>
      </c>
      <c r="P31" s="449">
        <f t="shared" si="4"/>
        <v>323610</v>
      </c>
      <c r="Q31" s="451"/>
      <c r="R31" s="449"/>
      <c r="S31" s="449">
        <f t="shared" si="5"/>
        <v>0</v>
      </c>
      <c r="T31" s="450">
        <f t="shared" si="6"/>
        <v>320000</v>
      </c>
      <c r="U31" s="449">
        <f t="shared" si="7"/>
        <v>-245000</v>
      </c>
      <c r="V31" s="449">
        <f t="shared" si="8"/>
        <v>-245000</v>
      </c>
      <c r="W31" s="449"/>
      <c r="X31" s="449"/>
      <c r="Y31" s="449"/>
      <c r="Z31" s="449"/>
      <c r="AA31" s="448"/>
      <c r="AB31" s="455" t="s">
        <v>969</v>
      </c>
      <c r="AC31" s="448">
        <v>732000</v>
      </c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</row>
    <row r="32" spans="1:50" s="457" customFormat="1" ht="40.200000000000003" customHeight="1">
      <c r="A32" s="448">
        <f t="shared" si="9"/>
        <v>28</v>
      </c>
      <c r="B32" s="448">
        <v>1843</v>
      </c>
      <c r="C32" s="448" t="s">
        <v>97</v>
      </c>
      <c r="D32" s="449">
        <v>380000</v>
      </c>
      <c r="E32" s="449">
        <v>380000</v>
      </c>
      <c r="F32" s="449">
        <f t="shared" si="0"/>
        <v>0</v>
      </c>
      <c r="G32" s="449">
        <v>0</v>
      </c>
      <c r="H32" s="449"/>
      <c r="I32" s="449"/>
      <c r="J32" s="449"/>
      <c r="K32" s="449">
        <f t="shared" si="1"/>
        <v>0</v>
      </c>
      <c r="L32" s="449">
        <f t="shared" si="2"/>
        <v>0</v>
      </c>
      <c r="M32" s="450">
        <f>P32+S32</f>
        <v>0</v>
      </c>
      <c r="N32" s="449"/>
      <c r="O32" s="449">
        <f t="shared" si="3"/>
        <v>380000</v>
      </c>
      <c r="P32" s="449">
        <f t="shared" si="4"/>
        <v>0</v>
      </c>
      <c r="Q32" s="451"/>
      <c r="R32" s="449"/>
      <c r="S32" s="449">
        <f t="shared" si="5"/>
        <v>0</v>
      </c>
      <c r="T32" s="450">
        <f t="shared" si="6"/>
        <v>0</v>
      </c>
      <c r="U32" s="449">
        <f t="shared" si="7"/>
        <v>0</v>
      </c>
      <c r="V32" s="449">
        <f t="shared" si="8"/>
        <v>0</v>
      </c>
      <c r="W32" s="449"/>
      <c r="X32" s="449"/>
      <c r="Y32" s="449"/>
      <c r="Z32" s="449"/>
      <c r="AA32" s="448"/>
      <c r="AB32" s="448" t="s">
        <v>586</v>
      </c>
      <c r="AC32" s="448">
        <v>732000</v>
      </c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</row>
    <row r="33" spans="1:50" s="456" customFormat="1" ht="55.2">
      <c r="A33" s="448">
        <f t="shared" si="9"/>
        <v>29</v>
      </c>
      <c r="B33" s="448">
        <v>1937</v>
      </c>
      <c r="C33" s="448" t="s">
        <v>324</v>
      </c>
      <c r="D33" s="449">
        <f>1050000-590000-395765</f>
        <v>64235</v>
      </c>
      <c r="E33" s="449">
        <v>1050000</v>
      </c>
      <c r="F33" s="449">
        <f t="shared" si="0"/>
        <v>-985765</v>
      </c>
      <c r="G33" s="449">
        <v>650000</v>
      </c>
      <c r="H33" s="449">
        <v>64235</v>
      </c>
      <c r="I33" s="449">
        <f>244936-244936</f>
        <v>0</v>
      </c>
      <c r="J33" s="449"/>
      <c r="K33" s="449">
        <f t="shared" si="1"/>
        <v>0</v>
      </c>
      <c r="L33" s="449">
        <f t="shared" si="2"/>
        <v>64235</v>
      </c>
      <c r="M33" s="450">
        <f>P33+S33-190000-395765</f>
        <v>0</v>
      </c>
      <c r="N33" s="449">
        <f>190000-190000</f>
        <v>0</v>
      </c>
      <c r="O33" s="449">
        <f t="shared" si="3"/>
        <v>0</v>
      </c>
      <c r="P33" s="449">
        <f t="shared" si="4"/>
        <v>585765</v>
      </c>
      <c r="Q33" s="451"/>
      <c r="R33" s="449"/>
      <c r="S33" s="449">
        <f t="shared" si="5"/>
        <v>0</v>
      </c>
      <c r="T33" s="450">
        <f t="shared" si="6"/>
        <v>585765</v>
      </c>
      <c r="U33" s="449">
        <f t="shared" si="7"/>
        <v>-585765</v>
      </c>
      <c r="V33" s="449">
        <f t="shared" si="8"/>
        <v>-585765</v>
      </c>
      <c r="W33" s="449"/>
      <c r="X33" s="449"/>
      <c r="Y33" s="449"/>
      <c r="Z33" s="449"/>
      <c r="AA33" s="448"/>
      <c r="AB33" s="448" t="s">
        <v>1380</v>
      </c>
      <c r="AC33" s="448">
        <v>732000</v>
      </c>
      <c r="AD33" s="422"/>
      <c r="AE33" s="422"/>
      <c r="AF33" s="422"/>
      <c r="AG33" s="422"/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</row>
    <row r="34" spans="1:50" s="456" customFormat="1" ht="41.4">
      <c r="A34" s="448">
        <f t="shared" si="9"/>
        <v>30</v>
      </c>
      <c r="B34" s="455">
        <v>2105</v>
      </c>
      <c r="C34" s="448" t="s">
        <v>321</v>
      </c>
      <c r="D34" s="449">
        <v>60000000</v>
      </c>
      <c r="E34" s="449">
        <v>60000000</v>
      </c>
      <c r="F34" s="449">
        <f t="shared" si="0"/>
        <v>0</v>
      </c>
      <c r="G34" s="449">
        <v>400000</v>
      </c>
      <c r="H34" s="449">
        <v>49428</v>
      </c>
      <c r="I34" s="449"/>
      <c r="J34" s="449">
        <v>217768</v>
      </c>
      <c r="K34" s="449">
        <f t="shared" si="1"/>
        <v>217768</v>
      </c>
      <c r="L34" s="449">
        <f t="shared" si="2"/>
        <v>267196</v>
      </c>
      <c r="M34" s="450">
        <f>P34+S34-100000-140000+108000</f>
        <v>804</v>
      </c>
      <c r="N34" s="449">
        <f>5000000-1500000+200000-2600000-1100000</f>
        <v>0</v>
      </c>
      <c r="O34" s="449">
        <f t="shared" si="3"/>
        <v>59732000</v>
      </c>
      <c r="P34" s="449">
        <f t="shared" si="4"/>
        <v>132804</v>
      </c>
      <c r="Q34" s="451"/>
      <c r="R34" s="449"/>
      <c r="S34" s="449">
        <f t="shared" si="5"/>
        <v>0</v>
      </c>
      <c r="T34" s="450">
        <f t="shared" si="6"/>
        <v>132000</v>
      </c>
      <c r="U34" s="449">
        <f t="shared" si="7"/>
        <v>-132000</v>
      </c>
      <c r="V34" s="449">
        <f t="shared" si="8"/>
        <v>-132000</v>
      </c>
      <c r="W34" s="449"/>
      <c r="X34" s="449"/>
      <c r="Y34" s="449"/>
      <c r="Z34" s="449"/>
      <c r="AA34" s="448"/>
      <c r="AB34" s="455" t="s">
        <v>1405</v>
      </c>
      <c r="AC34" s="448">
        <v>742000</v>
      </c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</row>
    <row r="35" spans="1:50" s="452" customFormat="1" ht="40.200000000000003" customHeight="1">
      <c r="A35" s="448">
        <f t="shared" si="9"/>
        <v>31</v>
      </c>
      <c r="B35" s="448">
        <v>2112</v>
      </c>
      <c r="C35" s="448" t="s">
        <v>364</v>
      </c>
      <c r="D35" s="449">
        <v>7650000</v>
      </c>
      <c r="E35" s="449">
        <v>7650000</v>
      </c>
      <c r="F35" s="449">
        <f t="shared" si="0"/>
        <v>0</v>
      </c>
      <c r="G35" s="449">
        <v>1230000</v>
      </c>
      <c r="H35" s="449">
        <v>508427</v>
      </c>
      <c r="I35" s="449"/>
      <c r="J35" s="449"/>
      <c r="K35" s="449">
        <f t="shared" si="1"/>
        <v>0</v>
      </c>
      <c r="L35" s="449">
        <f t="shared" si="2"/>
        <v>508427</v>
      </c>
      <c r="M35" s="450">
        <f>P35+S35-500000-220000</f>
        <v>1573</v>
      </c>
      <c r="N35" s="449">
        <v>50000</v>
      </c>
      <c r="O35" s="449">
        <f t="shared" si="3"/>
        <v>7090000</v>
      </c>
      <c r="P35" s="449">
        <f t="shared" si="4"/>
        <v>721573</v>
      </c>
      <c r="Q35" s="451"/>
      <c r="R35" s="449"/>
      <c r="S35" s="449">
        <f t="shared" si="5"/>
        <v>0</v>
      </c>
      <c r="T35" s="450">
        <f t="shared" si="6"/>
        <v>720000</v>
      </c>
      <c r="U35" s="449">
        <f t="shared" si="7"/>
        <v>-670000</v>
      </c>
      <c r="V35" s="449">
        <f t="shared" si="8"/>
        <v>0</v>
      </c>
      <c r="W35" s="449">
        <v>-670000</v>
      </c>
      <c r="X35" s="449"/>
      <c r="Y35" s="449"/>
      <c r="Z35" s="449"/>
      <c r="AA35" s="448"/>
      <c r="AB35" s="458" t="s">
        <v>1381</v>
      </c>
      <c r="AC35" s="448">
        <v>732000</v>
      </c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</row>
    <row r="36" spans="1:50" s="456" customFormat="1" ht="40.200000000000003" customHeight="1">
      <c r="A36" s="448">
        <f t="shared" si="9"/>
        <v>32</v>
      </c>
      <c r="B36" s="448">
        <v>2113</v>
      </c>
      <c r="C36" s="448" t="s">
        <v>251</v>
      </c>
      <c r="D36" s="449">
        <v>2550000</v>
      </c>
      <c r="E36" s="449">
        <v>2550000</v>
      </c>
      <c r="F36" s="449">
        <f t="shared" si="0"/>
        <v>0</v>
      </c>
      <c r="G36" s="449">
        <v>200000</v>
      </c>
      <c r="H36" s="449">
        <v>116513</v>
      </c>
      <c r="I36" s="449"/>
      <c r="J36" s="449"/>
      <c r="K36" s="449">
        <f t="shared" si="1"/>
        <v>0</v>
      </c>
      <c r="L36" s="449">
        <f t="shared" si="2"/>
        <v>116513</v>
      </c>
      <c r="M36" s="450">
        <f>P36+S36-150000-30000</f>
        <v>3487</v>
      </c>
      <c r="N36" s="449">
        <f>250000+150000-250000-50000</f>
        <v>100000</v>
      </c>
      <c r="O36" s="449">
        <f t="shared" si="3"/>
        <v>2330000</v>
      </c>
      <c r="P36" s="449">
        <f t="shared" si="4"/>
        <v>83487</v>
      </c>
      <c r="Q36" s="451">
        <v>100000</v>
      </c>
      <c r="R36" s="449"/>
      <c r="S36" s="449">
        <f t="shared" si="5"/>
        <v>100000</v>
      </c>
      <c r="T36" s="450">
        <f t="shared" si="6"/>
        <v>180000</v>
      </c>
      <c r="U36" s="449">
        <f t="shared" si="7"/>
        <v>-80000</v>
      </c>
      <c r="V36" s="449">
        <f t="shared" si="8"/>
        <v>0</v>
      </c>
      <c r="W36" s="449">
        <v>-80000</v>
      </c>
      <c r="X36" s="449"/>
      <c r="Y36" s="449"/>
      <c r="Z36" s="449"/>
      <c r="AA36" s="448"/>
      <c r="AB36" s="458" t="s">
        <v>543</v>
      </c>
      <c r="AC36" s="448">
        <v>732000</v>
      </c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</row>
    <row r="37" spans="1:50" s="456" customFormat="1" ht="41.4">
      <c r="A37" s="448">
        <f t="shared" si="9"/>
        <v>33</v>
      </c>
      <c r="B37" s="448">
        <v>2114</v>
      </c>
      <c r="C37" s="448" t="s">
        <v>304</v>
      </c>
      <c r="D37" s="449">
        <f>1450000-1366000-44500-7471</f>
        <v>32029</v>
      </c>
      <c r="E37" s="449">
        <v>1450000</v>
      </c>
      <c r="F37" s="449">
        <f t="shared" ref="F37:F60" si="10">D37-E37</f>
        <v>-1417971</v>
      </c>
      <c r="G37" s="449">
        <v>84000</v>
      </c>
      <c r="H37" s="449">
        <v>32029</v>
      </c>
      <c r="I37" s="449"/>
      <c r="J37" s="449"/>
      <c r="K37" s="449">
        <f t="shared" ref="K37:K60" si="11">SUM(I37:J37)</f>
        <v>0</v>
      </c>
      <c r="L37" s="449">
        <f t="shared" ref="L37:L60" si="12">H37+K37</f>
        <v>32029</v>
      </c>
      <c r="M37" s="450">
        <f>P37+S37-44500-7471</f>
        <v>0</v>
      </c>
      <c r="N37" s="449"/>
      <c r="O37" s="449">
        <f t="shared" ref="O37:O60" si="13">D37-L37-M37-N37</f>
        <v>0</v>
      </c>
      <c r="P37" s="449">
        <f t="shared" ref="P37:P60" si="14">G37-L37</f>
        <v>51971</v>
      </c>
      <c r="Q37" s="451"/>
      <c r="R37" s="449"/>
      <c r="S37" s="449">
        <f t="shared" ref="S37:S60" si="15">SUM(Q37:R37)</f>
        <v>0</v>
      </c>
      <c r="T37" s="450">
        <f t="shared" ref="T37:T60" si="16">P37-M37+S37</f>
        <v>51971</v>
      </c>
      <c r="U37" s="449">
        <f t="shared" ref="U37:U60" si="17">N37-T37</f>
        <v>-51971</v>
      </c>
      <c r="V37" s="449">
        <f t="shared" ref="V37:V60" si="18">U37-AA37-W37-Z37-Y37-X37</f>
        <v>-51971</v>
      </c>
      <c r="W37" s="449"/>
      <c r="X37" s="449"/>
      <c r="Y37" s="449"/>
      <c r="Z37" s="449"/>
      <c r="AA37" s="448"/>
      <c r="AB37" s="448" t="s">
        <v>1368</v>
      </c>
      <c r="AC37" s="448">
        <v>732000</v>
      </c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</row>
    <row r="38" spans="1:50" s="456" customFormat="1" ht="40.200000000000003" customHeight="1">
      <c r="A38" s="448">
        <f t="shared" ref="A38:A61" si="19">A37+1</f>
        <v>34</v>
      </c>
      <c r="B38" s="448">
        <v>2117</v>
      </c>
      <c r="C38" s="448" t="s">
        <v>486</v>
      </c>
      <c r="D38" s="449">
        <v>750000</v>
      </c>
      <c r="E38" s="449">
        <v>750000</v>
      </c>
      <c r="F38" s="449">
        <f t="shared" si="10"/>
        <v>0</v>
      </c>
      <c r="G38" s="449">
        <v>350000</v>
      </c>
      <c r="H38" s="449">
        <v>80553</v>
      </c>
      <c r="I38" s="449"/>
      <c r="J38" s="449">
        <v>131985</v>
      </c>
      <c r="K38" s="449">
        <f t="shared" si="11"/>
        <v>131985</v>
      </c>
      <c r="L38" s="449">
        <f t="shared" si="12"/>
        <v>212538</v>
      </c>
      <c r="M38" s="450">
        <f>P38+S38-130000</f>
        <v>7462</v>
      </c>
      <c r="N38" s="449">
        <f>130000-80000</f>
        <v>50000</v>
      </c>
      <c r="O38" s="449">
        <f t="shared" si="13"/>
        <v>480000</v>
      </c>
      <c r="P38" s="449">
        <f t="shared" si="14"/>
        <v>137462</v>
      </c>
      <c r="Q38" s="451"/>
      <c r="R38" s="449"/>
      <c r="S38" s="449">
        <f t="shared" si="15"/>
        <v>0</v>
      </c>
      <c r="T38" s="450">
        <f t="shared" si="16"/>
        <v>130000</v>
      </c>
      <c r="U38" s="449">
        <f t="shared" si="17"/>
        <v>-80000</v>
      </c>
      <c r="V38" s="449">
        <f t="shared" si="18"/>
        <v>-80000</v>
      </c>
      <c r="W38" s="449"/>
      <c r="X38" s="449"/>
      <c r="Y38" s="449"/>
      <c r="Z38" s="449"/>
      <c r="AA38" s="448"/>
      <c r="AB38" s="448" t="s">
        <v>487</v>
      </c>
      <c r="AC38" s="448">
        <v>732000</v>
      </c>
      <c r="AD38" s="422"/>
      <c r="AE38" s="422"/>
      <c r="AF38" s="422"/>
      <c r="AG38" s="422"/>
      <c r="AH38" s="422"/>
      <c r="AI38" s="422"/>
      <c r="AJ38" s="422"/>
      <c r="AK38" s="422"/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422"/>
      <c r="AX38" s="422"/>
    </row>
    <row r="39" spans="1:50" s="452" customFormat="1" ht="41.4">
      <c r="A39" s="448">
        <f t="shared" si="19"/>
        <v>35</v>
      </c>
      <c r="B39" s="455">
        <v>2121</v>
      </c>
      <c r="C39" s="448" t="s">
        <v>322</v>
      </c>
      <c r="D39" s="449">
        <v>1290000</v>
      </c>
      <c r="E39" s="449">
        <v>1290000</v>
      </c>
      <c r="F39" s="449">
        <f t="shared" si="10"/>
        <v>0</v>
      </c>
      <c r="G39" s="449">
        <v>1100000</v>
      </c>
      <c r="H39" s="449">
        <v>158135</v>
      </c>
      <c r="I39" s="449"/>
      <c r="J39" s="449">
        <v>147859</v>
      </c>
      <c r="K39" s="449">
        <f t="shared" si="11"/>
        <v>147859</v>
      </c>
      <c r="L39" s="449">
        <f t="shared" si="12"/>
        <v>305994</v>
      </c>
      <c r="M39" s="450">
        <f>P39+S39-790000</f>
        <v>4006</v>
      </c>
      <c r="N39" s="449">
        <f>790000+190000-100000</f>
        <v>880000</v>
      </c>
      <c r="O39" s="449">
        <f t="shared" si="13"/>
        <v>100000</v>
      </c>
      <c r="P39" s="449">
        <f t="shared" si="14"/>
        <v>794006</v>
      </c>
      <c r="Q39" s="451"/>
      <c r="R39" s="449"/>
      <c r="S39" s="449">
        <f t="shared" si="15"/>
        <v>0</v>
      </c>
      <c r="T39" s="450">
        <f t="shared" si="16"/>
        <v>790000</v>
      </c>
      <c r="U39" s="449">
        <f t="shared" si="17"/>
        <v>90000</v>
      </c>
      <c r="V39" s="449">
        <f t="shared" si="18"/>
        <v>90000</v>
      </c>
      <c r="W39" s="449"/>
      <c r="X39" s="449"/>
      <c r="Y39" s="449"/>
      <c r="Z39" s="449"/>
      <c r="AA39" s="450"/>
      <c r="AB39" s="448" t="s">
        <v>1414</v>
      </c>
      <c r="AC39" s="448">
        <v>742000</v>
      </c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</row>
    <row r="40" spans="1:50" s="452" customFormat="1" ht="40.200000000000003" customHeight="1">
      <c r="A40" s="448">
        <f t="shared" si="19"/>
        <v>36</v>
      </c>
      <c r="B40" s="448">
        <v>2142</v>
      </c>
      <c r="C40" s="448" t="s">
        <v>405</v>
      </c>
      <c r="D40" s="449">
        <f>2250000-269000</f>
        <v>1981000</v>
      </c>
      <c r="E40" s="449">
        <v>2250000</v>
      </c>
      <c r="F40" s="449">
        <f t="shared" si="10"/>
        <v>-269000</v>
      </c>
      <c r="G40" s="449">
        <v>2250000</v>
      </c>
      <c r="H40" s="449">
        <v>1975860</v>
      </c>
      <c r="I40" s="449"/>
      <c r="J40" s="449">
        <v>1475</v>
      </c>
      <c r="K40" s="449">
        <f t="shared" si="11"/>
        <v>1475</v>
      </c>
      <c r="L40" s="449">
        <f t="shared" si="12"/>
        <v>1977335</v>
      </c>
      <c r="M40" s="450">
        <f>P40+S40-265000-4000</f>
        <v>3665</v>
      </c>
      <c r="N40" s="449"/>
      <c r="O40" s="449">
        <f t="shared" si="13"/>
        <v>0</v>
      </c>
      <c r="P40" s="449">
        <f t="shared" si="14"/>
        <v>272665</v>
      </c>
      <c r="Q40" s="451"/>
      <c r="R40" s="449"/>
      <c r="S40" s="449">
        <f t="shared" si="15"/>
        <v>0</v>
      </c>
      <c r="T40" s="450">
        <f t="shared" si="16"/>
        <v>269000</v>
      </c>
      <c r="U40" s="449">
        <f t="shared" si="17"/>
        <v>-269000</v>
      </c>
      <c r="V40" s="449">
        <f t="shared" si="18"/>
        <v>-269000</v>
      </c>
      <c r="W40" s="449"/>
      <c r="X40" s="449"/>
      <c r="Y40" s="449"/>
      <c r="Z40" s="449"/>
      <c r="AA40" s="448"/>
      <c r="AB40" s="448" t="s">
        <v>1338</v>
      </c>
      <c r="AC40" s="448">
        <v>742000</v>
      </c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</row>
    <row r="41" spans="1:50" s="452" customFormat="1" ht="40.200000000000003" customHeight="1">
      <c r="A41" s="448">
        <f t="shared" si="19"/>
        <v>37</v>
      </c>
      <c r="B41" s="455">
        <v>2143</v>
      </c>
      <c r="C41" s="448" t="s">
        <v>406</v>
      </c>
      <c r="D41" s="449">
        <v>850000</v>
      </c>
      <c r="E41" s="449">
        <v>850000</v>
      </c>
      <c r="F41" s="449">
        <f t="shared" si="10"/>
        <v>0</v>
      </c>
      <c r="G41" s="449">
        <v>650000</v>
      </c>
      <c r="H41" s="449">
        <v>642993</v>
      </c>
      <c r="I41" s="449"/>
      <c r="J41" s="449">
        <v>5270</v>
      </c>
      <c r="K41" s="449">
        <f t="shared" si="11"/>
        <v>5270</v>
      </c>
      <c r="L41" s="449">
        <f t="shared" si="12"/>
        <v>648263</v>
      </c>
      <c r="M41" s="449">
        <f>P41+S41</f>
        <v>1737</v>
      </c>
      <c r="N41" s="449">
        <v>200000</v>
      </c>
      <c r="O41" s="449">
        <f t="shared" si="13"/>
        <v>0</v>
      </c>
      <c r="P41" s="449">
        <f t="shared" si="14"/>
        <v>1737</v>
      </c>
      <c r="Q41" s="451"/>
      <c r="R41" s="449"/>
      <c r="S41" s="449">
        <f t="shared" si="15"/>
        <v>0</v>
      </c>
      <c r="T41" s="450">
        <f t="shared" si="16"/>
        <v>0</v>
      </c>
      <c r="U41" s="449">
        <f t="shared" si="17"/>
        <v>200000</v>
      </c>
      <c r="V41" s="449">
        <f t="shared" si="18"/>
        <v>200000</v>
      </c>
      <c r="W41" s="449"/>
      <c r="X41" s="449"/>
      <c r="Y41" s="449"/>
      <c r="Z41" s="449"/>
      <c r="AA41" s="448"/>
      <c r="AB41" s="448" t="s">
        <v>970</v>
      </c>
      <c r="AC41" s="448">
        <v>732000</v>
      </c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</row>
    <row r="42" spans="1:50" s="452" customFormat="1" ht="40.200000000000003" customHeight="1">
      <c r="A42" s="448">
        <f t="shared" si="19"/>
        <v>38</v>
      </c>
      <c r="B42" s="455">
        <v>2190</v>
      </c>
      <c r="C42" s="448" t="s">
        <v>489</v>
      </c>
      <c r="D42" s="449">
        <f>250000-207382</f>
        <v>42618</v>
      </c>
      <c r="E42" s="449">
        <v>250000</v>
      </c>
      <c r="F42" s="449">
        <f t="shared" si="10"/>
        <v>-207382</v>
      </c>
      <c r="G42" s="449">
        <v>250000</v>
      </c>
      <c r="H42" s="449">
        <v>42618</v>
      </c>
      <c r="I42" s="449"/>
      <c r="J42" s="449"/>
      <c r="K42" s="449">
        <f t="shared" si="11"/>
        <v>0</v>
      </c>
      <c r="L42" s="449">
        <f t="shared" si="12"/>
        <v>42618</v>
      </c>
      <c r="M42" s="450">
        <f>P42+S42-207382</f>
        <v>0</v>
      </c>
      <c r="N42" s="449"/>
      <c r="O42" s="449">
        <f t="shared" si="13"/>
        <v>0</v>
      </c>
      <c r="P42" s="449">
        <f t="shared" si="14"/>
        <v>207382</v>
      </c>
      <c r="Q42" s="451"/>
      <c r="R42" s="449"/>
      <c r="S42" s="449">
        <f t="shared" si="15"/>
        <v>0</v>
      </c>
      <c r="T42" s="450">
        <f t="shared" si="16"/>
        <v>207382</v>
      </c>
      <c r="U42" s="449">
        <f t="shared" si="17"/>
        <v>-207382</v>
      </c>
      <c r="V42" s="449">
        <f t="shared" si="18"/>
        <v>-62215</v>
      </c>
      <c r="W42" s="449"/>
      <c r="X42" s="449"/>
      <c r="Y42" s="449"/>
      <c r="Z42" s="449"/>
      <c r="AA42" s="449">
        <v>-145167</v>
      </c>
      <c r="AB42" s="448" t="s">
        <v>1423</v>
      </c>
      <c r="AC42" s="448">
        <v>742000</v>
      </c>
      <c r="AD42" s="422"/>
      <c r="AE42" s="422"/>
      <c r="AF42" s="422"/>
      <c r="AG42" s="422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</row>
    <row r="43" spans="1:50" s="452" customFormat="1" ht="41.4">
      <c r="A43" s="448">
        <f t="shared" si="19"/>
        <v>39</v>
      </c>
      <c r="B43" s="455">
        <v>2192</v>
      </c>
      <c r="C43" s="448" t="s">
        <v>492</v>
      </c>
      <c r="D43" s="449">
        <v>20400000</v>
      </c>
      <c r="E43" s="449">
        <v>20400000</v>
      </c>
      <c r="F43" s="449">
        <f t="shared" si="10"/>
        <v>0</v>
      </c>
      <c r="G43" s="449">
        <v>100000</v>
      </c>
      <c r="H43" s="449"/>
      <c r="I43" s="449"/>
      <c r="J43" s="449"/>
      <c r="K43" s="449">
        <f t="shared" si="11"/>
        <v>0</v>
      </c>
      <c r="L43" s="449">
        <f t="shared" si="12"/>
        <v>0</v>
      </c>
      <c r="M43" s="449">
        <f>P43+S43-100000</f>
        <v>0</v>
      </c>
      <c r="N43" s="449">
        <f>100000-50000</f>
        <v>50000</v>
      </c>
      <c r="O43" s="449">
        <f t="shared" si="13"/>
        <v>20350000</v>
      </c>
      <c r="P43" s="449">
        <f t="shared" si="14"/>
        <v>100000</v>
      </c>
      <c r="Q43" s="451"/>
      <c r="R43" s="449"/>
      <c r="S43" s="449">
        <f t="shared" si="15"/>
        <v>0</v>
      </c>
      <c r="T43" s="450">
        <f t="shared" si="16"/>
        <v>100000</v>
      </c>
      <c r="U43" s="449">
        <f t="shared" si="17"/>
        <v>-50000</v>
      </c>
      <c r="V43" s="449">
        <f t="shared" si="18"/>
        <v>-50000</v>
      </c>
      <c r="W43" s="449"/>
      <c r="X43" s="449"/>
      <c r="Y43" s="449"/>
      <c r="Z43" s="449"/>
      <c r="AA43" s="448"/>
      <c r="AB43" s="448" t="s">
        <v>506</v>
      </c>
      <c r="AC43" s="448">
        <v>742000</v>
      </c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</row>
    <row r="44" spans="1:50" s="452" customFormat="1" ht="41.4">
      <c r="A44" s="448">
        <f t="shared" si="19"/>
        <v>40</v>
      </c>
      <c r="B44" s="455">
        <v>2193</v>
      </c>
      <c r="C44" s="448" t="s">
        <v>493</v>
      </c>
      <c r="D44" s="449">
        <v>500000</v>
      </c>
      <c r="E44" s="449">
        <v>500000</v>
      </c>
      <c r="F44" s="449">
        <f t="shared" si="10"/>
        <v>0</v>
      </c>
      <c r="G44" s="449">
        <v>200000</v>
      </c>
      <c r="H44" s="449">
        <v>10489</v>
      </c>
      <c r="I44" s="449"/>
      <c r="J44" s="449">
        <v>75007</v>
      </c>
      <c r="K44" s="449">
        <f t="shared" si="11"/>
        <v>75007</v>
      </c>
      <c r="L44" s="449">
        <f t="shared" si="12"/>
        <v>85496</v>
      </c>
      <c r="M44" s="450">
        <f>P44+S44-100000</f>
        <v>14504</v>
      </c>
      <c r="N44" s="449">
        <f>200000+100000-100000-50000</f>
        <v>150000</v>
      </c>
      <c r="O44" s="449">
        <f t="shared" si="13"/>
        <v>250000</v>
      </c>
      <c r="P44" s="449">
        <f t="shared" si="14"/>
        <v>114504</v>
      </c>
      <c r="Q44" s="451"/>
      <c r="R44" s="449"/>
      <c r="S44" s="449">
        <f t="shared" si="15"/>
        <v>0</v>
      </c>
      <c r="T44" s="450">
        <f t="shared" si="16"/>
        <v>100000</v>
      </c>
      <c r="U44" s="449">
        <f t="shared" si="17"/>
        <v>50000</v>
      </c>
      <c r="V44" s="449">
        <f t="shared" si="18"/>
        <v>50000</v>
      </c>
      <c r="W44" s="449"/>
      <c r="X44" s="449"/>
      <c r="Y44" s="449"/>
      <c r="Z44" s="449"/>
      <c r="AA44" s="448"/>
      <c r="AB44" s="448" t="s">
        <v>1424</v>
      </c>
      <c r="AC44" s="448">
        <v>742000</v>
      </c>
      <c r="AD44" s="422"/>
      <c r="AE44" s="422"/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</row>
    <row r="45" spans="1:50" s="452" customFormat="1" ht="40.200000000000003" customHeight="1">
      <c r="A45" s="448">
        <f t="shared" si="19"/>
        <v>41</v>
      </c>
      <c r="B45" s="455">
        <v>2199</v>
      </c>
      <c r="C45" s="448" t="s">
        <v>499</v>
      </c>
      <c r="D45" s="449">
        <v>1000000</v>
      </c>
      <c r="E45" s="449">
        <v>1000000</v>
      </c>
      <c r="F45" s="449">
        <f t="shared" si="10"/>
        <v>0</v>
      </c>
      <c r="G45" s="449">
        <v>150000</v>
      </c>
      <c r="H45" s="449">
        <v>58970</v>
      </c>
      <c r="I45" s="449"/>
      <c r="J45" s="449"/>
      <c r="K45" s="449">
        <f t="shared" si="11"/>
        <v>0</v>
      </c>
      <c r="L45" s="449">
        <f t="shared" si="12"/>
        <v>58970</v>
      </c>
      <c r="M45" s="450">
        <f>P45+S45-135000+44000</f>
        <v>30</v>
      </c>
      <c r="N45" s="449">
        <f>135000-35000-50000</f>
        <v>50000</v>
      </c>
      <c r="O45" s="449">
        <f t="shared" si="13"/>
        <v>891000</v>
      </c>
      <c r="P45" s="449">
        <f t="shared" si="14"/>
        <v>91030</v>
      </c>
      <c r="Q45" s="451"/>
      <c r="R45" s="449"/>
      <c r="S45" s="449">
        <f t="shared" si="15"/>
        <v>0</v>
      </c>
      <c r="T45" s="450">
        <f t="shared" si="16"/>
        <v>91000</v>
      </c>
      <c r="U45" s="449">
        <f t="shared" si="17"/>
        <v>-41000</v>
      </c>
      <c r="V45" s="449">
        <f t="shared" si="18"/>
        <v>-41000</v>
      </c>
      <c r="W45" s="449"/>
      <c r="X45" s="449"/>
      <c r="Y45" s="449"/>
      <c r="Z45" s="449"/>
      <c r="AA45" s="448"/>
      <c r="AB45" s="448" t="s">
        <v>669</v>
      </c>
      <c r="AC45" s="448">
        <v>732000</v>
      </c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</row>
    <row r="46" spans="1:50" s="452" customFormat="1" ht="41.4">
      <c r="A46" s="448">
        <f t="shared" si="19"/>
        <v>42</v>
      </c>
      <c r="B46" s="455">
        <v>2200</v>
      </c>
      <c r="C46" s="448" t="s">
        <v>500</v>
      </c>
      <c r="D46" s="449">
        <v>1700000</v>
      </c>
      <c r="E46" s="449">
        <v>1700000</v>
      </c>
      <c r="F46" s="449">
        <f t="shared" si="10"/>
        <v>0</v>
      </c>
      <c r="G46" s="449">
        <v>150000</v>
      </c>
      <c r="H46" s="449">
        <v>19086</v>
      </c>
      <c r="I46" s="449"/>
      <c r="J46" s="449">
        <v>53381</v>
      </c>
      <c r="K46" s="449">
        <f t="shared" si="11"/>
        <v>53381</v>
      </c>
      <c r="L46" s="449">
        <f t="shared" si="12"/>
        <v>72467</v>
      </c>
      <c r="M46" s="450">
        <f>P46+S46-50000-55000+28000</f>
        <v>533</v>
      </c>
      <c r="N46" s="449">
        <f>400000-200000-100000</f>
        <v>100000</v>
      </c>
      <c r="O46" s="449">
        <f t="shared" si="13"/>
        <v>1527000</v>
      </c>
      <c r="P46" s="449">
        <f t="shared" si="14"/>
        <v>77533</v>
      </c>
      <c r="Q46" s="451"/>
      <c r="R46" s="449"/>
      <c r="S46" s="449">
        <f t="shared" si="15"/>
        <v>0</v>
      </c>
      <c r="T46" s="450">
        <f t="shared" si="16"/>
        <v>77000</v>
      </c>
      <c r="U46" s="449">
        <f t="shared" si="17"/>
        <v>23000</v>
      </c>
      <c r="V46" s="449">
        <f t="shared" si="18"/>
        <v>23000</v>
      </c>
      <c r="W46" s="449"/>
      <c r="X46" s="449"/>
      <c r="Y46" s="449"/>
      <c r="Z46" s="449"/>
      <c r="AA46" s="448"/>
      <c r="AB46" s="448" t="s">
        <v>1362</v>
      </c>
      <c r="AC46" s="448">
        <v>732000</v>
      </c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</row>
    <row r="47" spans="1:50" s="452" customFormat="1" ht="41.4">
      <c r="A47" s="448">
        <f t="shared" si="19"/>
        <v>43</v>
      </c>
      <c r="B47" s="455">
        <v>20000</v>
      </c>
      <c r="C47" s="448" t="s">
        <v>587</v>
      </c>
      <c r="D47" s="449">
        <v>2500000</v>
      </c>
      <c r="E47" s="449">
        <v>2500000</v>
      </c>
      <c r="F47" s="449">
        <f t="shared" si="10"/>
        <v>0</v>
      </c>
      <c r="G47" s="449">
        <v>0</v>
      </c>
      <c r="H47" s="449"/>
      <c r="I47" s="449"/>
      <c r="J47" s="449"/>
      <c r="K47" s="449">
        <f t="shared" si="11"/>
        <v>0</v>
      </c>
      <c r="L47" s="449">
        <f t="shared" si="12"/>
        <v>0</v>
      </c>
      <c r="M47" s="450">
        <f>P47+S47</f>
        <v>0</v>
      </c>
      <c r="N47" s="449">
        <f>400000-150000-150000</f>
        <v>100000</v>
      </c>
      <c r="O47" s="449">
        <f t="shared" si="13"/>
        <v>2400000</v>
      </c>
      <c r="P47" s="449">
        <f t="shared" si="14"/>
        <v>0</v>
      </c>
      <c r="Q47" s="451"/>
      <c r="R47" s="449"/>
      <c r="S47" s="449">
        <f t="shared" si="15"/>
        <v>0</v>
      </c>
      <c r="T47" s="450">
        <f t="shared" si="16"/>
        <v>0</v>
      </c>
      <c r="U47" s="449">
        <f t="shared" si="17"/>
        <v>100000</v>
      </c>
      <c r="V47" s="449">
        <f t="shared" si="18"/>
        <v>100000</v>
      </c>
      <c r="W47" s="449"/>
      <c r="X47" s="449"/>
      <c r="Y47" s="449"/>
      <c r="Z47" s="449"/>
      <c r="AA47" s="448"/>
      <c r="AB47" s="448" t="s">
        <v>1369</v>
      </c>
      <c r="AC47" s="448">
        <v>732000</v>
      </c>
      <c r="AD47" s="422"/>
      <c r="AE47" s="422"/>
      <c r="AF47" s="422"/>
      <c r="AG47" s="422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422"/>
      <c r="AX47" s="422"/>
    </row>
    <row r="48" spans="1:50" s="452" customFormat="1" ht="40.200000000000003" customHeight="1">
      <c r="A48" s="448">
        <f t="shared" si="19"/>
        <v>44</v>
      </c>
      <c r="B48" s="455">
        <v>20001</v>
      </c>
      <c r="C48" s="448" t="s">
        <v>653</v>
      </c>
      <c r="D48" s="449">
        <v>3200000</v>
      </c>
      <c r="E48" s="449">
        <v>3200000</v>
      </c>
      <c r="F48" s="449">
        <f t="shared" si="10"/>
        <v>0</v>
      </c>
      <c r="G48" s="449">
        <v>150000</v>
      </c>
      <c r="H48" s="449">
        <v>7728</v>
      </c>
      <c r="I48" s="449"/>
      <c r="J48" s="449">
        <v>101040</v>
      </c>
      <c r="K48" s="449">
        <f t="shared" si="11"/>
        <v>101040</v>
      </c>
      <c r="L48" s="449">
        <f t="shared" si="12"/>
        <v>108768</v>
      </c>
      <c r="M48" s="450">
        <f>P48+S48</f>
        <v>41232</v>
      </c>
      <c r="N48" s="449">
        <f>3050000-3050000</f>
        <v>0</v>
      </c>
      <c r="O48" s="449">
        <f t="shared" si="13"/>
        <v>3050000</v>
      </c>
      <c r="P48" s="449">
        <f t="shared" si="14"/>
        <v>41232</v>
      </c>
      <c r="Q48" s="451"/>
      <c r="R48" s="449"/>
      <c r="S48" s="449">
        <f t="shared" si="15"/>
        <v>0</v>
      </c>
      <c r="T48" s="450">
        <f t="shared" si="16"/>
        <v>0</v>
      </c>
      <c r="U48" s="449">
        <f t="shared" si="17"/>
        <v>0</v>
      </c>
      <c r="V48" s="449">
        <f t="shared" si="18"/>
        <v>0</v>
      </c>
      <c r="W48" s="449"/>
      <c r="X48" s="449"/>
      <c r="Y48" s="449"/>
      <c r="Z48" s="449"/>
      <c r="AA48" s="448"/>
      <c r="AB48" s="448" t="s">
        <v>971</v>
      </c>
      <c r="AC48" s="448">
        <v>742000</v>
      </c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</row>
    <row r="49" spans="1:58" s="452" customFormat="1" ht="40.200000000000003" customHeight="1">
      <c r="A49" s="448">
        <f t="shared" si="19"/>
        <v>45</v>
      </c>
      <c r="B49" s="455">
        <v>20002</v>
      </c>
      <c r="C49" s="448" t="s">
        <v>588</v>
      </c>
      <c r="D49" s="449">
        <v>5800000</v>
      </c>
      <c r="E49" s="449">
        <v>5800000</v>
      </c>
      <c r="F49" s="449">
        <f t="shared" si="10"/>
        <v>0</v>
      </c>
      <c r="G49" s="449">
        <f>500000+2500000</f>
        <v>3000000</v>
      </c>
      <c r="H49" s="449">
        <v>2653536</v>
      </c>
      <c r="I49" s="449"/>
      <c r="J49" s="449">
        <f>341657-46800</f>
        <v>294857</v>
      </c>
      <c r="K49" s="449">
        <f t="shared" si="11"/>
        <v>294857</v>
      </c>
      <c r="L49" s="449">
        <f t="shared" si="12"/>
        <v>2948393</v>
      </c>
      <c r="M49" s="450">
        <f>P49+S49-50000</f>
        <v>1607</v>
      </c>
      <c r="N49" s="449">
        <f>5000000-2200000-800000</f>
        <v>2000000</v>
      </c>
      <c r="O49" s="449">
        <f t="shared" si="13"/>
        <v>850000</v>
      </c>
      <c r="P49" s="449">
        <f t="shared" si="14"/>
        <v>51607</v>
      </c>
      <c r="Q49" s="451"/>
      <c r="R49" s="449"/>
      <c r="S49" s="449">
        <f t="shared" si="15"/>
        <v>0</v>
      </c>
      <c r="T49" s="450">
        <f t="shared" si="16"/>
        <v>50000</v>
      </c>
      <c r="U49" s="449">
        <f t="shared" si="17"/>
        <v>1950000</v>
      </c>
      <c r="V49" s="449">
        <f t="shared" si="18"/>
        <v>1950000</v>
      </c>
      <c r="W49" s="449"/>
      <c r="X49" s="449"/>
      <c r="Y49" s="449"/>
      <c r="Z49" s="449"/>
      <c r="AA49" s="448"/>
      <c r="AB49" s="448" t="s">
        <v>654</v>
      </c>
      <c r="AC49" s="448">
        <v>742000</v>
      </c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</row>
    <row r="50" spans="1:58" s="452" customFormat="1" ht="40.200000000000003" customHeight="1">
      <c r="A50" s="448">
        <f t="shared" si="19"/>
        <v>46</v>
      </c>
      <c r="B50" s="455">
        <v>20005</v>
      </c>
      <c r="C50" s="448" t="s">
        <v>590</v>
      </c>
      <c r="D50" s="449">
        <v>1685000</v>
      </c>
      <c r="E50" s="449">
        <v>1685000</v>
      </c>
      <c r="F50" s="449">
        <f t="shared" si="10"/>
        <v>0</v>
      </c>
      <c r="G50" s="449">
        <v>0</v>
      </c>
      <c r="H50" s="449"/>
      <c r="I50" s="449"/>
      <c r="J50" s="449"/>
      <c r="K50" s="449">
        <f t="shared" si="11"/>
        <v>0</v>
      </c>
      <c r="L50" s="449">
        <f t="shared" si="12"/>
        <v>0</v>
      </c>
      <c r="M50" s="450">
        <f>P50+S50</f>
        <v>0</v>
      </c>
      <c r="N50" s="449"/>
      <c r="O50" s="449">
        <f t="shared" si="13"/>
        <v>1685000</v>
      </c>
      <c r="P50" s="449">
        <f t="shared" si="14"/>
        <v>0</v>
      </c>
      <c r="Q50" s="451"/>
      <c r="R50" s="449"/>
      <c r="S50" s="449">
        <f t="shared" si="15"/>
        <v>0</v>
      </c>
      <c r="T50" s="450">
        <f t="shared" si="16"/>
        <v>0</v>
      </c>
      <c r="U50" s="449">
        <f t="shared" si="17"/>
        <v>0</v>
      </c>
      <c r="V50" s="449">
        <f t="shared" si="18"/>
        <v>0</v>
      </c>
      <c r="W50" s="449"/>
      <c r="X50" s="449"/>
      <c r="Y50" s="449"/>
      <c r="Z50" s="449"/>
      <c r="AA50" s="448"/>
      <c r="AB50" s="448" t="s">
        <v>591</v>
      </c>
      <c r="AC50" s="448">
        <v>746000</v>
      </c>
      <c r="AD50" s="422"/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</row>
    <row r="51" spans="1:58" s="452" customFormat="1" ht="40.200000000000003" customHeight="1">
      <c r="A51" s="448">
        <f t="shared" si="19"/>
        <v>47</v>
      </c>
      <c r="B51" s="455">
        <v>20006</v>
      </c>
      <c r="C51" s="448" t="s">
        <v>592</v>
      </c>
      <c r="D51" s="449">
        <v>4000000</v>
      </c>
      <c r="E51" s="449">
        <v>4000000</v>
      </c>
      <c r="F51" s="449">
        <f t="shared" si="10"/>
        <v>0</v>
      </c>
      <c r="G51" s="449">
        <v>0</v>
      </c>
      <c r="H51" s="449"/>
      <c r="I51" s="449"/>
      <c r="J51" s="449"/>
      <c r="K51" s="449">
        <f t="shared" si="11"/>
        <v>0</v>
      </c>
      <c r="L51" s="449">
        <f t="shared" si="12"/>
        <v>0</v>
      </c>
      <c r="M51" s="450">
        <f>P51+S51</f>
        <v>0</v>
      </c>
      <c r="N51" s="449"/>
      <c r="O51" s="449">
        <f t="shared" si="13"/>
        <v>4000000</v>
      </c>
      <c r="P51" s="449">
        <f t="shared" si="14"/>
        <v>0</v>
      </c>
      <c r="Q51" s="451"/>
      <c r="R51" s="449"/>
      <c r="S51" s="449">
        <f t="shared" si="15"/>
        <v>0</v>
      </c>
      <c r="T51" s="450">
        <f t="shared" si="16"/>
        <v>0</v>
      </c>
      <c r="U51" s="449">
        <f t="shared" si="17"/>
        <v>0</v>
      </c>
      <c r="V51" s="449">
        <f t="shared" si="18"/>
        <v>0</v>
      </c>
      <c r="W51" s="449"/>
      <c r="X51" s="449"/>
      <c r="Y51" s="449"/>
      <c r="Z51" s="449"/>
      <c r="AA51" s="448"/>
      <c r="AB51" s="448" t="s">
        <v>593</v>
      </c>
      <c r="AC51" s="448">
        <v>746000</v>
      </c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</row>
    <row r="52" spans="1:58" s="452" customFormat="1" ht="40.200000000000003" customHeight="1">
      <c r="A52" s="448">
        <f t="shared" si="19"/>
        <v>48</v>
      </c>
      <c r="B52" s="455">
        <v>20007</v>
      </c>
      <c r="C52" s="448" t="s">
        <v>594</v>
      </c>
      <c r="D52" s="449">
        <v>700000</v>
      </c>
      <c r="E52" s="449">
        <v>700000</v>
      </c>
      <c r="F52" s="449">
        <f t="shared" si="10"/>
        <v>0</v>
      </c>
      <c r="G52" s="449">
        <v>0</v>
      </c>
      <c r="H52" s="449"/>
      <c r="I52" s="449"/>
      <c r="J52" s="449"/>
      <c r="K52" s="449">
        <f t="shared" si="11"/>
        <v>0</v>
      </c>
      <c r="L52" s="449">
        <f t="shared" si="12"/>
        <v>0</v>
      </c>
      <c r="M52" s="450">
        <f>P52+S52</f>
        <v>0</v>
      </c>
      <c r="N52" s="449"/>
      <c r="O52" s="449">
        <f t="shared" si="13"/>
        <v>700000</v>
      </c>
      <c r="P52" s="449">
        <f t="shared" si="14"/>
        <v>0</v>
      </c>
      <c r="Q52" s="451"/>
      <c r="R52" s="449"/>
      <c r="S52" s="449">
        <f t="shared" si="15"/>
        <v>0</v>
      </c>
      <c r="T52" s="450">
        <f t="shared" si="16"/>
        <v>0</v>
      </c>
      <c r="U52" s="449">
        <f t="shared" si="17"/>
        <v>0</v>
      </c>
      <c r="V52" s="449">
        <f t="shared" si="18"/>
        <v>0</v>
      </c>
      <c r="W52" s="449"/>
      <c r="X52" s="449"/>
      <c r="Y52" s="449"/>
      <c r="Z52" s="449"/>
      <c r="AA52" s="448"/>
      <c r="AB52" s="448" t="s">
        <v>595</v>
      </c>
      <c r="AC52" s="448">
        <v>746000</v>
      </c>
      <c r="AD52" s="422"/>
      <c r="AE52" s="422"/>
      <c r="AF52" s="422"/>
      <c r="AG52" s="422"/>
      <c r="AH52" s="422"/>
      <c r="AI52" s="422"/>
      <c r="AJ52" s="422"/>
      <c r="AK52" s="422"/>
      <c r="AL52" s="422"/>
      <c r="AM52" s="422"/>
      <c r="AN52" s="422"/>
      <c r="AO52" s="422"/>
      <c r="AP52" s="422"/>
      <c r="AQ52" s="422"/>
      <c r="AR52" s="422"/>
      <c r="AS52" s="422"/>
      <c r="AT52" s="422"/>
      <c r="AU52" s="422"/>
      <c r="AV52" s="422"/>
      <c r="AW52" s="422"/>
      <c r="AX52" s="422"/>
    </row>
    <row r="53" spans="1:58" s="452" customFormat="1" ht="40.200000000000003" customHeight="1">
      <c r="A53" s="448">
        <f t="shared" si="19"/>
        <v>49</v>
      </c>
      <c r="B53" s="455">
        <v>20008</v>
      </c>
      <c r="C53" s="448" t="s">
        <v>596</v>
      </c>
      <c r="D53" s="449">
        <v>1900000</v>
      </c>
      <c r="E53" s="449">
        <v>1900000</v>
      </c>
      <c r="F53" s="449">
        <f t="shared" si="10"/>
        <v>0</v>
      </c>
      <c r="G53" s="449">
        <v>0</v>
      </c>
      <c r="H53" s="449"/>
      <c r="I53" s="449"/>
      <c r="J53" s="449"/>
      <c r="K53" s="449">
        <f t="shared" si="11"/>
        <v>0</v>
      </c>
      <c r="L53" s="449">
        <f t="shared" si="12"/>
        <v>0</v>
      </c>
      <c r="M53" s="450">
        <f>P53+S53</f>
        <v>0</v>
      </c>
      <c r="N53" s="449">
        <f>400000-400000</f>
        <v>0</v>
      </c>
      <c r="O53" s="449">
        <f t="shared" si="13"/>
        <v>1900000</v>
      </c>
      <c r="P53" s="449">
        <f t="shared" si="14"/>
        <v>0</v>
      </c>
      <c r="Q53" s="451"/>
      <c r="R53" s="449"/>
      <c r="S53" s="449">
        <f t="shared" si="15"/>
        <v>0</v>
      </c>
      <c r="T53" s="450">
        <f t="shared" si="16"/>
        <v>0</v>
      </c>
      <c r="U53" s="449">
        <f t="shared" si="17"/>
        <v>0</v>
      </c>
      <c r="V53" s="449">
        <f t="shared" si="18"/>
        <v>0</v>
      </c>
      <c r="W53" s="449"/>
      <c r="X53" s="449"/>
      <c r="Y53" s="449"/>
      <c r="Z53" s="449"/>
      <c r="AA53" s="448"/>
      <c r="AB53" s="448" t="s">
        <v>597</v>
      </c>
      <c r="AC53" s="448">
        <v>732000</v>
      </c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</row>
    <row r="54" spans="1:58" s="452" customFormat="1" ht="40.200000000000003" customHeight="1">
      <c r="A54" s="448">
        <f t="shared" si="19"/>
        <v>50</v>
      </c>
      <c r="B54" s="455">
        <v>20056</v>
      </c>
      <c r="C54" s="448" t="s">
        <v>727</v>
      </c>
      <c r="D54" s="449">
        <v>1500000</v>
      </c>
      <c r="E54" s="449">
        <v>1500000</v>
      </c>
      <c r="F54" s="449">
        <f t="shared" si="10"/>
        <v>0</v>
      </c>
      <c r="G54" s="449">
        <v>140000</v>
      </c>
      <c r="H54" s="449">
        <v>2749</v>
      </c>
      <c r="I54" s="449"/>
      <c r="J54" s="449">
        <v>81811</v>
      </c>
      <c r="K54" s="449">
        <f t="shared" si="11"/>
        <v>81811</v>
      </c>
      <c r="L54" s="449">
        <f t="shared" si="12"/>
        <v>84560</v>
      </c>
      <c r="M54" s="450">
        <f>P54+S54-55000</f>
        <v>440</v>
      </c>
      <c r="N54" s="449">
        <f>100000+10000+55000</f>
        <v>165000</v>
      </c>
      <c r="O54" s="449">
        <f t="shared" si="13"/>
        <v>1250000</v>
      </c>
      <c r="P54" s="449">
        <f t="shared" si="14"/>
        <v>55440</v>
      </c>
      <c r="Q54" s="451"/>
      <c r="R54" s="449"/>
      <c r="S54" s="449">
        <f t="shared" si="15"/>
        <v>0</v>
      </c>
      <c r="T54" s="450">
        <f t="shared" si="16"/>
        <v>55000</v>
      </c>
      <c r="U54" s="449">
        <f t="shared" si="17"/>
        <v>110000</v>
      </c>
      <c r="V54" s="449">
        <f t="shared" si="18"/>
        <v>-65000</v>
      </c>
      <c r="W54" s="449"/>
      <c r="X54" s="449"/>
      <c r="Y54" s="449"/>
      <c r="Z54" s="449"/>
      <c r="AA54" s="449">
        <v>175000</v>
      </c>
      <c r="AB54" s="448" t="s">
        <v>1415</v>
      </c>
      <c r="AC54" s="448">
        <v>742000</v>
      </c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2"/>
      <c r="AR54" s="422"/>
      <c r="AS54" s="422"/>
      <c r="AT54" s="422"/>
      <c r="AU54" s="422"/>
      <c r="AV54" s="422"/>
      <c r="AW54" s="422"/>
      <c r="AX54" s="422"/>
    </row>
    <row r="55" spans="1:58" s="452" customFormat="1" ht="55.2">
      <c r="A55" s="448">
        <f t="shared" si="19"/>
        <v>51</v>
      </c>
      <c r="B55" s="455">
        <v>20058</v>
      </c>
      <c r="C55" s="448" t="s">
        <v>729</v>
      </c>
      <c r="D55" s="449">
        <v>800000</v>
      </c>
      <c r="E55" s="449">
        <v>800000</v>
      </c>
      <c r="F55" s="449">
        <f t="shared" si="10"/>
        <v>0</v>
      </c>
      <c r="G55" s="449">
        <v>60000</v>
      </c>
      <c r="H55" s="449">
        <v>35252</v>
      </c>
      <c r="I55" s="449"/>
      <c r="J55" s="449">
        <v>29396</v>
      </c>
      <c r="K55" s="449">
        <f t="shared" si="11"/>
        <v>29396</v>
      </c>
      <c r="L55" s="449">
        <f t="shared" si="12"/>
        <v>64648</v>
      </c>
      <c r="M55" s="450">
        <f>P55+S55-16500-18000</f>
        <v>852</v>
      </c>
      <c r="N55" s="449">
        <f>500000+60000-260000-150000-50000</f>
        <v>100000</v>
      </c>
      <c r="O55" s="449">
        <f t="shared" si="13"/>
        <v>634500</v>
      </c>
      <c r="P55" s="449">
        <f t="shared" si="14"/>
        <v>-4648</v>
      </c>
      <c r="Q55" s="451">
        <v>40000</v>
      </c>
      <c r="R55" s="449"/>
      <c r="S55" s="449">
        <f t="shared" si="15"/>
        <v>40000</v>
      </c>
      <c r="T55" s="450">
        <f t="shared" si="16"/>
        <v>34500</v>
      </c>
      <c r="U55" s="449">
        <f t="shared" si="17"/>
        <v>65500</v>
      </c>
      <c r="V55" s="449">
        <f t="shared" si="18"/>
        <v>65500</v>
      </c>
      <c r="W55" s="449"/>
      <c r="X55" s="449"/>
      <c r="Y55" s="449"/>
      <c r="Z55" s="449"/>
      <c r="AA55" s="448"/>
      <c r="AB55" s="448" t="s">
        <v>1425</v>
      </c>
      <c r="AC55" s="448">
        <v>732000</v>
      </c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</row>
    <row r="56" spans="1:58" s="452" customFormat="1" ht="40.200000000000003" customHeight="1">
      <c r="A56" s="448">
        <f t="shared" si="19"/>
        <v>52</v>
      </c>
      <c r="B56" s="455">
        <v>20059</v>
      </c>
      <c r="C56" s="448" t="s">
        <v>730</v>
      </c>
      <c r="D56" s="449">
        <v>530000</v>
      </c>
      <c r="E56" s="449">
        <v>530000</v>
      </c>
      <c r="F56" s="449">
        <f t="shared" si="10"/>
        <v>0</v>
      </c>
      <c r="G56" s="449">
        <v>0</v>
      </c>
      <c r="H56" s="449"/>
      <c r="I56" s="449"/>
      <c r="J56" s="449"/>
      <c r="K56" s="449">
        <f t="shared" si="11"/>
        <v>0</v>
      </c>
      <c r="L56" s="449">
        <f t="shared" si="12"/>
        <v>0</v>
      </c>
      <c r="M56" s="450">
        <f>P56+S56</f>
        <v>0</v>
      </c>
      <c r="N56" s="449"/>
      <c r="O56" s="449">
        <f t="shared" si="13"/>
        <v>530000</v>
      </c>
      <c r="P56" s="449">
        <f t="shared" si="14"/>
        <v>0</v>
      </c>
      <c r="Q56" s="451"/>
      <c r="R56" s="449"/>
      <c r="S56" s="449">
        <f t="shared" si="15"/>
        <v>0</v>
      </c>
      <c r="T56" s="450">
        <f t="shared" si="16"/>
        <v>0</v>
      </c>
      <c r="U56" s="449">
        <f t="shared" si="17"/>
        <v>0</v>
      </c>
      <c r="V56" s="449">
        <f t="shared" si="18"/>
        <v>0</v>
      </c>
      <c r="W56" s="449"/>
      <c r="X56" s="449"/>
      <c r="Y56" s="449"/>
      <c r="Z56" s="449"/>
      <c r="AA56" s="448"/>
      <c r="AB56" s="448" t="s">
        <v>731</v>
      </c>
      <c r="AC56" s="448">
        <v>742000</v>
      </c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2"/>
      <c r="AO56" s="422"/>
      <c r="AP56" s="422"/>
      <c r="AQ56" s="422"/>
      <c r="AR56" s="422"/>
      <c r="AS56" s="422"/>
      <c r="AT56" s="422"/>
      <c r="AU56" s="422"/>
      <c r="AV56" s="422"/>
      <c r="AW56" s="422"/>
      <c r="AX56" s="422"/>
    </row>
    <row r="57" spans="1:58" s="452" customFormat="1" ht="40.200000000000003" customHeight="1">
      <c r="A57" s="448">
        <f t="shared" si="19"/>
        <v>53</v>
      </c>
      <c r="B57" s="455">
        <v>20060</v>
      </c>
      <c r="C57" s="448" t="s">
        <v>732</v>
      </c>
      <c r="D57" s="449">
        <v>640000</v>
      </c>
      <c r="E57" s="449">
        <v>640000</v>
      </c>
      <c r="F57" s="449">
        <f t="shared" si="10"/>
        <v>0</v>
      </c>
      <c r="G57" s="449">
        <v>0</v>
      </c>
      <c r="H57" s="449"/>
      <c r="I57" s="449"/>
      <c r="J57" s="449"/>
      <c r="K57" s="449">
        <f t="shared" si="11"/>
        <v>0</v>
      </c>
      <c r="L57" s="449">
        <f t="shared" si="12"/>
        <v>0</v>
      </c>
      <c r="M57" s="450">
        <f>P57+S57</f>
        <v>0</v>
      </c>
      <c r="N57" s="449">
        <f>250000-150000</f>
        <v>100000</v>
      </c>
      <c r="O57" s="449">
        <f t="shared" si="13"/>
        <v>540000</v>
      </c>
      <c r="P57" s="449">
        <f t="shared" si="14"/>
        <v>0</v>
      </c>
      <c r="Q57" s="451"/>
      <c r="R57" s="449"/>
      <c r="S57" s="449">
        <f t="shared" si="15"/>
        <v>0</v>
      </c>
      <c r="T57" s="450">
        <f t="shared" si="16"/>
        <v>0</v>
      </c>
      <c r="U57" s="449">
        <f t="shared" si="17"/>
        <v>100000</v>
      </c>
      <c r="V57" s="449">
        <f t="shared" si="18"/>
        <v>100000</v>
      </c>
      <c r="W57" s="449"/>
      <c r="X57" s="449"/>
      <c r="Y57" s="449"/>
      <c r="Z57" s="449"/>
      <c r="AA57" s="449"/>
      <c r="AB57" s="448" t="s">
        <v>879</v>
      </c>
      <c r="AC57" s="448">
        <v>732000</v>
      </c>
      <c r="AD57" s="422"/>
      <c r="AE57" s="422"/>
      <c r="AF57" s="422"/>
      <c r="AG57" s="422"/>
      <c r="AH57" s="422"/>
      <c r="AI57" s="422"/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</row>
    <row r="58" spans="1:58" s="452" customFormat="1" ht="40.200000000000003" customHeight="1">
      <c r="A58" s="448">
        <f t="shared" si="19"/>
        <v>54</v>
      </c>
      <c r="B58" s="455">
        <v>20061</v>
      </c>
      <c r="C58" s="448" t="s">
        <v>782</v>
      </c>
      <c r="D58" s="449">
        <v>700000</v>
      </c>
      <c r="E58" s="449">
        <v>700000</v>
      </c>
      <c r="F58" s="449">
        <f t="shared" si="10"/>
        <v>0</v>
      </c>
      <c r="G58" s="449">
        <v>0</v>
      </c>
      <c r="H58" s="449"/>
      <c r="I58" s="449"/>
      <c r="J58" s="449"/>
      <c r="K58" s="449">
        <f t="shared" si="11"/>
        <v>0</v>
      </c>
      <c r="L58" s="449">
        <f t="shared" si="12"/>
        <v>0</v>
      </c>
      <c r="M58" s="450">
        <f>P58+S58</f>
        <v>0</v>
      </c>
      <c r="N58" s="449">
        <f>500000-250000-150000-50000</f>
        <v>50000</v>
      </c>
      <c r="O58" s="449">
        <f t="shared" si="13"/>
        <v>650000</v>
      </c>
      <c r="P58" s="449">
        <f t="shared" si="14"/>
        <v>0</v>
      </c>
      <c r="Q58" s="451"/>
      <c r="R58" s="449"/>
      <c r="S58" s="449">
        <f t="shared" si="15"/>
        <v>0</v>
      </c>
      <c r="T58" s="450">
        <f t="shared" si="16"/>
        <v>0</v>
      </c>
      <c r="U58" s="449">
        <f t="shared" si="17"/>
        <v>50000</v>
      </c>
      <c r="V58" s="449">
        <f t="shared" si="18"/>
        <v>50000</v>
      </c>
      <c r="W58" s="449"/>
      <c r="X58" s="449"/>
      <c r="Y58" s="449"/>
      <c r="Z58" s="449"/>
      <c r="AA58" s="449"/>
      <c r="AB58" s="455" t="s">
        <v>880</v>
      </c>
      <c r="AC58" s="448">
        <v>732000</v>
      </c>
      <c r="AD58" s="422"/>
      <c r="AE58" s="422"/>
      <c r="AF58" s="422"/>
      <c r="AG58" s="422"/>
      <c r="AH58" s="422"/>
      <c r="AI58" s="422"/>
      <c r="AJ58" s="422"/>
      <c r="AK58" s="422"/>
      <c r="AL58" s="422"/>
      <c r="AM58" s="422"/>
      <c r="AN58" s="422"/>
      <c r="AO58" s="422"/>
      <c r="AP58" s="422"/>
      <c r="AQ58" s="422"/>
      <c r="AR58" s="422"/>
      <c r="AS58" s="422"/>
      <c r="AT58" s="422"/>
      <c r="AU58" s="422"/>
      <c r="AV58" s="422"/>
      <c r="AW58" s="422"/>
      <c r="AX58" s="422"/>
    </row>
    <row r="59" spans="1:58" s="452" customFormat="1" ht="41.4">
      <c r="A59" s="448">
        <f t="shared" si="19"/>
        <v>55</v>
      </c>
      <c r="B59" s="455">
        <v>20062</v>
      </c>
      <c r="C59" s="448" t="s">
        <v>28</v>
      </c>
      <c r="D59" s="449">
        <f>50000+250000</f>
        <v>300000</v>
      </c>
      <c r="E59" s="449">
        <v>50000</v>
      </c>
      <c r="F59" s="449">
        <f t="shared" si="10"/>
        <v>250000</v>
      </c>
      <c r="G59" s="449">
        <v>0</v>
      </c>
      <c r="H59" s="449"/>
      <c r="I59" s="449"/>
      <c r="J59" s="449"/>
      <c r="K59" s="449">
        <f t="shared" si="11"/>
        <v>0</v>
      </c>
      <c r="L59" s="449">
        <f t="shared" si="12"/>
        <v>0</v>
      </c>
      <c r="M59" s="450">
        <f>P59+S59</f>
        <v>0</v>
      </c>
      <c r="N59" s="449">
        <f>100000-30000-30000</f>
        <v>40000</v>
      </c>
      <c r="O59" s="449">
        <f t="shared" si="13"/>
        <v>260000</v>
      </c>
      <c r="P59" s="449">
        <f t="shared" si="14"/>
        <v>0</v>
      </c>
      <c r="Q59" s="451"/>
      <c r="R59" s="449"/>
      <c r="S59" s="449">
        <f t="shared" si="15"/>
        <v>0</v>
      </c>
      <c r="T59" s="450">
        <f t="shared" si="16"/>
        <v>0</v>
      </c>
      <c r="U59" s="449">
        <f t="shared" si="17"/>
        <v>40000</v>
      </c>
      <c r="V59" s="449">
        <f t="shared" si="18"/>
        <v>40000</v>
      </c>
      <c r="W59" s="449"/>
      <c r="X59" s="449"/>
      <c r="Y59" s="449"/>
      <c r="Z59" s="449"/>
      <c r="AA59" s="449"/>
      <c r="AB59" s="448" t="s">
        <v>811</v>
      </c>
      <c r="AC59" s="448">
        <v>732000</v>
      </c>
      <c r="AD59" s="422"/>
      <c r="AE59" s="422"/>
      <c r="AF59" s="422"/>
      <c r="AG59" s="422"/>
      <c r="AH59" s="422"/>
      <c r="AI59" s="422"/>
      <c r="AJ59" s="422"/>
      <c r="AK59" s="422"/>
      <c r="AL59" s="422"/>
      <c r="AM59" s="422"/>
      <c r="AN59" s="422"/>
      <c r="AO59" s="422"/>
      <c r="AP59" s="422"/>
      <c r="AQ59" s="422"/>
      <c r="AR59" s="422"/>
      <c r="AS59" s="422"/>
      <c r="AT59" s="422"/>
      <c r="AU59" s="422"/>
      <c r="AV59" s="422"/>
      <c r="AW59" s="422"/>
      <c r="AX59" s="422"/>
    </row>
    <row r="60" spans="1:58" s="452" customFormat="1" ht="40.200000000000003" customHeight="1">
      <c r="A60" s="448">
        <f t="shared" si="19"/>
        <v>56</v>
      </c>
      <c r="B60" s="455">
        <v>20102</v>
      </c>
      <c r="C60" s="448" t="s">
        <v>1287</v>
      </c>
      <c r="D60" s="449">
        <v>1000000</v>
      </c>
      <c r="E60" s="449">
        <v>1000000</v>
      </c>
      <c r="F60" s="449">
        <f t="shared" si="10"/>
        <v>0</v>
      </c>
      <c r="G60" s="449">
        <v>0</v>
      </c>
      <c r="H60" s="449"/>
      <c r="I60" s="449"/>
      <c r="J60" s="449"/>
      <c r="K60" s="449">
        <f t="shared" si="11"/>
        <v>0</v>
      </c>
      <c r="L60" s="449">
        <f t="shared" si="12"/>
        <v>0</v>
      </c>
      <c r="M60" s="450">
        <f>P60+S60</f>
        <v>0</v>
      </c>
      <c r="N60" s="449">
        <v>1000000</v>
      </c>
      <c r="O60" s="449">
        <f t="shared" si="13"/>
        <v>0</v>
      </c>
      <c r="P60" s="449">
        <f t="shared" si="14"/>
        <v>0</v>
      </c>
      <c r="Q60" s="451"/>
      <c r="R60" s="449"/>
      <c r="S60" s="449">
        <f t="shared" si="15"/>
        <v>0</v>
      </c>
      <c r="T60" s="450">
        <f t="shared" si="16"/>
        <v>0</v>
      </c>
      <c r="U60" s="449">
        <f t="shared" si="17"/>
        <v>1000000</v>
      </c>
      <c r="V60" s="449">
        <f t="shared" si="18"/>
        <v>550000</v>
      </c>
      <c r="W60" s="449"/>
      <c r="X60" s="449"/>
      <c r="Y60" s="449"/>
      <c r="Z60" s="449"/>
      <c r="AA60" s="449">
        <v>450000</v>
      </c>
      <c r="AB60" s="448" t="s">
        <v>1294</v>
      </c>
      <c r="AC60" s="448">
        <v>870000</v>
      </c>
      <c r="AD60" s="422"/>
      <c r="AE60" s="422"/>
      <c r="AF60" s="422"/>
      <c r="AG60" s="422"/>
      <c r="AH60" s="422"/>
      <c r="AI60" s="422"/>
      <c r="AJ60" s="422"/>
      <c r="AK60" s="422"/>
      <c r="AL60" s="422"/>
      <c r="AM60" s="422"/>
      <c r="AN60" s="422"/>
      <c r="AO60" s="422"/>
      <c r="AP60" s="422"/>
      <c r="AQ60" s="422"/>
      <c r="AR60" s="422"/>
      <c r="AS60" s="422"/>
      <c r="AT60" s="422"/>
      <c r="AU60" s="422"/>
      <c r="AV60" s="422"/>
      <c r="AW60" s="422"/>
      <c r="AX60" s="422"/>
    </row>
    <row r="61" spans="1:58" s="452" customFormat="1" ht="40.200000000000003" customHeight="1">
      <c r="A61" s="448">
        <f t="shared" si="19"/>
        <v>57</v>
      </c>
      <c r="B61" s="455">
        <v>20105</v>
      </c>
      <c r="C61" s="469" t="s">
        <v>972</v>
      </c>
      <c r="D61" s="419">
        <f>3510901-10901</f>
        <v>3500000</v>
      </c>
      <c r="E61" s="120"/>
      <c r="F61" s="120">
        <f t="shared" ref="F61:F64" si="20">D61-E61</f>
        <v>3500000</v>
      </c>
      <c r="G61" s="120">
        <v>0</v>
      </c>
      <c r="H61" s="120"/>
      <c r="I61" s="120"/>
      <c r="J61" s="120"/>
      <c r="K61" s="120">
        <f t="shared" ref="K61:K64" si="21">I61+J61</f>
        <v>0</v>
      </c>
      <c r="L61" s="120">
        <f t="shared" ref="L61:L64" si="22">H61+K61</f>
        <v>0</v>
      </c>
      <c r="M61" s="273">
        <f t="shared" ref="M61:M64" si="23">P61+S61</f>
        <v>0</v>
      </c>
      <c r="N61" s="120">
        <f>350000-150000</f>
        <v>200000</v>
      </c>
      <c r="O61" s="120">
        <f t="shared" ref="O61:O64" si="24">D61-L61-M61-N61</f>
        <v>3300000</v>
      </c>
      <c r="P61" s="120">
        <f t="shared" ref="P61:P64" si="25">G61-L61</f>
        <v>0</v>
      </c>
      <c r="Q61" s="120"/>
      <c r="R61" s="120"/>
      <c r="S61" s="120">
        <f t="shared" ref="S61:S64" si="26">SUM(Q61:R61)</f>
        <v>0</v>
      </c>
      <c r="T61" s="273">
        <f t="shared" ref="T61:T64" si="27">P61-M61+S61</f>
        <v>0</v>
      </c>
      <c r="U61" s="120">
        <f t="shared" ref="U61:U64" si="28">N61-T61</f>
        <v>200000</v>
      </c>
      <c r="V61" s="120">
        <f t="shared" ref="V61:V64" si="29">U61-W61-Z61-AA61</f>
        <v>200000</v>
      </c>
      <c r="W61" s="120"/>
      <c r="X61" s="120"/>
      <c r="Y61" s="120"/>
      <c r="Z61" s="120"/>
      <c r="AA61" s="120"/>
      <c r="AB61" s="448" t="s">
        <v>1416</v>
      </c>
      <c r="AC61" s="448">
        <v>742000</v>
      </c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65"/>
      <c r="AQ61" s="465"/>
      <c r="AR61" s="465"/>
      <c r="AS61" s="465"/>
      <c r="AT61" s="465"/>
      <c r="AU61" s="465"/>
      <c r="AV61" s="465"/>
      <c r="AW61" s="465"/>
      <c r="AX61" s="272"/>
      <c r="AY61" s="272"/>
      <c r="AZ61" s="272"/>
      <c r="BA61" s="272"/>
      <c r="BB61" s="272"/>
      <c r="BC61" s="272"/>
      <c r="BD61" s="272"/>
      <c r="BE61" s="272"/>
      <c r="BF61" s="272"/>
    </row>
    <row r="62" spans="1:58" s="452" customFormat="1" ht="40.200000000000003" customHeight="1">
      <c r="A62" s="448">
        <f t="shared" ref="A62:A64" si="30">A61+1</f>
        <v>58</v>
      </c>
      <c r="B62" s="455">
        <v>20106</v>
      </c>
      <c r="C62" s="469" t="s">
        <v>973</v>
      </c>
      <c r="D62" s="419">
        <f>6917471-17471</f>
        <v>6900000</v>
      </c>
      <c r="E62" s="120"/>
      <c r="F62" s="120">
        <f t="shared" si="20"/>
        <v>6900000</v>
      </c>
      <c r="G62" s="120">
        <v>0</v>
      </c>
      <c r="H62" s="120"/>
      <c r="I62" s="120"/>
      <c r="J62" s="120"/>
      <c r="K62" s="120">
        <f t="shared" si="21"/>
        <v>0</v>
      </c>
      <c r="L62" s="120">
        <f t="shared" si="22"/>
        <v>0</v>
      </c>
      <c r="M62" s="273">
        <f t="shared" si="23"/>
        <v>0</v>
      </c>
      <c r="N62" s="120">
        <f>600000-300000</f>
        <v>300000</v>
      </c>
      <c r="O62" s="120">
        <f t="shared" si="24"/>
        <v>6600000</v>
      </c>
      <c r="P62" s="120">
        <f t="shared" si="25"/>
        <v>0</v>
      </c>
      <c r="Q62" s="120"/>
      <c r="R62" s="120"/>
      <c r="S62" s="120">
        <f t="shared" si="26"/>
        <v>0</v>
      </c>
      <c r="T62" s="273">
        <f t="shared" si="27"/>
        <v>0</v>
      </c>
      <c r="U62" s="120">
        <f t="shared" si="28"/>
        <v>300000</v>
      </c>
      <c r="V62" s="120">
        <f t="shared" si="29"/>
        <v>300000</v>
      </c>
      <c r="W62" s="120"/>
      <c r="X62" s="120"/>
      <c r="Y62" s="120"/>
      <c r="Z62" s="120"/>
      <c r="AA62" s="120"/>
      <c r="AB62" s="448" t="s">
        <v>1417</v>
      </c>
      <c r="AC62" s="448">
        <v>742000</v>
      </c>
      <c r="AD62" s="422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65"/>
      <c r="AQ62" s="465"/>
      <c r="AR62" s="465"/>
      <c r="AS62" s="465"/>
      <c r="AT62" s="465"/>
      <c r="AU62" s="465"/>
      <c r="AV62" s="465"/>
      <c r="AW62" s="465"/>
      <c r="AX62" s="272"/>
      <c r="AY62" s="272"/>
      <c r="AZ62" s="272"/>
      <c r="BA62" s="272"/>
      <c r="BB62" s="272"/>
      <c r="BC62" s="272"/>
      <c r="BD62" s="272"/>
      <c r="BE62" s="272"/>
      <c r="BF62" s="272"/>
    </row>
    <row r="63" spans="1:58" s="452" customFormat="1" ht="40.200000000000003" customHeight="1">
      <c r="A63" s="448">
        <f t="shared" si="30"/>
        <v>59</v>
      </c>
      <c r="B63" s="455">
        <v>20107</v>
      </c>
      <c r="C63" s="135" t="s">
        <v>974</v>
      </c>
      <c r="D63" s="120">
        <f>4425349-25349</f>
        <v>4400000</v>
      </c>
      <c r="E63" s="120"/>
      <c r="F63" s="120">
        <f t="shared" si="20"/>
        <v>4400000</v>
      </c>
      <c r="G63" s="120">
        <v>0</v>
      </c>
      <c r="H63" s="120"/>
      <c r="I63" s="120"/>
      <c r="J63" s="120"/>
      <c r="K63" s="120">
        <f t="shared" si="21"/>
        <v>0</v>
      </c>
      <c r="L63" s="120">
        <f t="shared" si="22"/>
        <v>0</v>
      </c>
      <c r="M63" s="273">
        <f t="shared" si="23"/>
        <v>0</v>
      </c>
      <c r="N63" s="120">
        <f>440000-140000</f>
        <v>300000</v>
      </c>
      <c r="O63" s="120">
        <f t="shared" si="24"/>
        <v>4100000</v>
      </c>
      <c r="P63" s="120">
        <f t="shared" si="25"/>
        <v>0</v>
      </c>
      <c r="Q63" s="120"/>
      <c r="R63" s="120"/>
      <c r="S63" s="120">
        <f t="shared" si="26"/>
        <v>0</v>
      </c>
      <c r="T63" s="273">
        <f t="shared" si="27"/>
        <v>0</v>
      </c>
      <c r="U63" s="120">
        <f t="shared" si="28"/>
        <v>300000</v>
      </c>
      <c r="V63" s="120">
        <f t="shared" si="29"/>
        <v>300000</v>
      </c>
      <c r="W63" s="120"/>
      <c r="X63" s="120"/>
      <c r="Y63" s="120"/>
      <c r="Z63" s="120"/>
      <c r="AA63" s="120"/>
      <c r="AB63" s="448" t="s">
        <v>1361</v>
      </c>
      <c r="AC63" s="448">
        <v>742000</v>
      </c>
      <c r="AD63" s="422"/>
      <c r="AE63" s="422"/>
      <c r="AF63" s="422"/>
      <c r="AG63" s="422"/>
      <c r="AH63" s="422"/>
      <c r="AI63" s="422"/>
      <c r="AJ63" s="422"/>
      <c r="AK63" s="422"/>
      <c r="AL63" s="422"/>
      <c r="AM63" s="422"/>
      <c r="AN63" s="422"/>
      <c r="AO63" s="422"/>
      <c r="AP63" s="465"/>
      <c r="AQ63" s="465"/>
      <c r="AR63" s="465"/>
      <c r="AS63" s="465"/>
      <c r="AT63" s="465"/>
      <c r="AU63" s="465"/>
      <c r="AV63" s="465"/>
      <c r="AW63" s="465"/>
      <c r="AX63" s="272"/>
      <c r="AY63" s="272"/>
      <c r="AZ63" s="272"/>
      <c r="BA63" s="272"/>
      <c r="BB63" s="272"/>
      <c r="BC63" s="272"/>
      <c r="BD63" s="272"/>
      <c r="BE63" s="272"/>
      <c r="BF63" s="272"/>
    </row>
    <row r="64" spans="1:58" s="452" customFormat="1" ht="40.200000000000003" customHeight="1">
      <c r="A64" s="448">
        <f t="shared" si="30"/>
        <v>60</v>
      </c>
      <c r="B64" s="455">
        <v>20108</v>
      </c>
      <c r="C64" s="469" t="s">
        <v>975</v>
      </c>
      <c r="D64" s="419">
        <f>4800000-1300000</f>
        <v>3500000</v>
      </c>
      <c r="E64" s="419"/>
      <c r="F64" s="120">
        <f t="shared" si="20"/>
        <v>3500000</v>
      </c>
      <c r="G64" s="419">
        <v>0</v>
      </c>
      <c r="H64" s="419"/>
      <c r="I64" s="419"/>
      <c r="J64" s="419"/>
      <c r="K64" s="120">
        <f t="shared" si="21"/>
        <v>0</v>
      </c>
      <c r="L64" s="120">
        <f t="shared" si="22"/>
        <v>0</v>
      </c>
      <c r="M64" s="273">
        <f t="shared" si="23"/>
        <v>0</v>
      </c>
      <c r="N64" s="419">
        <f>1600000-1100000-150000</f>
        <v>350000</v>
      </c>
      <c r="O64" s="120">
        <f t="shared" si="24"/>
        <v>3150000</v>
      </c>
      <c r="P64" s="120">
        <f t="shared" si="25"/>
        <v>0</v>
      </c>
      <c r="Q64" s="120"/>
      <c r="R64" s="120"/>
      <c r="S64" s="120">
        <f t="shared" si="26"/>
        <v>0</v>
      </c>
      <c r="T64" s="273">
        <f t="shared" si="27"/>
        <v>0</v>
      </c>
      <c r="U64" s="120">
        <f t="shared" si="28"/>
        <v>350000</v>
      </c>
      <c r="V64" s="120">
        <f t="shared" si="29"/>
        <v>350000</v>
      </c>
      <c r="W64" s="120"/>
      <c r="X64" s="120"/>
      <c r="Y64" s="120"/>
      <c r="Z64" s="120"/>
      <c r="AA64" s="120"/>
      <c r="AB64" s="471" t="s">
        <v>1505</v>
      </c>
      <c r="AC64" s="448">
        <v>732000</v>
      </c>
      <c r="AD64" s="422"/>
      <c r="AE64" s="422"/>
      <c r="AF64" s="422"/>
      <c r="AG64" s="422"/>
      <c r="AH64" s="422"/>
      <c r="AI64" s="422"/>
      <c r="AJ64" s="422"/>
      <c r="AK64" s="422"/>
      <c r="AL64" s="422"/>
      <c r="AM64" s="422"/>
      <c r="AN64" s="422"/>
      <c r="AO64" s="422"/>
      <c r="AP64" s="465"/>
      <c r="AQ64" s="465"/>
      <c r="AR64" s="465"/>
      <c r="AS64" s="465"/>
      <c r="AT64" s="465"/>
      <c r="AU64" s="465"/>
      <c r="AV64" s="465"/>
      <c r="AW64" s="465"/>
      <c r="AX64" s="272"/>
      <c r="AY64" s="272"/>
      <c r="AZ64" s="272"/>
      <c r="BA64" s="272"/>
      <c r="BB64" s="272"/>
      <c r="BC64" s="272"/>
      <c r="BD64" s="272"/>
      <c r="BE64" s="272"/>
      <c r="BF64" s="272"/>
    </row>
    <row r="65" spans="1:58" s="473" customFormat="1" ht="40.200000000000003" customHeight="1">
      <c r="A65" s="249">
        <f>COUNT(A5:A64)</f>
        <v>60</v>
      </c>
      <c r="B65" s="454"/>
      <c r="C65" s="219" t="s">
        <v>315</v>
      </c>
      <c r="D65" s="249">
        <f t="shared" ref="D65" si="31">SUM(D5:D64)</f>
        <v>382469372</v>
      </c>
      <c r="E65" s="249">
        <f t="shared" ref="E65" si="32">SUM(E5:E64)</f>
        <v>368254490</v>
      </c>
      <c r="F65" s="249">
        <f t="shared" ref="F65" si="33">SUM(F5:F64)</f>
        <v>14214882</v>
      </c>
      <c r="G65" s="249">
        <f t="shared" ref="G65" si="34">SUM(G5:G64)</f>
        <v>138033668</v>
      </c>
      <c r="H65" s="249">
        <f t="shared" ref="H65" si="35">SUM(H5:H64)</f>
        <v>112863046</v>
      </c>
      <c r="I65" s="249">
        <f t="shared" ref="I65" si="36">SUM(I5:I64)</f>
        <v>2835671</v>
      </c>
      <c r="J65" s="249">
        <f t="shared" ref="J65" si="37">SUM(J5:J64)</f>
        <v>9659935</v>
      </c>
      <c r="K65" s="249">
        <f t="shared" ref="K65" si="38">SUM(K5:K64)</f>
        <v>12495606</v>
      </c>
      <c r="L65" s="249">
        <f t="shared" ref="L65" si="39">SUM(L5:L64)</f>
        <v>125358652</v>
      </c>
      <c r="M65" s="249">
        <f t="shared" ref="M65" si="40">SUM(M5:M64)</f>
        <v>267243</v>
      </c>
      <c r="N65" s="249">
        <f t="shared" ref="N65" si="41">SUM(N5:N64)</f>
        <v>14068800</v>
      </c>
      <c r="O65" s="249">
        <f t="shared" ref="O65" si="42">SUM(O5:O64)</f>
        <v>242774677</v>
      </c>
      <c r="P65" s="249">
        <f t="shared" ref="P65" si="43">SUM(P5:P64)</f>
        <v>12675016</v>
      </c>
      <c r="Q65" s="249">
        <f t="shared" ref="Q65" si="44">SUM(Q5:Q64)</f>
        <v>1140000</v>
      </c>
      <c r="R65" s="249">
        <f t="shared" ref="R65" si="45">SUM(R5:R64)</f>
        <v>0</v>
      </c>
      <c r="S65" s="249">
        <f t="shared" ref="S65" si="46">SUM(S5:S64)</f>
        <v>1140000</v>
      </c>
      <c r="T65" s="249">
        <f t="shared" ref="T65" si="47">SUM(T5:T64)</f>
        <v>13547773</v>
      </c>
      <c r="U65" s="249">
        <f t="shared" ref="U65" si="48">SUM(U5:U64)</f>
        <v>521027</v>
      </c>
      <c r="V65" s="249">
        <f t="shared" ref="V65" si="49">SUM(V5:V64)</f>
        <v>791194</v>
      </c>
      <c r="W65" s="249">
        <f t="shared" ref="W65" si="50">SUM(W5:W64)</f>
        <v>-750000</v>
      </c>
      <c r="X65" s="249">
        <f t="shared" ref="X65" si="51">SUM(X5:X64)</f>
        <v>0</v>
      </c>
      <c r="Y65" s="249">
        <f t="shared" ref="Y65" si="52">SUM(Y5:Y64)</f>
        <v>0</v>
      </c>
      <c r="Z65" s="249">
        <f t="shared" ref="Z65" si="53">SUM(Z5:Z64)</f>
        <v>0</v>
      </c>
      <c r="AA65" s="249">
        <f t="shared" ref="AA65" si="54">SUM(AA5:AA64)</f>
        <v>479833</v>
      </c>
      <c r="AB65" s="454"/>
      <c r="AC65" s="454"/>
      <c r="AD65" s="422"/>
      <c r="AE65" s="422"/>
      <c r="AF65" s="422"/>
      <c r="AG65" s="422"/>
      <c r="AH65" s="422"/>
      <c r="AI65" s="422"/>
      <c r="AJ65" s="422"/>
      <c r="AK65" s="422"/>
      <c r="AL65" s="422"/>
      <c r="AM65" s="422"/>
      <c r="AN65" s="422"/>
      <c r="AO65" s="422"/>
      <c r="AP65" s="472"/>
      <c r="AQ65" s="472"/>
      <c r="AR65" s="472"/>
      <c r="AS65" s="472"/>
      <c r="AT65" s="472"/>
      <c r="AU65" s="472"/>
      <c r="AV65" s="472"/>
      <c r="AW65" s="472"/>
      <c r="AX65" s="359"/>
      <c r="AY65" s="359"/>
      <c r="AZ65" s="359"/>
      <c r="BA65" s="359"/>
      <c r="BB65" s="359"/>
      <c r="BC65" s="359"/>
      <c r="BD65" s="359"/>
      <c r="BE65" s="359"/>
      <c r="BF65" s="359"/>
    </row>
    <row r="66" spans="1:58" s="473" customFormat="1" ht="18.600000000000001" hidden="1" customHeight="1">
      <c r="A66" s="428"/>
      <c r="B66" s="561"/>
      <c r="C66" s="427"/>
      <c r="D66" s="461">
        <f>SUM(L65:O65)</f>
        <v>382469372</v>
      </c>
      <c r="E66" s="423"/>
      <c r="F66" s="461">
        <f>D65-E65</f>
        <v>14214882</v>
      </c>
      <c r="G66" s="423"/>
      <c r="H66" s="423"/>
      <c r="I66" s="423"/>
      <c r="J66" s="423"/>
      <c r="K66" s="423"/>
      <c r="L66" s="461">
        <f>H65+K65</f>
        <v>125358652</v>
      </c>
      <c r="M66" s="462"/>
      <c r="N66" s="423"/>
      <c r="O66" s="423"/>
      <c r="P66" s="461">
        <f>G65-L66</f>
        <v>12675016</v>
      </c>
      <c r="Q66" s="423"/>
      <c r="R66" s="423"/>
      <c r="S66" s="423"/>
      <c r="T66" s="463">
        <f>P66+S65-M65</f>
        <v>13547773</v>
      </c>
      <c r="U66" s="461">
        <f>N65-T66</f>
        <v>521027</v>
      </c>
      <c r="V66" s="428"/>
      <c r="W66" s="428"/>
      <c r="X66" s="428"/>
      <c r="Y66" s="428"/>
      <c r="Z66" s="428"/>
      <c r="AA66" s="428"/>
      <c r="AB66" s="561"/>
      <c r="AC66" s="561"/>
      <c r="AD66" s="422"/>
      <c r="AE66" s="422"/>
      <c r="AF66" s="422"/>
      <c r="AG66" s="422"/>
      <c r="AH66" s="422"/>
      <c r="AI66" s="422"/>
      <c r="AJ66" s="422"/>
      <c r="AK66" s="422"/>
      <c r="AL66" s="422"/>
      <c r="AM66" s="422"/>
      <c r="AN66" s="422"/>
      <c r="AO66" s="422"/>
      <c r="AP66" s="472"/>
      <c r="AQ66" s="472"/>
      <c r="AR66" s="472"/>
      <c r="AS66" s="472"/>
      <c r="AT66" s="472"/>
      <c r="AU66" s="472"/>
      <c r="AV66" s="472"/>
      <c r="AW66" s="472"/>
      <c r="AX66" s="359"/>
      <c r="AY66" s="359"/>
      <c r="AZ66" s="359"/>
      <c r="BA66" s="359"/>
      <c r="BB66" s="359"/>
      <c r="BC66" s="359"/>
      <c r="BD66" s="359"/>
      <c r="BE66" s="359"/>
      <c r="BF66" s="359"/>
    </row>
    <row r="67" spans="1:58" s="473" customFormat="1" ht="18.600000000000001" hidden="1" customHeight="1">
      <c r="A67" s="428"/>
      <c r="B67" s="561"/>
      <c r="C67" s="427"/>
      <c r="D67" s="461">
        <f>D65-D66</f>
        <v>0</v>
      </c>
      <c r="E67" s="423"/>
      <c r="F67" s="423"/>
      <c r="G67" s="423"/>
      <c r="H67" s="423"/>
      <c r="I67" s="423"/>
      <c r="J67" s="423"/>
      <c r="K67" s="423"/>
      <c r="L67" s="461">
        <f>L65-L66</f>
        <v>0</v>
      </c>
      <c r="M67" s="462"/>
      <c r="N67" s="423"/>
      <c r="O67" s="423"/>
      <c r="P67" s="461">
        <f>P65-P66</f>
        <v>0</v>
      </c>
      <c r="Q67" s="423"/>
      <c r="R67" s="423"/>
      <c r="S67" s="423"/>
      <c r="T67" s="463">
        <f>T65-T66</f>
        <v>0</v>
      </c>
      <c r="U67" s="461">
        <f>U65-U66</f>
        <v>0</v>
      </c>
      <c r="V67" s="428"/>
      <c r="W67" s="428"/>
      <c r="X67" s="428"/>
      <c r="Y67" s="428"/>
      <c r="Z67" s="428"/>
      <c r="AA67" s="428"/>
      <c r="AB67" s="561"/>
      <c r="AC67" s="561"/>
      <c r="AD67" s="422"/>
      <c r="AE67" s="422"/>
      <c r="AF67" s="422"/>
      <c r="AG67" s="422"/>
      <c r="AH67" s="422"/>
      <c r="AI67" s="422"/>
      <c r="AJ67" s="422"/>
      <c r="AK67" s="422"/>
      <c r="AL67" s="422"/>
      <c r="AM67" s="422"/>
      <c r="AN67" s="422"/>
      <c r="AO67" s="422"/>
      <c r="AP67" s="472"/>
      <c r="AQ67" s="472"/>
      <c r="AR67" s="472"/>
      <c r="AS67" s="472"/>
      <c r="AT67" s="472"/>
      <c r="AU67" s="472"/>
      <c r="AV67" s="472"/>
      <c r="AW67" s="472"/>
      <c r="AX67" s="359"/>
      <c r="AY67" s="359"/>
      <c r="AZ67" s="359"/>
      <c r="BA67" s="359"/>
      <c r="BB67" s="359"/>
      <c r="BC67" s="359"/>
      <c r="BD67" s="359"/>
      <c r="BE67" s="359"/>
      <c r="BF67" s="359"/>
    </row>
    <row r="68" spans="1:58" s="473" customFormat="1" ht="18.600000000000001" hidden="1" customHeight="1">
      <c r="A68" s="428"/>
      <c r="B68" s="561"/>
      <c r="C68" s="427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8"/>
      <c r="AA68" s="428"/>
      <c r="AB68" s="561"/>
      <c r="AC68" s="561"/>
      <c r="AD68" s="422"/>
      <c r="AE68" s="422"/>
      <c r="AF68" s="422"/>
      <c r="AG68" s="422"/>
      <c r="AH68" s="422"/>
      <c r="AI68" s="422"/>
      <c r="AJ68" s="422"/>
      <c r="AK68" s="422"/>
      <c r="AL68" s="422"/>
      <c r="AM68" s="422"/>
      <c r="AN68" s="422"/>
      <c r="AO68" s="422"/>
      <c r="AP68" s="472"/>
      <c r="AQ68" s="472"/>
      <c r="AR68" s="472"/>
      <c r="AS68" s="472"/>
      <c r="AT68" s="472"/>
      <c r="AU68" s="472"/>
      <c r="AV68" s="472"/>
      <c r="AW68" s="472"/>
      <c r="AX68" s="359"/>
      <c r="AY68" s="359"/>
      <c r="AZ68" s="359"/>
      <c r="BA68" s="359"/>
      <c r="BB68" s="359"/>
      <c r="BC68" s="359"/>
      <c r="BD68" s="359"/>
      <c r="BE68" s="359"/>
      <c r="BF68" s="359"/>
    </row>
    <row r="69" spans="1:58" s="473" customFormat="1" ht="18.600000000000001" customHeight="1">
      <c r="A69" s="428"/>
      <c r="B69" s="561"/>
      <c r="C69" s="427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8"/>
      <c r="AA69" s="428"/>
      <c r="AB69" s="561"/>
      <c r="AC69" s="561"/>
      <c r="AD69" s="422"/>
      <c r="AE69" s="422"/>
      <c r="AF69" s="422"/>
      <c r="AG69" s="422"/>
      <c r="AH69" s="422"/>
      <c r="AI69" s="422"/>
      <c r="AJ69" s="422"/>
      <c r="AK69" s="422"/>
      <c r="AL69" s="422"/>
      <c r="AM69" s="422"/>
      <c r="AN69" s="422"/>
      <c r="AO69" s="422"/>
      <c r="AP69" s="472"/>
      <c r="AQ69" s="472"/>
      <c r="AR69" s="472"/>
      <c r="AS69" s="472"/>
      <c r="AT69" s="472"/>
      <c r="AU69" s="472"/>
      <c r="AV69" s="472"/>
      <c r="AW69" s="472"/>
      <c r="AX69" s="359"/>
      <c r="AY69" s="359"/>
      <c r="AZ69" s="359"/>
      <c r="BA69" s="359"/>
      <c r="BB69" s="359"/>
      <c r="BC69" s="359"/>
      <c r="BD69" s="359"/>
      <c r="BE69" s="359"/>
      <c r="BF69" s="359"/>
    </row>
    <row r="71" spans="1:58" ht="15.6">
      <c r="A71" s="429"/>
      <c r="O71" s="424"/>
      <c r="P71" s="424"/>
      <c r="Q71" s="424"/>
      <c r="R71" s="424"/>
      <c r="S71" s="424"/>
      <c r="T71" s="424"/>
      <c r="AB71" s="424"/>
    </row>
    <row r="72" spans="1:58" ht="15.6">
      <c r="A72" s="429"/>
      <c r="O72" s="424"/>
      <c r="P72" s="424"/>
      <c r="Q72" s="424"/>
      <c r="R72" s="424"/>
      <c r="S72" s="424"/>
      <c r="T72" s="424"/>
      <c r="AB72" s="424"/>
    </row>
    <row r="73" spans="1:58" ht="15.6">
      <c r="A73" s="429"/>
      <c r="O73" s="424"/>
      <c r="P73" s="424"/>
      <c r="Q73" s="424"/>
      <c r="R73" s="424"/>
      <c r="S73" s="424"/>
      <c r="T73" s="424"/>
      <c r="AB73" s="424"/>
    </row>
    <row r="74" spans="1:58">
      <c r="O74" s="424"/>
      <c r="P74" s="424"/>
      <c r="Q74" s="424"/>
      <c r="R74" s="424"/>
      <c r="S74" s="424"/>
      <c r="T74" s="424"/>
      <c r="AB74" s="424"/>
    </row>
    <row r="75" spans="1:58">
      <c r="O75" s="424"/>
      <c r="P75" s="424"/>
      <c r="Q75" s="424"/>
      <c r="R75" s="424"/>
      <c r="S75" s="424"/>
      <c r="T75" s="424"/>
      <c r="AB75" s="424"/>
    </row>
    <row r="76" spans="1:58">
      <c r="O76" s="424"/>
      <c r="P76" s="424"/>
      <c r="Q76" s="424"/>
      <c r="R76" s="424"/>
      <c r="S76" s="424"/>
      <c r="T76" s="424"/>
      <c r="AB76" s="424"/>
    </row>
    <row r="77" spans="1:58">
      <c r="A77" s="749"/>
      <c r="O77" s="424"/>
      <c r="P77" s="424"/>
      <c r="Q77" s="424"/>
      <c r="R77" s="424"/>
      <c r="S77" s="424"/>
      <c r="T77" s="424"/>
      <c r="AB77" s="424"/>
    </row>
    <row r="78" spans="1:58">
      <c r="O78" s="424"/>
      <c r="P78" s="424"/>
      <c r="Q78" s="424"/>
      <c r="R78" s="424"/>
      <c r="S78" s="424"/>
      <c r="T78" s="424"/>
      <c r="AB78" s="424"/>
    </row>
    <row r="79" spans="1:58">
      <c r="O79" s="424"/>
      <c r="P79" s="424"/>
      <c r="Q79" s="424"/>
      <c r="R79" s="424"/>
      <c r="S79" s="424"/>
      <c r="T79" s="424"/>
      <c r="AB79" s="424"/>
    </row>
    <row r="80" spans="1:58">
      <c r="O80" s="424"/>
      <c r="P80" s="424"/>
      <c r="Q80" s="424"/>
      <c r="R80" s="424"/>
      <c r="S80" s="424"/>
      <c r="T80" s="424"/>
      <c r="AB80" s="424"/>
    </row>
    <row r="81" spans="1:58">
      <c r="O81" s="424"/>
      <c r="P81" s="424"/>
      <c r="Q81" s="424"/>
      <c r="R81" s="424"/>
      <c r="S81" s="424"/>
      <c r="T81" s="424"/>
      <c r="AB81" s="424"/>
    </row>
    <row r="82" spans="1:58">
      <c r="O82" s="424"/>
      <c r="P82" s="424"/>
      <c r="Q82" s="424"/>
      <c r="R82" s="424"/>
      <c r="S82" s="424"/>
      <c r="T82" s="424"/>
      <c r="AB82" s="424"/>
    </row>
    <row r="83" spans="1:58">
      <c r="O83" s="424"/>
      <c r="P83" s="424"/>
      <c r="Q83" s="424"/>
      <c r="R83" s="424"/>
      <c r="S83" s="424"/>
      <c r="T83" s="424"/>
      <c r="AB83" s="424"/>
    </row>
    <row r="84" spans="1:58" s="422" customFormat="1">
      <c r="A84" s="424"/>
      <c r="B84" s="424"/>
      <c r="C84" s="440"/>
      <c r="D84" s="423"/>
      <c r="E84" s="423"/>
      <c r="F84" s="423"/>
      <c r="G84" s="423"/>
      <c r="H84" s="423"/>
      <c r="I84" s="423"/>
      <c r="J84" s="423"/>
      <c r="K84" s="423"/>
      <c r="L84" s="423"/>
      <c r="M84" s="462"/>
      <c r="N84" s="423"/>
      <c r="O84" s="424"/>
      <c r="P84" s="424"/>
      <c r="Q84" s="424"/>
      <c r="R84" s="424"/>
      <c r="S84" s="424"/>
      <c r="T84" s="424"/>
      <c r="U84" s="424"/>
      <c r="V84" s="424"/>
      <c r="W84" s="424"/>
      <c r="X84" s="424"/>
      <c r="Y84" s="424"/>
      <c r="Z84" s="424"/>
      <c r="AA84" s="424"/>
      <c r="AB84" s="424"/>
      <c r="AC84" s="424"/>
      <c r="AY84" s="424"/>
      <c r="AZ84" s="424"/>
      <c r="BA84" s="424"/>
      <c r="BB84" s="424"/>
      <c r="BC84" s="424"/>
      <c r="BD84" s="424"/>
      <c r="BE84" s="424"/>
      <c r="BF84" s="424"/>
    </row>
    <row r="85" spans="1:58" s="422" customFormat="1">
      <c r="A85" s="424"/>
      <c r="B85" s="424"/>
      <c r="C85" s="440"/>
      <c r="D85" s="423"/>
      <c r="E85" s="423"/>
      <c r="F85" s="423"/>
      <c r="G85" s="423"/>
      <c r="H85" s="423"/>
      <c r="I85" s="423"/>
      <c r="J85" s="423"/>
      <c r="K85" s="423"/>
      <c r="L85" s="423"/>
      <c r="M85" s="462"/>
      <c r="N85" s="423"/>
      <c r="O85" s="424"/>
      <c r="P85" s="424"/>
      <c r="Q85" s="424"/>
      <c r="R85" s="424"/>
      <c r="S85" s="424"/>
      <c r="T85" s="424"/>
      <c r="U85" s="424"/>
      <c r="V85" s="424"/>
      <c r="W85" s="424"/>
      <c r="X85" s="424"/>
      <c r="Y85" s="424"/>
      <c r="Z85" s="424"/>
      <c r="AA85" s="424"/>
      <c r="AB85" s="424"/>
      <c r="AC85" s="424"/>
      <c r="AY85" s="424"/>
      <c r="AZ85" s="424"/>
      <c r="BA85" s="424"/>
      <c r="BB85" s="424"/>
      <c r="BC85" s="424"/>
      <c r="BD85" s="424"/>
      <c r="BE85" s="424"/>
      <c r="BF85" s="424"/>
    </row>
    <row r="86" spans="1:58" s="422" customFormat="1">
      <c r="A86" s="424"/>
      <c r="B86" s="424"/>
      <c r="C86" s="440"/>
      <c r="D86" s="423"/>
      <c r="E86" s="423"/>
      <c r="F86" s="423"/>
      <c r="G86" s="423"/>
      <c r="H86" s="423"/>
      <c r="I86" s="423"/>
      <c r="J86" s="423"/>
      <c r="K86" s="423"/>
      <c r="L86" s="423"/>
      <c r="M86" s="462"/>
      <c r="N86" s="423"/>
      <c r="O86" s="424"/>
      <c r="P86" s="424"/>
      <c r="Q86" s="424"/>
      <c r="R86" s="424"/>
      <c r="S86" s="424"/>
      <c r="T86" s="424"/>
      <c r="U86" s="424"/>
      <c r="V86" s="424"/>
      <c r="W86" s="424"/>
      <c r="X86" s="424"/>
      <c r="Y86" s="424"/>
      <c r="Z86" s="424"/>
      <c r="AA86" s="424"/>
      <c r="AB86" s="424"/>
      <c r="AC86" s="424"/>
      <c r="AY86" s="424"/>
      <c r="AZ86" s="424"/>
      <c r="BA86" s="424"/>
      <c r="BB86" s="424"/>
      <c r="BC86" s="424"/>
      <c r="BD86" s="424"/>
      <c r="BE86" s="424"/>
      <c r="BF86" s="424"/>
    </row>
    <row r="87" spans="1:58" s="422" customFormat="1">
      <c r="A87" s="424"/>
      <c r="B87" s="424"/>
      <c r="C87" s="440"/>
      <c r="D87" s="423"/>
      <c r="E87" s="423"/>
      <c r="F87" s="423"/>
      <c r="G87" s="423"/>
      <c r="H87" s="423"/>
      <c r="I87" s="423"/>
      <c r="J87" s="423"/>
      <c r="K87" s="423"/>
      <c r="L87" s="423"/>
      <c r="M87" s="462"/>
      <c r="N87" s="423"/>
      <c r="O87" s="423"/>
      <c r="P87" s="423"/>
      <c r="Q87" s="424"/>
      <c r="R87" s="424"/>
      <c r="S87" s="424"/>
      <c r="T87" s="424"/>
      <c r="U87" s="424"/>
      <c r="V87" s="424"/>
      <c r="W87" s="424"/>
      <c r="X87" s="424"/>
      <c r="Y87" s="424"/>
      <c r="Z87" s="424"/>
      <c r="AA87" s="424"/>
      <c r="AB87" s="440"/>
      <c r="AC87" s="424"/>
      <c r="AY87" s="424"/>
      <c r="AZ87" s="424"/>
      <c r="BA87" s="424"/>
      <c r="BB87" s="424"/>
      <c r="BC87" s="424"/>
      <c r="BD87" s="424"/>
      <c r="BE87" s="424"/>
      <c r="BF87" s="424"/>
    </row>
    <row r="88" spans="1:58" s="422" customFormat="1">
      <c r="A88" s="424"/>
      <c r="B88" s="424"/>
      <c r="C88" s="440"/>
      <c r="D88" s="423"/>
      <c r="E88" s="423"/>
      <c r="F88" s="423"/>
      <c r="G88" s="423"/>
      <c r="H88" s="423"/>
      <c r="I88" s="423"/>
      <c r="J88" s="423"/>
      <c r="K88" s="423"/>
      <c r="L88" s="423"/>
      <c r="M88" s="462"/>
      <c r="N88" s="423"/>
      <c r="O88" s="423"/>
      <c r="P88" s="423"/>
      <c r="Q88" s="424"/>
      <c r="R88" s="424"/>
      <c r="S88" s="424"/>
      <c r="T88" s="424"/>
      <c r="U88" s="424"/>
      <c r="V88" s="424"/>
      <c r="W88" s="424"/>
      <c r="X88" s="424"/>
      <c r="Y88" s="424"/>
      <c r="Z88" s="424"/>
      <c r="AA88" s="424"/>
      <c r="AB88" s="440"/>
      <c r="AC88" s="424"/>
      <c r="AY88" s="424"/>
      <c r="AZ88" s="424"/>
      <c r="BA88" s="424"/>
      <c r="BB88" s="424"/>
      <c r="BC88" s="424"/>
      <c r="BD88" s="424"/>
      <c r="BE88" s="424"/>
      <c r="BF88" s="424"/>
    </row>
    <row r="89" spans="1:58" s="422" customFormat="1">
      <c r="A89" s="424"/>
      <c r="B89" s="424"/>
      <c r="C89" s="440"/>
      <c r="D89" s="423"/>
      <c r="E89" s="423"/>
      <c r="F89" s="423"/>
      <c r="G89" s="423"/>
      <c r="H89" s="423"/>
      <c r="I89" s="423"/>
      <c r="J89" s="423"/>
      <c r="K89" s="423"/>
      <c r="L89" s="423"/>
      <c r="M89" s="462"/>
      <c r="N89" s="423"/>
      <c r="O89" s="423"/>
      <c r="P89" s="423"/>
      <c r="Q89" s="424"/>
      <c r="R89" s="424"/>
      <c r="S89" s="424"/>
      <c r="T89" s="424"/>
      <c r="U89" s="424"/>
      <c r="V89" s="424"/>
      <c r="W89" s="424"/>
      <c r="X89" s="424"/>
      <c r="Y89" s="424"/>
      <c r="Z89" s="424"/>
      <c r="AA89" s="424"/>
      <c r="AB89" s="440"/>
      <c r="AC89" s="424"/>
      <c r="AY89" s="424"/>
      <c r="AZ89" s="424"/>
      <c r="BA89" s="424"/>
      <c r="BB89" s="424"/>
      <c r="BC89" s="424"/>
      <c r="BD89" s="424"/>
      <c r="BE89" s="424"/>
      <c r="BF89" s="424"/>
    </row>
    <row r="90" spans="1:58" s="422" customFormat="1">
      <c r="A90" s="424"/>
      <c r="B90" s="424"/>
      <c r="C90" s="440"/>
      <c r="D90" s="423"/>
      <c r="E90" s="423"/>
      <c r="F90" s="423"/>
      <c r="G90" s="423"/>
      <c r="H90" s="423"/>
      <c r="I90" s="423"/>
      <c r="J90" s="423"/>
      <c r="K90" s="423"/>
      <c r="L90" s="423"/>
      <c r="M90" s="462"/>
      <c r="N90" s="423"/>
      <c r="O90" s="423"/>
      <c r="P90" s="423"/>
      <c r="Q90" s="424"/>
      <c r="R90" s="424"/>
      <c r="S90" s="424"/>
      <c r="T90" s="424"/>
      <c r="U90" s="424"/>
      <c r="V90" s="424"/>
      <c r="W90" s="424"/>
      <c r="X90" s="424"/>
      <c r="Y90" s="424"/>
      <c r="Z90" s="424"/>
      <c r="AA90" s="424"/>
      <c r="AB90" s="440"/>
      <c r="AC90" s="424"/>
      <c r="AY90" s="424"/>
      <c r="AZ90" s="424"/>
      <c r="BA90" s="424"/>
      <c r="BB90" s="424"/>
      <c r="BC90" s="424"/>
      <c r="BD90" s="424"/>
      <c r="BE90" s="424"/>
      <c r="BF90" s="424"/>
    </row>
    <row r="91" spans="1:58" s="422" customFormat="1">
      <c r="A91" s="424"/>
      <c r="B91" s="424"/>
      <c r="C91" s="440"/>
      <c r="D91" s="423"/>
      <c r="E91" s="423"/>
      <c r="F91" s="423"/>
      <c r="G91" s="423"/>
      <c r="H91" s="423"/>
      <c r="I91" s="423"/>
      <c r="J91" s="423"/>
      <c r="K91" s="423"/>
      <c r="L91" s="423"/>
      <c r="M91" s="462"/>
      <c r="N91" s="423"/>
      <c r="O91" s="423"/>
      <c r="P91" s="423"/>
      <c r="Q91" s="424"/>
      <c r="R91" s="424"/>
      <c r="S91" s="424"/>
      <c r="T91" s="424"/>
      <c r="U91" s="424"/>
      <c r="V91" s="424"/>
      <c r="W91" s="424"/>
      <c r="X91" s="424"/>
      <c r="Y91" s="424"/>
      <c r="Z91" s="424"/>
      <c r="AA91" s="424"/>
      <c r="AB91" s="440"/>
      <c r="AC91" s="424"/>
      <c r="AY91" s="424"/>
      <c r="AZ91" s="424"/>
      <c r="BA91" s="424"/>
      <c r="BB91" s="424"/>
      <c r="BC91" s="424"/>
      <c r="BD91" s="424"/>
      <c r="BE91" s="424"/>
      <c r="BF91" s="424"/>
    </row>
    <row r="92" spans="1:58" s="422" customFormat="1">
      <c r="A92" s="424"/>
      <c r="B92" s="424"/>
      <c r="C92" s="440"/>
      <c r="D92" s="423"/>
      <c r="E92" s="423"/>
      <c r="F92" s="423"/>
      <c r="G92" s="423"/>
      <c r="H92" s="423"/>
      <c r="I92" s="423"/>
      <c r="J92" s="423"/>
      <c r="K92" s="423"/>
      <c r="L92" s="423"/>
      <c r="M92" s="462"/>
      <c r="N92" s="423"/>
      <c r="O92" s="423"/>
      <c r="P92" s="423"/>
      <c r="Q92" s="424"/>
      <c r="R92" s="424"/>
      <c r="S92" s="424"/>
      <c r="T92" s="424"/>
      <c r="U92" s="424"/>
      <c r="V92" s="424"/>
      <c r="W92" s="424"/>
      <c r="X92" s="424"/>
      <c r="Y92" s="424"/>
      <c r="Z92" s="424"/>
      <c r="AA92" s="424"/>
      <c r="AB92" s="440"/>
      <c r="AC92" s="424"/>
      <c r="AY92" s="424"/>
      <c r="AZ92" s="424"/>
      <c r="BA92" s="424"/>
      <c r="BB92" s="424"/>
      <c r="BC92" s="424"/>
      <c r="BD92" s="424"/>
      <c r="BE92" s="424"/>
      <c r="BF92" s="424"/>
    </row>
    <row r="131" ht="37.950000000000003" customHeight="1"/>
    <row r="134" ht="70.95" customHeight="1"/>
    <row r="137" ht="72" customHeight="1"/>
    <row r="139" ht="43.95" customHeight="1"/>
    <row r="141" ht="30" customHeight="1"/>
  </sheetData>
  <conditionalFormatting sqref="O1:O25 O70 O77:O1048576 O60 O27:O58">
    <cfRule type="cellIs" dxfId="463" priority="8" operator="lessThan">
      <formula>0</formula>
    </cfRule>
  </conditionalFormatting>
  <conditionalFormatting sqref="O26">
    <cfRule type="cellIs" dxfId="462" priority="7" operator="lessThan">
      <formula>0</formula>
    </cfRule>
  </conditionalFormatting>
  <conditionalFormatting sqref="AF4">
    <cfRule type="cellIs" dxfId="461" priority="6" operator="equal">
      <formula>0</formula>
    </cfRule>
  </conditionalFormatting>
  <conditionalFormatting sqref="M4:N4">
    <cfRule type="cellIs" dxfId="460" priority="4" operator="lessThan">
      <formula>0</formula>
    </cfRule>
  </conditionalFormatting>
  <conditionalFormatting sqref="O66:O67">
    <cfRule type="cellIs" dxfId="459" priority="3" operator="lessThan">
      <formula>0</formula>
    </cfRule>
  </conditionalFormatting>
  <conditionalFormatting sqref="O59">
    <cfRule type="cellIs" dxfId="458" priority="2" operator="lessThan">
      <formula>0</formula>
    </cfRule>
  </conditionalFormatting>
  <conditionalFormatting sqref="AI4">
    <cfRule type="cellIs" dxfId="457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5"/>
  <sheetViews>
    <sheetView showZeros="0" rightToLeft="1" workbookViewId="0">
      <selection activeCell="T10" sqref="T10"/>
    </sheetView>
  </sheetViews>
  <sheetFormatPr defaultColWidth="9.109375" defaultRowHeight="13.8"/>
  <cols>
    <col min="1" max="1" width="9.109375" style="124"/>
    <col min="2" max="7" width="9.109375" style="71"/>
    <col min="8" max="8" width="14.33203125" style="71" customWidth="1"/>
    <col min="9" max="16384" width="9.109375" style="71"/>
  </cols>
  <sheetData>
    <row r="3" spans="1:10" ht="18">
      <c r="B3" s="125"/>
      <c r="C3" s="125"/>
      <c r="D3" s="125"/>
      <c r="E3" s="125"/>
      <c r="F3" s="125"/>
      <c r="G3" s="125"/>
      <c r="H3" s="125"/>
    </row>
    <row r="4" spans="1:10" ht="21">
      <c r="B4" s="80" t="s">
        <v>195</v>
      </c>
      <c r="H4" s="80" t="s">
        <v>196</v>
      </c>
      <c r="J4" s="258"/>
    </row>
    <row r="5" spans="1:10" ht="15.6">
      <c r="B5" s="73"/>
    </row>
    <row r="6" spans="1:10" ht="24.9" customHeight="1">
      <c r="A6" s="126"/>
      <c r="B6" s="73" t="s">
        <v>146</v>
      </c>
      <c r="H6" s="73">
        <v>3</v>
      </c>
    </row>
    <row r="7" spans="1:10" ht="24.9" customHeight="1">
      <c r="A7" s="126"/>
      <c r="B7" s="73" t="s">
        <v>1281</v>
      </c>
      <c r="H7" s="73">
        <v>4</v>
      </c>
    </row>
    <row r="8" spans="1:10" ht="24.9" customHeight="1">
      <c r="A8" s="126"/>
      <c r="B8" s="73" t="s">
        <v>1246</v>
      </c>
      <c r="F8" s="73"/>
    </row>
    <row r="9" spans="1:10" ht="24.9" customHeight="1">
      <c r="A9" s="126"/>
      <c r="B9" s="73" t="s">
        <v>197</v>
      </c>
      <c r="F9" s="127"/>
      <c r="G9" s="161"/>
      <c r="H9" s="78" t="s">
        <v>869</v>
      </c>
    </row>
    <row r="10" spans="1:10" ht="24.9" customHeight="1">
      <c r="A10" s="126"/>
      <c r="B10" s="73" t="s">
        <v>317</v>
      </c>
      <c r="F10" s="128"/>
      <c r="G10" s="161"/>
      <c r="H10" s="78" t="s">
        <v>1614</v>
      </c>
    </row>
    <row r="11" spans="1:10" ht="24.9" customHeight="1">
      <c r="A11" s="126"/>
      <c r="B11" s="73" t="s">
        <v>171</v>
      </c>
      <c r="F11" s="128"/>
      <c r="G11" s="161"/>
      <c r="H11" s="78" t="s">
        <v>1615</v>
      </c>
    </row>
    <row r="12" spans="1:10" ht="24.9" customHeight="1">
      <c r="A12" s="126"/>
      <c r="B12" s="73" t="s">
        <v>598</v>
      </c>
      <c r="F12" s="129"/>
      <c r="G12" s="161"/>
      <c r="H12" s="78" t="s">
        <v>1616</v>
      </c>
    </row>
    <row r="13" spans="1:10" ht="24.9" customHeight="1">
      <c r="A13" s="126"/>
      <c r="B13" s="73" t="s">
        <v>872</v>
      </c>
      <c r="F13" s="129"/>
      <c r="G13" s="161"/>
      <c r="H13" s="78" t="s">
        <v>1617</v>
      </c>
    </row>
    <row r="14" spans="1:10" ht="24.9" customHeight="1">
      <c r="A14" s="126"/>
      <c r="B14" s="73" t="s">
        <v>989</v>
      </c>
      <c r="F14" s="129"/>
      <c r="G14" s="161"/>
      <c r="H14" s="78" t="s">
        <v>1618</v>
      </c>
    </row>
    <row r="15" spans="1:10" ht="24.9" customHeight="1">
      <c r="A15" s="126"/>
      <c r="B15" s="73" t="s">
        <v>1645</v>
      </c>
      <c r="F15" s="129"/>
      <c r="G15" s="161"/>
      <c r="H15" s="78" t="s">
        <v>1619</v>
      </c>
    </row>
    <row r="16" spans="1:10" ht="24.9" customHeight="1">
      <c r="A16" s="126"/>
      <c r="B16" s="73" t="s">
        <v>217</v>
      </c>
      <c r="F16" s="128"/>
      <c r="G16" s="161"/>
      <c r="H16" s="78" t="s">
        <v>1620</v>
      </c>
    </row>
    <row r="17" spans="1:8" ht="24.9" customHeight="1">
      <c r="A17" s="126"/>
      <c r="B17" s="73" t="s">
        <v>218</v>
      </c>
      <c r="F17" s="128"/>
      <c r="G17" s="161"/>
      <c r="H17" s="78" t="s">
        <v>1621</v>
      </c>
    </row>
    <row r="18" spans="1:8" ht="24.9" customHeight="1">
      <c r="A18" s="126"/>
      <c r="B18" s="73" t="s">
        <v>358</v>
      </c>
      <c r="F18" s="128"/>
      <c r="G18" s="161"/>
      <c r="H18" s="78" t="s">
        <v>1622</v>
      </c>
    </row>
    <row r="19" spans="1:8" ht="24.9" customHeight="1">
      <c r="A19" s="126"/>
      <c r="B19" s="73" t="s">
        <v>202</v>
      </c>
      <c r="F19" s="128"/>
      <c r="G19" s="161"/>
      <c r="H19" s="78" t="s">
        <v>1623</v>
      </c>
    </row>
    <row r="20" spans="1:8" ht="24.9" customHeight="1">
      <c r="A20" s="126"/>
      <c r="B20" s="73" t="s">
        <v>1282</v>
      </c>
      <c r="H20" s="78" t="s">
        <v>1624</v>
      </c>
    </row>
    <row r="21" spans="1:8" ht="24.9" customHeight="1">
      <c r="A21" s="126"/>
      <c r="B21" s="73" t="s">
        <v>186</v>
      </c>
      <c r="H21" s="78" t="s">
        <v>1625</v>
      </c>
    </row>
    <row r="22" spans="1:8" ht="24.9" customHeight="1">
      <c r="A22" s="126"/>
      <c r="B22" s="73" t="s">
        <v>1626</v>
      </c>
      <c r="H22" s="78">
        <v>155</v>
      </c>
    </row>
    <row r="23" spans="1:8" ht="15.6">
      <c r="A23" s="126"/>
    </row>
    <row r="25" spans="1:8">
      <c r="B25" s="316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1"/>
  <sheetViews>
    <sheetView showZeros="0" rightToLeft="1" zoomScaleNormal="100" workbookViewId="0">
      <pane xSplit="4" ySplit="4" topLeftCell="E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424" customWidth="1"/>
    <col min="2" max="2" width="5.6640625" style="424" customWidth="1"/>
    <col min="3" max="3" width="19.33203125" style="440" customWidth="1"/>
    <col min="4" max="4" width="10.33203125" style="423" customWidth="1"/>
    <col min="5" max="5" width="10.33203125" style="423" hidden="1" customWidth="1"/>
    <col min="6" max="6" width="9.109375" style="423" hidden="1" customWidth="1"/>
    <col min="7" max="8" width="11.109375" style="423" hidden="1" customWidth="1"/>
    <col min="9" max="10" width="10.44140625" style="423" hidden="1" customWidth="1"/>
    <col min="11" max="11" width="11.109375" style="423" hidden="1" customWidth="1"/>
    <col min="12" max="12" width="10" style="423" customWidth="1"/>
    <col min="13" max="13" width="8.6640625" style="462" customWidth="1"/>
    <col min="14" max="14" width="9.33203125" style="423" customWidth="1"/>
    <col min="15" max="15" width="10.33203125" style="423" customWidth="1"/>
    <col min="16" max="19" width="10.44140625" style="423" hidden="1" customWidth="1"/>
    <col min="20" max="20" width="9" style="462" customWidth="1"/>
    <col min="21" max="21" width="8.88671875" style="424" customWidth="1"/>
    <col min="22" max="22" width="10.88671875" style="424" customWidth="1"/>
    <col min="23" max="23" width="9.33203125" style="424" customWidth="1"/>
    <col min="24" max="24" width="6.44140625" style="424" hidden="1" customWidth="1"/>
    <col min="25" max="25" width="9.109375" style="424" hidden="1" customWidth="1"/>
    <col min="26" max="26" width="9.5546875" style="424" hidden="1" customWidth="1"/>
    <col min="27" max="27" width="7.33203125" style="424" customWidth="1"/>
    <col min="28" max="28" width="35.109375" style="440" customWidth="1"/>
    <col min="29" max="29" width="8.88671875" style="424" hidden="1" customWidth="1"/>
    <col min="30" max="30" width="26" style="422" customWidth="1"/>
    <col min="31" max="31" width="22.44140625" style="422" customWidth="1"/>
    <col min="32" max="32" width="11.5546875" style="422" customWidth="1"/>
    <col min="33" max="33" width="26" style="422" customWidth="1"/>
    <col min="34" max="34" width="6.5546875" style="422" customWidth="1"/>
    <col min="35" max="35" width="11.5546875" style="422" customWidth="1"/>
    <col min="36" max="36" width="24.33203125" style="422" customWidth="1"/>
    <col min="37" max="37" width="9.6640625" style="422" customWidth="1"/>
    <col min="38" max="38" width="14.5546875" style="422" customWidth="1"/>
    <col min="39" max="39" width="22.88671875" style="422" customWidth="1"/>
    <col min="40" max="40" width="12.44140625" style="422" customWidth="1"/>
    <col min="41" max="45" width="10.6640625" style="422" customWidth="1"/>
    <col min="46" max="48" width="10.6640625" style="422" hidden="1" customWidth="1"/>
    <col min="49" max="49" width="10.6640625" style="422" customWidth="1"/>
    <col min="50" max="50" width="15" style="422" customWidth="1"/>
    <col min="51" max="16384" width="8.88671875" style="424"/>
  </cols>
  <sheetData>
    <row r="1" spans="1:50" s="434" customFormat="1" ht="18">
      <c r="A1" s="432"/>
      <c r="B1" s="432"/>
      <c r="C1" s="433"/>
      <c r="J1" s="423"/>
      <c r="K1" s="432"/>
      <c r="M1" s="435"/>
      <c r="N1" s="432"/>
      <c r="O1" s="432"/>
      <c r="P1" s="432"/>
      <c r="Q1" s="432"/>
      <c r="R1" s="432"/>
      <c r="S1" s="432"/>
      <c r="T1" s="435"/>
      <c r="U1" s="432"/>
      <c r="V1" s="432" t="s">
        <v>966</v>
      </c>
      <c r="W1" s="436"/>
      <c r="X1" s="436"/>
      <c r="Y1" s="436"/>
      <c r="Z1" s="436"/>
      <c r="AA1" s="436"/>
      <c r="AB1" s="436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</row>
    <row r="2" spans="1:50" ht="18">
      <c r="A2" s="433" t="s">
        <v>317</v>
      </c>
      <c r="B2" s="432"/>
      <c r="C2" s="437"/>
      <c r="D2" s="434"/>
      <c r="E2" s="434"/>
      <c r="F2" s="434"/>
      <c r="K2" s="432"/>
      <c r="M2" s="438"/>
      <c r="N2" s="439"/>
      <c r="O2" s="439"/>
      <c r="P2" s="439"/>
      <c r="Q2" s="439"/>
      <c r="R2" s="439"/>
      <c r="S2" s="439"/>
      <c r="T2" s="438"/>
      <c r="U2" s="436"/>
      <c r="V2" s="436"/>
      <c r="W2" s="436"/>
      <c r="X2" s="436"/>
      <c r="Y2" s="436"/>
      <c r="Z2" s="436"/>
      <c r="AA2" s="436"/>
      <c r="AB2" s="424"/>
    </row>
    <row r="3" spans="1:50" ht="24.6" customHeight="1">
      <c r="D3" s="441"/>
      <c r="E3" s="442"/>
      <c r="F3" s="442"/>
      <c r="G3" s="443"/>
      <c r="H3" s="442"/>
      <c r="I3" s="442"/>
      <c r="J3" s="442"/>
      <c r="K3" s="442"/>
      <c r="L3" s="441"/>
      <c r="M3" s="444"/>
      <c r="N3" s="441"/>
      <c r="O3" s="441"/>
      <c r="P3" s="441"/>
      <c r="Q3" s="441"/>
      <c r="R3" s="441"/>
      <c r="S3" s="441"/>
      <c r="T3" s="445"/>
      <c r="U3" s="441"/>
    </row>
    <row r="4" spans="1:50" s="422" customFormat="1" ht="69">
      <c r="A4" s="421" t="s">
        <v>0</v>
      </c>
      <c r="B4" s="421" t="s">
        <v>1</v>
      </c>
      <c r="C4" s="421" t="s">
        <v>2</v>
      </c>
      <c r="D4" s="421" t="s">
        <v>80</v>
      </c>
      <c r="E4" s="421" t="s">
        <v>4</v>
      </c>
      <c r="F4" s="421" t="s">
        <v>5</v>
      </c>
      <c r="G4" s="421" t="s">
        <v>6</v>
      </c>
      <c r="H4" s="421" t="s">
        <v>7</v>
      </c>
      <c r="I4" s="421" t="s">
        <v>9</v>
      </c>
      <c r="J4" s="421" t="s">
        <v>125</v>
      </c>
      <c r="K4" s="421" t="s">
        <v>10</v>
      </c>
      <c r="L4" s="421" t="s">
        <v>11</v>
      </c>
      <c r="M4" s="421" t="s">
        <v>917</v>
      </c>
      <c r="N4" s="421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46" t="s">
        <v>923</v>
      </c>
      <c r="U4" s="421" t="s">
        <v>924</v>
      </c>
      <c r="V4" s="421" t="s">
        <v>13</v>
      </c>
      <c r="W4" s="421" t="s">
        <v>14</v>
      </c>
      <c r="X4" s="421" t="s">
        <v>15</v>
      </c>
      <c r="Y4" s="421" t="s">
        <v>214</v>
      </c>
      <c r="Z4" s="421" t="s">
        <v>502</v>
      </c>
      <c r="AA4" s="421" t="s">
        <v>75</v>
      </c>
      <c r="AB4" s="420" t="s">
        <v>242</v>
      </c>
      <c r="AC4" s="421" t="s">
        <v>16</v>
      </c>
    </row>
    <row r="5" spans="1:50" s="452" customFormat="1" ht="41.4">
      <c r="A5" s="448">
        <v>1</v>
      </c>
      <c r="B5" s="448">
        <v>179</v>
      </c>
      <c r="C5" s="448" t="s">
        <v>28</v>
      </c>
      <c r="D5" s="449">
        <v>3150250</v>
      </c>
      <c r="E5" s="449">
        <v>3150250</v>
      </c>
      <c r="F5" s="449">
        <f t="shared" ref="F5:F64" si="0">D5-E5</f>
        <v>0</v>
      </c>
      <c r="G5" s="449">
        <v>3150250</v>
      </c>
      <c r="H5" s="449">
        <v>3111417</v>
      </c>
      <c r="I5" s="449"/>
      <c r="J5" s="449"/>
      <c r="K5" s="449">
        <f t="shared" ref="K5:K36" si="1">SUM(I5:J5)</f>
        <v>0</v>
      </c>
      <c r="L5" s="449">
        <f t="shared" ref="L5:L64" si="2">H5+K5</f>
        <v>3111417</v>
      </c>
      <c r="M5" s="450">
        <f>P5+S5-38800</f>
        <v>33</v>
      </c>
      <c r="N5" s="449">
        <v>38800</v>
      </c>
      <c r="O5" s="449">
        <f t="shared" ref="O5:O64" si="3">D5-L5-M5-N5</f>
        <v>0</v>
      </c>
      <c r="P5" s="449">
        <f t="shared" ref="P5:P64" si="4">G5-L5</f>
        <v>38833</v>
      </c>
      <c r="Q5" s="451">
        <v>0</v>
      </c>
      <c r="R5" s="449">
        <v>0</v>
      </c>
      <c r="S5" s="449">
        <f t="shared" ref="S5:S64" si="5">SUM(Q5:R5)</f>
        <v>0</v>
      </c>
      <c r="T5" s="450">
        <f t="shared" ref="T5:T64" si="6">P5-M5+S5</f>
        <v>38800</v>
      </c>
      <c r="U5" s="449">
        <f t="shared" ref="U5:U64" si="7">N5-T5</f>
        <v>0</v>
      </c>
      <c r="V5" s="449">
        <f t="shared" ref="V5:V60" si="8">U5-AA5-W5-Z5-Y5-X5</f>
        <v>0</v>
      </c>
      <c r="W5" s="449"/>
      <c r="X5" s="449"/>
      <c r="Y5" s="449"/>
      <c r="Z5" s="449"/>
      <c r="AA5" s="448"/>
      <c r="AB5" s="448" t="s">
        <v>1412</v>
      </c>
      <c r="AC5" s="448">
        <v>732000</v>
      </c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  <c r="AR5" s="422"/>
      <c r="AS5" s="422"/>
      <c r="AT5" s="422"/>
      <c r="AU5" s="422"/>
      <c r="AV5" s="422"/>
      <c r="AW5" s="422"/>
      <c r="AX5" s="422"/>
    </row>
    <row r="6" spans="1:50" s="452" customFormat="1" ht="34.950000000000003" customHeight="1">
      <c r="A6" s="448">
        <f t="shared" ref="A6:A64" si="9">A5+1</f>
        <v>2</v>
      </c>
      <c r="B6" s="448">
        <v>507</v>
      </c>
      <c r="C6" s="448" t="s">
        <v>38</v>
      </c>
      <c r="D6" s="449">
        <f>1965000+1500000-1300000-200000</f>
        <v>1965000</v>
      </c>
      <c r="E6" s="449">
        <v>1965000</v>
      </c>
      <c r="F6" s="449">
        <f t="shared" si="0"/>
        <v>0</v>
      </c>
      <c r="G6" s="449">
        <v>1965000</v>
      </c>
      <c r="H6" s="449">
        <v>1701725</v>
      </c>
      <c r="I6" s="449"/>
      <c r="J6" s="449">
        <v>62055</v>
      </c>
      <c r="K6" s="449">
        <f t="shared" si="1"/>
        <v>62055</v>
      </c>
      <c r="L6" s="449">
        <f t="shared" si="2"/>
        <v>1763780</v>
      </c>
      <c r="M6" s="450">
        <f>P6+S6-200000</f>
        <v>1220</v>
      </c>
      <c r="N6" s="449">
        <f>200000+60000-260000</f>
        <v>0</v>
      </c>
      <c r="O6" s="449">
        <f t="shared" si="3"/>
        <v>200000</v>
      </c>
      <c r="P6" s="449">
        <f t="shared" si="4"/>
        <v>201220</v>
      </c>
      <c r="Q6" s="451"/>
      <c r="R6" s="449"/>
      <c r="S6" s="449">
        <f t="shared" si="5"/>
        <v>0</v>
      </c>
      <c r="T6" s="450">
        <f t="shared" si="6"/>
        <v>200000</v>
      </c>
      <c r="U6" s="449">
        <f t="shared" si="7"/>
        <v>-200000</v>
      </c>
      <c r="V6" s="449">
        <f t="shared" si="8"/>
        <v>-200000</v>
      </c>
      <c r="W6" s="449"/>
      <c r="X6" s="449"/>
      <c r="Y6" s="449"/>
      <c r="Z6" s="449"/>
      <c r="AA6" s="448"/>
      <c r="AB6" s="448" t="s">
        <v>380</v>
      </c>
      <c r="AC6" s="448">
        <v>742000</v>
      </c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</row>
    <row r="7" spans="1:50" s="452" customFormat="1" ht="34.950000000000003" customHeight="1">
      <c r="A7" s="448">
        <f t="shared" si="9"/>
        <v>3</v>
      </c>
      <c r="B7" s="448">
        <v>592</v>
      </c>
      <c r="C7" s="448" t="s">
        <v>22</v>
      </c>
      <c r="D7" s="449">
        <v>54893000</v>
      </c>
      <c r="E7" s="449">
        <v>54893000</v>
      </c>
      <c r="F7" s="449">
        <f t="shared" si="0"/>
        <v>0</v>
      </c>
      <c r="G7" s="449">
        <v>21420000</v>
      </c>
      <c r="H7" s="449">
        <v>19882849</v>
      </c>
      <c r="I7" s="449"/>
      <c r="J7" s="449">
        <f>1170012-1170012</f>
        <v>0</v>
      </c>
      <c r="K7" s="449">
        <f t="shared" si="1"/>
        <v>0</v>
      </c>
      <c r="L7" s="449">
        <f t="shared" si="2"/>
        <v>19882849</v>
      </c>
      <c r="M7" s="450">
        <f>P7+S7-1500000</f>
        <v>37151</v>
      </c>
      <c r="N7" s="449">
        <f>500000+1400000-1900000</f>
        <v>0</v>
      </c>
      <c r="O7" s="449">
        <f t="shared" si="3"/>
        <v>34973000</v>
      </c>
      <c r="P7" s="449">
        <f t="shared" si="4"/>
        <v>1537151</v>
      </c>
      <c r="Q7" s="451"/>
      <c r="R7" s="449"/>
      <c r="S7" s="449">
        <f t="shared" si="5"/>
        <v>0</v>
      </c>
      <c r="T7" s="450">
        <f t="shared" si="6"/>
        <v>1500000</v>
      </c>
      <c r="U7" s="449">
        <f t="shared" si="7"/>
        <v>-1500000</v>
      </c>
      <c r="V7" s="449">
        <f t="shared" si="8"/>
        <v>-1500000</v>
      </c>
      <c r="W7" s="449"/>
      <c r="X7" s="449"/>
      <c r="Y7" s="449"/>
      <c r="Z7" s="449"/>
      <c r="AA7" s="448"/>
      <c r="AB7" s="448" t="s">
        <v>818</v>
      </c>
      <c r="AC7" s="448">
        <v>742000</v>
      </c>
      <c r="AD7" s="422"/>
      <c r="AE7" s="422"/>
      <c r="AF7" s="422"/>
      <c r="AG7" s="422"/>
      <c r="AH7" s="422"/>
      <c r="AI7" s="422"/>
      <c r="AJ7" s="422"/>
      <c r="AK7" s="422"/>
      <c r="AL7" s="422"/>
      <c r="AM7" s="422"/>
      <c r="AN7" s="422"/>
      <c r="AO7" s="422"/>
      <c r="AP7" s="422"/>
      <c r="AQ7" s="422"/>
      <c r="AR7" s="422"/>
      <c r="AS7" s="422"/>
      <c r="AT7" s="422"/>
      <c r="AU7" s="422"/>
      <c r="AV7" s="422"/>
      <c r="AW7" s="422"/>
      <c r="AX7" s="422"/>
    </row>
    <row r="8" spans="1:50" s="452" customFormat="1" ht="34.950000000000003" customHeight="1">
      <c r="A8" s="448">
        <f t="shared" si="9"/>
        <v>4</v>
      </c>
      <c r="B8" s="448">
        <v>608</v>
      </c>
      <c r="C8" s="448" t="s">
        <v>29</v>
      </c>
      <c r="D8" s="449">
        <f>8300000+4700000-4350000-140000</f>
        <v>8510000</v>
      </c>
      <c r="E8" s="449">
        <v>8300000</v>
      </c>
      <c r="F8" s="449">
        <f t="shared" si="0"/>
        <v>210000</v>
      </c>
      <c r="G8" s="449">
        <v>7650000</v>
      </c>
      <c r="H8" s="449">
        <v>7352657</v>
      </c>
      <c r="I8" s="449"/>
      <c r="J8" s="449">
        <f>287586-31449-117000-18720-2340-56137</f>
        <v>61940</v>
      </c>
      <c r="K8" s="449">
        <f t="shared" si="1"/>
        <v>61940</v>
      </c>
      <c r="L8" s="449">
        <f t="shared" si="2"/>
        <v>7414597</v>
      </c>
      <c r="M8" s="450">
        <f>P8+S8-150000-140000+55000</f>
        <v>403</v>
      </c>
      <c r="N8" s="449">
        <f>1000000+150000-300000</f>
        <v>850000</v>
      </c>
      <c r="O8" s="449">
        <f t="shared" si="3"/>
        <v>245000</v>
      </c>
      <c r="P8" s="449">
        <f t="shared" si="4"/>
        <v>235403</v>
      </c>
      <c r="Q8" s="451"/>
      <c r="R8" s="449"/>
      <c r="S8" s="449">
        <f t="shared" si="5"/>
        <v>0</v>
      </c>
      <c r="T8" s="450">
        <f t="shared" si="6"/>
        <v>235000</v>
      </c>
      <c r="U8" s="449">
        <f t="shared" si="7"/>
        <v>615000</v>
      </c>
      <c r="V8" s="449">
        <f t="shared" si="8"/>
        <v>615000</v>
      </c>
      <c r="W8" s="449"/>
      <c r="X8" s="449"/>
      <c r="Y8" s="449"/>
      <c r="Z8" s="449"/>
      <c r="AA8" s="448"/>
      <c r="AB8" s="448" t="s">
        <v>243</v>
      </c>
      <c r="AC8" s="448">
        <v>745000</v>
      </c>
      <c r="AD8" s="422"/>
      <c r="AE8" s="422"/>
      <c r="AF8" s="422"/>
      <c r="AG8" s="422"/>
      <c r="AH8" s="422"/>
      <c r="AI8" s="422"/>
      <c r="AJ8" s="422"/>
      <c r="AK8" s="422"/>
      <c r="AL8" s="422"/>
      <c r="AM8" s="422"/>
      <c r="AN8" s="422"/>
      <c r="AO8" s="422"/>
      <c r="AP8" s="422"/>
      <c r="AQ8" s="422"/>
      <c r="AR8" s="422"/>
      <c r="AS8" s="422"/>
      <c r="AT8" s="422"/>
      <c r="AU8" s="422"/>
      <c r="AV8" s="422"/>
      <c r="AW8" s="422"/>
      <c r="AX8" s="422"/>
    </row>
    <row r="9" spans="1:50" s="456" customFormat="1" ht="41.4">
      <c r="A9" s="448">
        <f t="shared" si="9"/>
        <v>5</v>
      </c>
      <c r="B9" s="448">
        <v>626</v>
      </c>
      <c r="C9" s="448" t="s">
        <v>419</v>
      </c>
      <c r="D9" s="449">
        <v>34775000</v>
      </c>
      <c r="E9" s="449">
        <v>34775000</v>
      </c>
      <c r="F9" s="449">
        <f t="shared" si="0"/>
        <v>0</v>
      </c>
      <c r="G9" s="449">
        <v>19233898</v>
      </c>
      <c r="H9" s="449">
        <v>15582053</v>
      </c>
      <c r="I9" s="449">
        <v>107406</v>
      </c>
      <c r="J9" s="449">
        <f>332608-19188+4057166-1170000</f>
        <v>3200586</v>
      </c>
      <c r="K9" s="449">
        <f t="shared" si="1"/>
        <v>3307992</v>
      </c>
      <c r="L9" s="449">
        <f t="shared" si="2"/>
        <v>18890045</v>
      </c>
      <c r="M9" s="450">
        <f>P9+S9-1000000-2100000-90000+1850000</f>
        <v>3853</v>
      </c>
      <c r="N9" s="449">
        <f>10000000-7000000+100000+90000-500000-1000000</f>
        <v>1690000</v>
      </c>
      <c r="O9" s="449">
        <f t="shared" si="3"/>
        <v>14191102</v>
      </c>
      <c r="P9" s="449">
        <f t="shared" si="4"/>
        <v>343853</v>
      </c>
      <c r="Q9" s="451">
        <v>1000000</v>
      </c>
      <c r="R9" s="449"/>
      <c r="S9" s="449">
        <f t="shared" si="5"/>
        <v>1000000</v>
      </c>
      <c r="T9" s="450">
        <f t="shared" si="6"/>
        <v>1340000</v>
      </c>
      <c r="U9" s="449">
        <f t="shared" si="7"/>
        <v>350000</v>
      </c>
      <c r="V9" s="449">
        <f t="shared" si="8"/>
        <v>350000</v>
      </c>
      <c r="W9" s="449"/>
      <c r="X9" s="449"/>
      <c r="Y9" s="449"/>
      <c r="Z9" s="449"/>
      <c r="AA9" s="448"/>
      <c r="AB9" s="455" t="s">
        <v>967</v>
      </c>
      <c r="AC9" s="448">
        <v>732000</v>
      </c>
      <c r="AD9" s="422"/>
      <c r="AE9" s="422"/>
      <c r="AF9" s="422"/>
      <c r="AG9" s="422"/>
      <c r="AH9" s="422"/>
      <c r="AI9" s="422"/>
      <c r="AJ9" s="422"/>
      <c r="AK9" s="422"/>
      <c r="AL9" s="422"/>
      <c r="AM9" s="422"/>
      <c r="AN9" s="422"/>
      <c r="AO9" s="422"/>
      <c r="AP9" s="422"/>
      <c r="AQ9" s="422"/>
      <c r="AR9" s="422"/>
      <c r="AS9" s="422"/>
      <c r="AT9" s="422"/>
      <c r="AU9" s="422"/>
      <c r="AV9" s="422"/>
      <c r="AW9" s="422"/>
      <c r="AX9" s="422"/>
    </row>
    <row r="10" spans="1:50" s="452" customFormat="1" ht="41.4">
      <c r="A10" s="448">
        <f t="shared" si="9"/>
        <v>6</v>
      </c>
      <c r="B10" s="448">
        <v>638</v>
      </c>
      <c r="C10" s="448" t="s">
        <v>360</v>
      </c>
      <c r="D10" s="449">
        <v>4436000</v>
      </c>
      <c r="E10" s="449">
        <v>4436000</v>
      </c>
      <c r="F10" s="449">
        <f t="shared" si="0"/>
        <v>0</v>
      </c>
      <c r="G10" s="449">
        <v>4436000</v>
      </c>
      <c r="H10" s="449">
        <v>4253645</v>
      </c>
      <c r="I10" s="449"/>
      <c r="J10" s="449"/>
      <c r="K10" s="449">
        <f t="shared" si="1"/>
        <v>0</v>
      </c>
      <c r="L10" s="449">
        <f t="shared" si="2"/>
        <v>4253645</v>
      </c>
      <c r="M10" s="450">
        <f>P10+S10-182355</f>
        <v>0</v>
      </c>
      <c r="N10" s="449"/>
      <c r="O10" s="449">
        <f t="shared" si="3"/>
        <v>182355</v>
      </c>
      <c r="P10" s="449">
        <f t="shared" si="4"/>
        <v>182355</v>
      </c>
      <c r="Q10" s="451"/>
      <c r="R10" s="449"/>
      <c r="S10" s="449">
        <f t="shared" si="5"/>
        <v>0</v>
      </c>
      <c r="T10" s="450">
        <f t="shared" si="6"/>
        <v>182355</v>
      </c>
      <c r="U10" s="449">
        <f t="shared" si="7"/>
        <v>-182355</v>
      </c>
      <c r="V10" s="449">
        <f t="shared" si="8"/>
        <v>-182355</v>
      </c>
      <c r="W10" s="449"/>
      <c r="X10" s="449"/>
      <c r="Y10" s="449"/>
      <c r="Z10" s="449"/>
      <c r="AA10" s="448"/>
      <c r="AB10" s="448" t="s">
        <v>1318</v>
      </c>
      <c r="AC10" s="448">
        <v>742000</v>
      </c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</row>
    <row r="11" spans="1:50" s="452" customFormat="1" ht="55.2">
      <c r="A11" s="448">
        <f t="shared" si="9"/>
        <v>7</v>
      </c>
      <c r="B11" s="448">
        <v>1018</v>
      </c>
      <c r="C11" s="448" t="s">
        <v>23</v>
      </c>
      <c r="D11" s="449">
        <v>31900000</v>
      </c>
      <c r="E11" s="449">
        <v>31900000</v>
      </c>
      <c r="F11" s="449">
        <f t="shared" si="0"/>
        <v>0</v>
      </c>
      <c r="G11" s="449">
        <v>3150000</v>
      </c>
      <c r="H11" s="449">
        <v>3059671</v>
      </c>
      <c r="I11" s="449">
        <v>84193</v>
      </c>
      <c r="J11" s="449"/>
      <c r="K11" s="449">
        <f t="shared" si="1"/>
        <v>84193</v>
      </c>
      <c r="L11" s="449">
        <f t="shared" si="2"/>
        <v>3143864</v>
      </c>
      <c r="M11" s="450">
        <f>P11+S11</f>
        <v>6136</v>
      </c>
      <c r="N11" s="449"/>
      <c r="O11" s="449">
        <f t="shared" si="3"/>
        <v>28750000</v>
      </c>
      <c r="P11" s="449">
        <f t="shared" si="4"/>
        <v>6136</v>
      </c>
      <c r="Q11" s="451"/>
      <c r="R11" s="449"/>
      <c r="S11" s="449">
        <f t="shared" si="5"/>
        <v>0</v>
      </c>
      <c r="T11" s="450">
        <f t="shared" si="6"/>
        <v>0</v>
      </c>
      <c r="U11" s="449">
        <f t="shared" si="7"/>
        <v>0</v>
      </c>
      <c r="V11" s="449">
        <f t="shared" si="8"/>
        <v>0</v>
      </c>
      <c r="W11" s="449"/>
      <c r="X11" s="449"/>
      <c r="Y11" s="449"/>
      <c r="Z11" s="449"/>
      <c r="AA11" s="448"/>
      <c r="AB11" s="448" t="s">
        <v>1379</v>
      </c>
      <c r="AC11" s="448">
        <v>742000</v>
      </c>
      <c r="AD11" s="422"/>
      <c r="AE11" s="422"/>
      <c r="AF11" s="422"/>
      <c r="AG11" s="422"/>
      <c r="AH11" s="422"/>
      <c r="AI11" s="422"/>
      <c r="AJ11" s="422"/>
      <c r="AK11" s="422"/>
      <c r="AL11" s="422"/>
      <c r="AM11" s="422"/>
      <c r="AN11" s="422"/>
      <c r="AO11" s="422"/>
      <c r="AP11" s="422"/>
      <c r="AQ11" s="422"/>
      <c r="AR11" s="422"/>
      <c r="AS11" s="422"/>
      <c r="AT11" s="422"/>
      <c r="AU11" s="422"/>
      <c r="AV11" s="422"/>
      <c r="AW11" s="422"/>
      <c r="AX11" s="422"/>
    </row>
    <row r="12" spans="1:50" s="452" customFormat="1" ht="34.950000000000003" customHeight="1">
      <c r="A12" s="448">
        <f t="shared" si="9"/>
        <v>8</v>
      </c>
      <c r="B12" s="448">
        <v>1100</v>
      </c>
      <c r="C12" s="448" t="s">
        <v>17</v>
      </c>
      <c r="D12" s="449">
        <v>6650000</v>
      </c>
      <c r="E12" s="449">
        <v>6650000</v>
      </c>
      <c r="F12" s="449">
        <f t="shared" si="0"/>
        <v>0</v>
      </c>
      <c r="G12" s="449">
        <v>6650000</v>
      </c>
      <c r="H12" s="449">
        <v>6636801</v>
      </c>
      <c r="I12" s="449"/>
      <c r="J12" s="449"/>
      <c r="K12" s="449">
        <f t="shared" si="1"/>
        <v>0</v>
      </c>
      <c r="L12" s="449">
        <f t="shared" si="2"/>
        <v>6636801</v>
      </c>
      <c r="M12" s="450">
        <f>P12+S12</f>
        <v>13199</v>
      </c>
      <c r="N12" s="449"/>
      <c r="O12" s="449">
        <f t="shared" si="3"/>
        <v>0</v>
      </c>
      <c r="P12" s="449">
        <f t="shared" si="4"/>
        <v>13199</v>
      </c>
      <c r="Q12" s="451"/>
      <c r="R12" s="449"/>
      <c r="S12" s="449">
        <f t="shared" si="5"/>
        <v>0</v>
      </c>
      <c r="T12" s="450">
        <f t="shared" si="6"/>
        <v>0</v>
      </c>
      <c r="U12" s="449">
        <f t="shared" si="7"/>
        <v>0</v>
      </c>
      <c r="V12" s="449">
        <f t="shared" si="8"/>
        <v>0</v>
      </c>
      <c r="W12" s="449"/>
      <c r="X12" s="449"/>
      <c r="Y12" s="449"/>
      <c r="Z12" s="449"/>
      <c r="AA12" s="448"/>
      <c r="AB12" s="448" t="s">
        <v>1407</v>
      </c>
      <c r="AC12" s="448">
        <v>732000</v>
      </c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</row>
    <row r="13" spans="1:50" s="456" customFormat="1" ht="34.950000000000003" customHeight="1">
      <c r="A13" s="448">
        <f t="shared" si="9"/>
        <v>9</v>
      </c>
      <c r="B13" s="448">
        <v>1129</v>
      </c>
      <c r="C13" s="448" t="s">
        <v>30</v>
      </c>
      <c r="D13" s="449">
        <f>7000000+3000000-2500000</f>
        <v>7500000</v>
      </c>
      <c r="E13" s="449">
        <v>7000000</v>
      </c>
      <c r="F13" s="449">
        <f t="shared" si="0"/>
        <v>500000</v>
      </c>
      <c r="G13" s="449">
        <v>6891771</v>
      </c>
      <c r="H13" s="449">
        <v>6201031</v>
      </c>
      <c r="I13" s="449"/>
      <c r="J13" s="449">
        <f>674374-397800</f>
        <v>276574</v>
      </c>
      <c r="K13" s="449">
        <f t="shared" si="1"/>
        <v>276574</v>
      </c>
      <c r="L13" s="449">
        <f t="shared" si="2"/>
        <v>6477605</v>
      </c>
      <c r="M13" s="450">
        <f>P13+S13-230000-180000</f>
        <v>4166</v>
      </c>
      <c r="N13" s="449">
        <f>500000-300000</f>
        <v>200000</v>
      </c>
      <c r="O13" s="449">
        <f t="shared" si="3"/>
        <v>818229</v>
      </c>
      <c r="P13" s="449">
        <f t="shared" si="4"/>
        <v>414166</v>
      </c>
      <c r="Q13" s="451"/>
      <c r="R13" s="449"/>
      <c r="S13" s="449">
        <f t="shared" si="5"/>
        <v>0</v>
      </c>
      <c r="T13" s="450">
        <f t="shared" si="6"/>
        <v>410000</v>
      </c>
      <c r="U13" s="449">
        <f t="shared" si="7"/>
        <v>-210000</v>
      </c>
      <c r="V13" s="449">
        <f t="shared" si="8"/>
        <v>-210000</v>
      </c>
      <c r="W13" s="449"/>
      <c r="X13" s="449"/>
      <c r="Y13" s="449"/>
      <c r="Z13" s="449"/>
      <c r="AA13" s="448"/>
      <c r="AB13" s="448" t="s">
        <v>318</v>
      </c>
      <c r="AC13" s="448">
        <v>742000</v>
      </c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</row>
    <row r="14" spans="1:50" s="452" customFormat="1" ht="34.950000000000003" customHeight="1">
      <c r="A14" s="448">
        <f t="shared" si="9"/>
        <v>10</v>
      </c>
      <c r="B14" s="448">
        <v>1220</v>
      </c>
      <c r="C14" s="448" t="s">
        <v>32</v>
      </c>
      <c r="D14" s="449">
        <f>7260000+2000000-2000000+200000-200000</f>
        <v>7260000</v>
      </c>
      <c r="E14" s="449">
        <v>7260000</v>
      </c>
      <c r="F14" s="449">
        <f t="shared" si="0"/>
        <v>0</v>
      </c>
      <c r="G14" s="449">
        <v>6760000</v>
      </c>
      <c r="H14" s="449">
        <v>6219405</v>
      </c>
      <c r="I14" s="449">
        <v>6436</v>
      </c>
      <c r="J14" s="449">
        <f>317137-16848-9660-46051</f>
        <v>244578</v>
      </c>
      <c r="K14" s="449">
        <f t="shared" si="1"/>
        <v>251014</v>
      </c>
      <c r="L14" s="449">
        <f t="shared" si="2"/>
        <v>6470419</v>
      </c>
      <c r="M14" s="450">
        <f>P14+S14-150000-230000+91000</f>
        <v>581</v>
      </c>
      <c r="N14" s="449">
        <f>700000+150000-550000-100000</f>
        <v>200000</v>
      </c>
      <c r="O14" s="449">
        <f t="shared" si="3"/>
        <v>589000</v>
      </c>
      <c r="P14" s="449">
        <f t="shared" si="4"/>
        <v>289581</v>
      </c>
      <c r="Q14" s="451"/>
      <c r="R14" s="449"/>
      <c r="S14" s="449">
        <f t="shared" si="5"/>
        <v>0</v>
      </c>
      <c r="T14" s="450">
        <f t="shared" si="6"/>
        <v>289000</v>
      </c>
      <c r="U14" s="449">
        <f t="shared" si="7"/>
        <v>-89000</v>
      </c>
      <c r="V14" s="449">
        <f t="shared" si="8"/>
        <v>-89000</v>
      </c>
      <c r="W14" s="449"/>
      <c r="X14" s="449"/>
      <c r="Y14" s="449"/>
      <c r="Z14" s="449"/>
      <c r="AA14" s="448"/>
      <c r="AB14" s="448" t="s">
        <v>725</v>
      </c>
      <c r="AC14" s="448">
        <v>732000</v>
      </c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</row>
    <row r="15" spans="1:50" s="456" customFormat="1" ht="41.4">
      <c r="A15" s="448">
        <f t="shared" si="9"/>
        <v>11</v>
      </c>
      <c r="B15" s="448">
        <v>1366</v>
      </c>
      <c r="C15" s="448" t="s">
        <v>34</v>
      </c>
      <c r="D15" s="449">
        <f>1500000+76000</f>
        <v>1576000</v>
      </c>
      <c r="E15" s="449">
        <v>1500000</v>
      </c>
      <c r="F15" s="449">
        <f t="shared" si="0"/>
        <v>76000</v>
      </c>
      <c r="G15" s="449">
        <v>1376000</v>
      </c>
      <c r="H15" s="449">
        <v>1044273</v>
      </c>
      <c r="I15" s="449"/>
      <c r="J15" s="449">
        <v>131715</v>
      </c>
      <c r="K15" s="449">
        <f t="shared" si="1"/>
        <v>131715</v>
      </c>
      <c r="L15" s="449">
        <f t="shared" si="2"/>
        <v>1175988</v>
      </c>
      <c r="M15" s="450">
        <f>P15+S15-200000-20000+20000</f>
        <v>12</v>
      </c>
      <c r="N15" s="449">
        <f>200000+200000-200000+20000-20000</f>
        <v>200000</v>
      </c>
      <c r="O15" s="449">
        <f t="shared" si="3"/>
        <v>200000</v>
      </c>
      <c r="P15" s="449">
        <f t="shared" si="4"/>
        <v>200012</v>
      </c>
      <c r="Q15" s="451"/>
      <c r="R15" s="449"/>
      <c r="S15" s="449">
        <f t="shared" si="5"/>
        <v>0</v>
      </c>
      <c r="T15" s="450">
        <f t="shared" si="6"/>
        <v>200000</v>
      </c>
      <c r="U15" s="449">
        <f t="shared" si="7"/>
        <v>0</v>
      </c>
      <c r="V15" s="449">
        <f t="shared" si="8"/>
        <v>0</v>
      </c>
      <c r="W15" s="449"/>
      <c r="X15" s="449"/>
      <c r="Y15" s="449"/>
      <c r="Z15" s="449"/>
      <c r="AA15" s="448"/>
      <c r="AB15" s="448" t="s">
        <v>481</v>
      </c>
      <c r="AC15" s="448">
        <v>742000</v>
      </c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</row>
    <row r="16" spans="1:50" s="456" customFormat="1" ht="41.4">
      <c r="A16" s="448">
        <f t="shared" si="9"/>
        <v>12</v>
      </c>
      <c r="B16" s="448">
        <v>1406</v>
      </c>
      <c r="C16" s="448" t="s">
        <v>99</v>
      </c>
      <c r="D16" s="449">
        <v>1250000</v>
      </c>
      <c r="E16" s="449">
        <v>1250000</v>
      </c>
      <c r="F16" s="449">
        <f t="shared" si="0"/>
        <v>0</v>
      </c>
      <c r="G16" s="449">
        <v>1250000</v>
      </c>
      <c r="H16" s="449">
        <v>1225877</v>
      </c>
      <c r="I16" s="449"/>
      <c r="J16" s="449">
        <v>24123</v>
      </c>
      <c r="K16" s="449">
        <f t="shared" si="1"/>
        <v>24123</v>
      </c>
      <c r="L16" s="449">
        <f t="shared" si="2"/>
        <v>1250000</v>
      </c>
      <c r="M16" s="450">
        <f>P16+S16-28590+4466+24124</f>
        <v>0</v>
      </c>
      <c r="N16" s="449"/>
      <c r="O16" s="449">
        <f t="shared" si="3"/>
        <v>0</v>
      </c>
      <c r="P16" s="449">
        <f t="shared" si="4"/>
        <v>0</v>
      </c>
      <c r="Q16" s="451"/>
      <c r="R16" s="449"/>
      <c r="S16" s="449">
        <f t="shared" si="5"/>
        <v>0</v>
      </c>
      <c r="T16" s="450">
        <f t="shared" si="6"/>
        <v>0</v>
      </c>
      <c r="U16" s="449">
        <f t="shared" si="7"/>
        <v>0</v>
      </c>
      <c r="V16" s="449">
        <f t="shared" si="8"/>
        <v>0</v>
      </c>
      <c r="W16" s="449"/>
      <c r="X16" s="449"/>
      <c r="Y16" s="449"/>
      <c r="Z16" s="449"/>
      <c r="AA16" s="448"/>
      <c r="AB16" s="448" t="s">
        <v>1336</v>
      </c>
      <c r="AC16" s="448">
        <v>732000</v>
      </c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</row>
    <row r="17" spans="1:50" s="456" customFormat="1" ht="34.950000000000003" customHeight="1">
      <c r="A17" s="448">
        <f t="shared" si="9"/>
        <v>13</v>
      </c>
      <c r="B17" s="448">
        <v>1407</v>
      </c>
      <c r="C17" s="448" t="s">
        <v>18</v>
      </c>
      <c r="D17" s="449">
        <f>5295000+3000000-3000000</f>
        <v>5295000</v>
      </c>
      <c r="E17" s="449">
        <v>5295000</v>
      </c>
      <c r="F17" s="449">
        <f t="shared" si="0"/>
        <v>0</v>
      </c>
      <c r="G17" s="449">
        <v>4145000</v>
      </c>
      <c r="H17" s="449">
        <v>3138708</v>
      </c>
      <c r="I17" s="449">
        <v>6581</v>
      </c>
      <c r="J17" s="449">
        <f>926932-40154-257400-12870</f>
        <v>616508</v>
      </c>
      <c r="K17" s="449">
        <f t="shared" si="1"/>
        <v>623089</v>
      </c>
      <c r="L17" s="449">
        <f t="shared" si="2"/>
        <v>3761797</v>
      </c>
      <c r="M17" s="450">
        <f>P17+S17-300000-30000-50000</f>
        <v>3203</v>
      </c>
      <c r="N17" s="449">
        <f>700000-300000-200000</f>
        <v>200000</v>
      </c>
      <c r="O17" s="449">
        <f t="shared" si="3"/>
        <v>1330000</v>
      </c>
      <c r="P17" s="449">
        <f t="shared" si="4"/>
        <v>383203</v>
      </c>
      <c r="Q17" s="451"/>
      <c r="R17" s="449"/>
      <c r="S17" s="449">
        <f t="shared" si="5"/>
        <v>0</v>
      </c>
      <c r="T17" s="450">
        <f t="shared" si="6"/>
        <v>380000</v>
      </c>
      <c r="U17" s="449">
        <f t="shared" si="7"/>
        <v>-180000</v>
      </c>
      <c r="V17" s="449">
        <f t="shared" si="8"/>
        <v>-180000</v>
      </c>
      <c r="W17" s="449"/>
      <c r="X17" s="449"/>
      <c r="Y17" s="449"/>
      <c r="Z17" s="449"/>
      <c r="AA17" s="448"/>
      <c r="AB17" s="448" t="s">
        <v>503</v>
      </c>
      <c r="AC17" s="448">
        <v>732000</v>
      </c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</row>
    <row r="18" spans="1:50" s="452" customFormat="1" ht="34.950000000000003" customHeight="1">
      <c r="A18" s="448">
        <f t="shared" si="9"/>
        <v>14</v>
      </c>
      <c r="B18" s="448">
        <v>1409</v>
      </c>
      <c r="C18" s="455" t="s">
        <v>820</v>
      </c>
      <c r="D18" s="449">
        <v>7680000</v>
      </c>
      <c r="E18" s="449">
        <v>7680000</v>
      </c>
      <c r="F18" s="449">
        <f t="shared" si="0"/>
        <v>0</v>
      </c>
      <c r="G18" s="449">
        <v>6985000</v>
      </c>
      <c r="H18" s="449">
        <v>5099564</v>
      </c>
      <c r="I18" s="449">
        <v>1314720</v>
      </c>
      <c r="J18" s="449"/>
      <c r="K18" s="449">
        <f t="shared" si="1"/>
        <v>1314720</v>
      </c>
      <c r="L18" s="449">
        <f t="shared" si="2"/>
        <v>6414284</v>
      </c>
      <c r="M18" s="450">
        <f>P18+S18-570000</f>
        <v>716</v>
      </c>
      <c r="N18" s="449">
        <f>570000-270000-200000</f>
        <v>100000</v>
      </c>
      <c r="O18" s="449">
        <f t="shared" si="3"/>
        <v>1165000</v>
      </c>
      <c r="P18" s="449">
        <f t="shared" si="4"/>
        <v>570716</v>
      </c>
      <c r="Q18" s="451"/>
      <c r="R18" s="449"/>
      <c r="S18" s="449">
        <f t="shared" si="5"/>
        <v>0</v>
      </c>
      <c r="T18" s="450">
        <f t="shared" si="6"/>
        <v>570000</v>
      </c>
      <c r="U18" s="449">
        <f t="shared" si="7"/>
        <v>-470000</v>
      </c>
      <c r="V18" s="449">
        <f t="shared" si="8"/>
        <v>-470000</v>
      </c>
      <c r="W18" s="449"/>
      <c r="X18" s="449"/>
      <c r="Y18" s="449"/>
      <c r="Z18" s="449"/>
      <c r="AA18" s="448"/>
      <c r="AB18" s="448" t="s">
        <v>504</v>
      </c>
      <c r="AC18" s="448">
        <v>732000</v>
      </c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</row>
    <row r="19" spans="1:50" s="452" customFormat="1" ht="41.4">
      <c r="A19" s="448">
        <f t="shared" si="9"/>
        <v>15</v>
      </c>
      <c r="B19" s="448">
        <v>1466</v>
      </c>
      <c r="C19" s="448" t="s">
        <v>19</v>
      </c>
      <c r="D19" s="449">
        <v>2200000</v>
      </c>
      <c r="E19" s="449">
        <v>2200000</v>
      </c>
      <c r="F19" s="449">
        <f t="shared" si="0"/>
        <v>0</v>
      </c>
      <c r="G19" s="449">
        <v>1600000</v>
      </c>
      <c r="H19" s="449">
        <v>1352852</v>
      </c>
      <c r="I19" s="449"/>
      <c r="J19" s="449">
        <f>31636+194234</f>
        <v>225870</v>
      </c>
      <c r="K19" s="449">
        <f t="shared" si="1"/>
        <v>225870</v>
      </c>
      <c r="L19" s="449">
        <f t="shared" si="2"/>
        <v>1578722</v>
      </c>
      <c r="M19" s="450">
        <f>P19+S19-50000-160000+190000</f>
        <v>1278</v>
      </c>
      <c r="N19" s="449">
        <f>200000+50000-200000</f>
        <v>50000</v>
      </c>
      <c r="O19" s="449">
        <f t="shared" si="3"/>
        <v>570000</v>
      </c>
      <c r="P19" s="449">
        <f t="shared" si="4"/>
        <v>21278</v>
      </c>
      <c r="Q19" s="451"/>
      <c r="R19" s="449"/>
      <c r="S19" s="449">
        <f t="shared" si="5"/>
        <v>0</v>
      </c>
      <c r="T19" s="450">
        <f t="shared" si="6"/>
        <v>20000</v>
      </c>
      <c r="U19" s="449">
        <f t="shared" si="7"/>
        <v>30000</v>
      </c>
      <c r="V19" s="449">
        <f t="shared" si="8"/>
        <v>30000</v>
      </c>
      <c r="W19" s="449"/>
      <c r="X19" s="449"/>
      <c r="Y19" s="449"/>
      <c r="Z19" s="449"/>
      <c r="AA19" s="448"/>
      <c r="AB19" s="448" t="s">
        <v>726</v>
      </c>
      <c r="AC19" s="448">
        <v>732000</v>
      </c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</row>
    <row r="20" spans="1:50" s="452" customFormat="1" ht="41.4">
      <c r="A20" s="448">
        <f t="shared" si="9"/>
        <v>16</v>
      </c>
      <c r="B20" s="448">
        <v>1527</v>
      </c>
      <c r="C20" s="448" t="s">
        <v>585</v>
      </c>
      <c r="D20" s="449">
        <v>3000000</v>
      </c>
      <c r="E20" s="449">
        <v>3000000</v>
      </c>
      <c r="F20" s="449">
        <f t="shared" si="0"/>
        <v>0</v>
      </c>
      <c r="G20" s="449">
        <v>1150000</v>
      </c>
      <c r="H20" s="449">
        <v>902305</v>
      </c>
      <c r="I20" s="449"/>
      <c r="J20" s="449"/>
      <c r="K20" s="449">
        <f t="shared" si="1"/>
        <v>0</v>
      </c>
      <c r="L20" s="449">
        <f t="shared" si="2"/>
        <v>902305</v>
      </c>
      <c r="M20" s="450">
        <f>P20+S20-245000</f>
        <v>2695</v>
      </c>
      <c r="N20" s="449">
        <f>245000-95000-100000</f>
        <v>50000</v>
      </c>
      <c r="O20" s="449">
        <f t="shared" si="3"/>
        <v>2045000</v>
      </c>
      <c r="P20" s="449">
        <f t="shared" si="4"/>
        <v>247695</v>
      </c>
      <c r="Q20" s="451"/>
      <c r="R20" s="449"/>
      <c r="S20" s="449">
        <f t="shared" si="5"/>
        <v>0</v>
      </c>
      <c r="T20" s="450">
        <f t="shared" si="6"/>
        <v>245000</v>
      </c>
      <c r="U20" s="449">
        <f t="shared" si="7"/>
        <v>-195000</v>
      </c>
      <c r="V20" s="449">
        <f t="shared" si="8"/>
        <v>-195000</v>
      </c>
      <c r="W20" s="449"/>
      <c r="X20" s="449"/>
      <c r="Y20" s="449"/>
      <c r="Z20" s="449"/>
      <c r="AA20" s="448"/>
      <c r="AB20" s="455" t="s">
        <v>968</v>
      </c>
      <c r="AC20" s="448">
        <v>732000</v>
      </c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</row>
    <row r="21" spans="1:50" s="452" customFormat="1" ht="40.200000000000003" customHeight="1">
      <c r="A21" s="448">
        <f t="shared" si="9"/>
        <v>17</v>
      </c>
      <c r="B21" s="448">
        <v>1529</v>
      </c>
      <c r="C21" s="448" t="s">
        <v>41</v>
      </c>
      <c r="D21" s="449">
        <v>700000</v>
      </c>
      <c r="E21" s="449">
        <v>700000</v>
      </c>
      <c r="F21" s="449">
        <f t="shared" si="0"/>
        <v>0</v>
      </c>
      <c r="G21" s="449">
        <v>500000</v>
      </c>
      <c r="H21" s="449">
        <v>417794</v>
      </c>
      <c r="I21" s="449"/>
      <c r="J21" s="449"/>
      <c r="K21" s="449">
        <f t="shared" si="1"/>
        <v>0</v>
      </c>
      <c r="L21" s="449">
        <f t="shared" si="2"/>
        <v>417794</v>
      </c>
      <c r="M21" s="450">
        <f>P21+S21-70000-10000</f>
        <v>2206</v>
      </c>
      <c r="N21" s="449">
        <f>70000-30000</f>
        <v>40000</v>
      </c>
      <c r="O21" s="449">
        <f t="shared" si="3"/>
        <v>240000</v>
      </c>
      <c r="P21" s="449">
        <f t="shared" si="4"/>
        <v>82206</v>
      </c>
      <c r="Q21" s="451"/>
      <c r="R21" s="449"/>
      <c r="S21" s="449">
        <f t="shared" si="5"/>
        <v>0</v>
      </c>
      <c r="T21" s="450">
        <f t="shared" si="6"/>
        <v>80000</v>
      </c>
      <c r="U21" s="449">
        <f t="shared" si="7"/>
        <v>-40000</v>
      </c>
      <c r="V21" s="449">
        <f t="shared" si="8"/>
        <v>-40000</v>
      </c>
      <c r="W21" s="449"/>
      <c r="X21" s="449"/>
      <c r="Y21" s="449"/>
      <c r="Z21" s="449"/>
      <c r="AA21" s="448"/>
      <c r="AB21" s="448" t="s">
        <v>303</v>
      </c>
      <c r="AC21" s="448">
        <v>760000</v>
      </c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</row>
    <row r="22" spans="1:50" s="452" customFormat="1" ht="41.4">
      <c r="A22" s="448">
        <f t="shared" si="9"/>
        <v>18</v>
      </c>
      <c r="B22" s="448">
        <v>1551</v>
      </c>
      <c r="C22" s="448" t="s">
        <v>958</v>
      </c>
      <c r="D22" s="449">
        <v>525240</v>
      </c>
      <c r="E22" s="449">
        <v>525240</v>
      </c>
      <c r="F22" s="449">
        <f t="shared" si="0"/>
        <v>0</v>
      </c>
      <c r="G22" s="449">
        <v>375240</v>
      </c>
      <c r="H22" s="449">
        <v>237203</v>
      </c>
      <c r="I22" s="449">
        <v>7492</v>
      </c>
      <c r="J22" s="449"/>
      <c r="K22" s="449">
        <f t="shared" si="1"/>
        <v>7492</v>
      </c>
      <c r="L22" s="449">
        <f t="shared" si="2"/>
        <v>244695</v>
      </c>
      <c r="M22" s="450">
        <f>P22+S22-130000</f>
        <v>545</v>
      </c>
      <c r="N22" s="449">
        <f>130000-30000-70000</f>
        <v>30000</v>
      </c>
      <c r="O22" s="449">
        <f t="shared" si="3"/>
        <v>250000</v>
      </c>
      <c r="P22" s="449">
        <f t="shared" si="4"/>
        <v>130545</v>
      </c>
      <c r="Q22" s="451"/>
      <c r="R22" s="449"/>
      <c r="S22" s="449">
        <f t="shared" si="5"/>
        <v>0</v>
      </c>
      <c r="T22" s="450">
        <f t="shared" si="6"/>
        <v>130000</v>
      </c>
      <c r="U22" s="449">
        <f t="shared" si="7"/>
        <v>-100000</v>
      </c>
      <c r="V22" s="449">
        <f t="shared" si="8"/>
        <v>-100000</v>
      </c>
      <c r="W22" s="449"/>
      <c r="X22" s="449"/>
      <c r="Y22" s="449"/>
      <c r="Z22" s="449"/>
      <c r="AA22" s="448"/>
      <c r="AB22" s="448" t="s">
        <v>483</v>
      </c>
      <c r="AC22" s="448">
        <v>732000</v>
      </c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</row>
    <row r="23" spans="1:50" s="452" customFormat="1" ht="40.200000000000003" customHeight="1">
      <c r="A23" s="448">
        <f t="shared" si="9"/>
        <v>19</v>
      </c>
      <c r="B23" s="448">
        <v>1576</v>
      </c>
      <c r="C23" s="448" t="s">
        <v>42</v>
      </c>
      <c r="D23" s="449">
        <v>1000000</v>
      </c>
      <c r="E23" s="449">
        <v>1000000</v>
      </c>
      <c r="F23" s="449">
        <f t="shared" si="0"/>
        <v>0</v>
      </c>
      <c r="G23" s="449">
        <v>450000</v>
      </c>
      <c r="H23" s="449">
        <v>376310</v>
      </c>
      <c r="I23" s="449"/>
      <c r="J23" s="449"/>
      <c r="K23" s="449">
        <f t="shared" si="1"/>
        <v>0</v>
      </c>
      <c r="L23" s="449">
        <f t="shared" si="2"/>
        <v>376310</v>
      </c>
      <c r="M23" s="450">
        <f>P23+S23-70000</f>
        <v>3690</v>
      </c>
      <c r="N23" s="449">
        <f>70000-20000</f>
        <v>50000</v>
      </c>
      <c r="O23" s="449">
        <f t="shared" si="3"/>
        <v>570000</v>
      </c>
      <c r="P23" s="449">
        <f t="shared" si="4"/>
        <v>73690</v>
      </c>
      <c r="Q23" s="451"/>
      <c r="R23" s="449"/>
      <c r="S23" s="449">
        <f t="shared" si="5"/>
        <v>0</v>
      </c>
      <c r="T23" s="450">
        <f t="shared" si="6"/>
        <v>70000</v>
      </c>
      <c r="U23" s="449">
        <f t="shared" si="7"/>
        <v>-20000</v>
      </c>
      <c r="V23" s="449">
        <f t="shared" si="8"/>
        <v>-20000</v>
      </c>
      <c r="W23" s="449"/>
      <c r="X23" s="449"/>
      <c r="Y23" s="449"/>
      <c r="Z23" s="449"/>
      <c r="AA23" s="448"/>
      <c r="AB23" s="448" t="s">
        <v>319</v>
      </c>
      <c r="AC23" s="448">
        <v>732000</v>
      </c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</row>
    <row r="24" spans="1:50" s="456" customFormat="1" ht="41.4">
      <c r="A24" s="448">
        <f t="shared" si="9"/>
        <v>20</v>
      </c>
      <c r="B24" s="448">
        <v>1587</v>
      </c>
      <c r="C24" s="448" t="s">
        <v>89</v>
      </c>
      <c r="D24" s="449">
        <v>34200000</v>
      </c>
      <c r="E24" s="449">
        <v>34200000</v>
      </c>
      <c r="F24" s="449">
        <f t="shared" si="0"/>
        <v>0</v>
      </c>
      <c r="G24" s="449">
        <v>15110000</v>
      </c>
      <c r="H24" s="449">
        <v>10204546</v>
      </c>
      <c r="I24" s="449">
        <v>1002050</v>
      </c>
      <c r="J24" s="449">
        <v>2328138</v>
      </c>
      <c r="K24" s="449">
        <f t="shared" si="1"/>
        <v>3330188</v>
      </c>
      <c r="L24" s="449">
        <f t="shared" si="2"/>
        <v>13534734</v>
      </c>
      <c r="M24" s="449">
        <f>P24+S24-1500000</f>
        <v>75266</v>
      </c>
      <c r="N24" s="449">
        <f>4500000+8800000+1500000-7400000-4400000-500000</f>
        <v>2500000</v>
      </c>
      <c r="O24" s="449">
        <f t="shared" si="3"/>
        <v>18090000</v>
      </c>
      <c r="P24" s="449">
        <f t="shared" si="4"/>
        <v>1575266</v>
      </c>
      <c r="Q24" s="451"/>
      <c r="R24" s="449"/>
      <c r="S24" s="449">
        <f t="shared" si="5"/>
        <v>0</v>
      </c>
      <c r="T24" s="450">
        <f t="shared" si="6"/>
        <v>1500000</v>
      </c>
      <c r="U24" s="449">
        <f t="shared" si="7"/>
        <v>1000000</v>
      </c>
      <c r="V24" s="449">
        <f t="shared" si="8"/>
        <v>1000000</v>
      </c>
      <c r="W24" s="449"/>
      <c r="X24" s="449"/>
      <c r="Y24" s="449"/>
      <c r="Z24" s="449"/>
      <c r="AA24" s="448"/>
      <c r="AB24" s="448" t="s">
        <v>1337</v>
      </c>
      <c r="AC24" s="448">
        <v>742000</v>
      </c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</row>
    <row r="25" spans="1:50" s="452" customFormat="1" ht="40.200000000000003" customHeight="1">
      <c r="A25" s="448">
        <f t="shared" si="9"/>
        <v>21</v>
      </c>
      <c r="B25" s="448">
        <v>1601</v>
      </c>
      <c r="C25" s="448" t="s">
        <v>35</v>
      </c>
      <c r="D25" s="449">
        <v>700000</v>
      </c>
      <c r="E25" s="449">
        <v>700000</v>
      </c>
      <c r="F25" s="449">
        <f t="shared" si="0"/>
        <v>0</v>
      </c>
      <c r="G25" s="449">
        <v>600000</v>
      </c>
      <c r="H25" s="449">
        <v>563211</v>
      </c>
      <c r="I25" s="449"/>
      <c r="J25" s="449"/>
      <c r="K25" s="449">
        <f t="shared" si="1"/>
        <v>0</v>
      </c>
      <c r="L25" s="449">
        <f t="shared" si="2"/>
        <v>563211</v>
      </c>
      <c r="M25" s="450">
        <f>P25+S25-30000</f>
        <v>6789</v>
      </c>
      <c r="N25" s="449">
        <v>50000</v>
      </c>
      <c r="O25" s="449">
        <f t="shared" si="3"/>
        <v>80000</v>
      </c>
      <c r="P25" s="449">
        <f t="shared" si="4"/>
        <v>36789</v>
      </c>
      <c r="Q25" s="451"/>
      <c r="R25" s="449"/>
      <c r="S25" s="449">
        <f t="shared" si="5"/>
        <v>0</v>
      </c>
      <c r="T25" s="450">
        <f t="shared" si="6"/>
        <v>30000</v>
      </c>
      <c r="U25" s="449">
        <f t="shared" si="7"/>
        <v>20000</v>
      </c>
      <c r="V25" s="449">
        <f t="shared" si="8"/>
        <v>20000</v>
      </c>
      <c r="W25" s="449"/>
      <c r="X25" s="449"/>
      <c r="Y25" s="449"/>
      <c r="Z25" s="449"/>
      <c r="AA25" s="448"/>
      <c r="AB25" s="448" t="s">
        <v>540</v>
      </c>
      <c r="AC25" s="448">
        <v>742000</v>
      </c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</row>
    <row r="26" spans="1:50" s="456" customFormat="1" ht="55.2">
      <c r="A26" s="448">
        <f t="shared" si="9"/>
        <v>22</v>
      </c>
      <c r="B26" s="448">
        <v>1660</v>
      </c>
      <c r="C26" s="448" t="s">
        <v>20</v>
      </c>
      <c r="D26" s="449">
        <v>2000000</v>
      </c>
      <c r="E26" s="449">
        <v>2000000</v>
      </c>
      <c r="F26" s="449">
        <f t="shared" si="0"/>
        <v>0</v>
      </c>
      <c r="G26" s="449">
        <v>1300000</v>
      </c>
      <c r="H26" s="449">
        <v>425092</v>
      </c>
      <c r="I26" s="449">
        <f>173160-70200</f>
        <v>102960</v>
      </c>
      <c r="J26" s="449">
        <v>553295</v>
      </c>
      <c r="K26" s="449">
        <f t="shared" si="1"/>
        <v>656255</v>
      </c>
      <c r="L26" s="449">
        <f t="shared" si="2"/>
        <v>1081347</v>
      </c>
      <c r="M26" s="449">
        <f>P26+S26-100000-430000+382000-70000</f>
        <v>653</v>
      </c>
      <c r="N26" s="449">
        <f>400000+100000-300000-100000</f>
        <v>100000</v>
      </c>
      <c r="O26" s="449">
        <f t="shared" si="3"/>
        <v>818000</v>
      </c>
      <c r="P26" s="449">
        <f t="shared" si="4"/>
        <v>218653</v>
      </c>
      <c r="Q26" s="451"/>
      <c r="R26" s="449"/>
      <c r="S26" s="449">
        <f t="shared" si="5"/>
        <v>0</v>
      </c>
      <c r="T26" s="450">
        <f t="shared" si="6"/>
        <v>218000</v>
      </c>
      <c r="U26" s="449">
        <f t="shared" si="7"/>
        <v>-118000</v>
      </c>
      <c r="V26" s="449">
        <f t="shared" si="8"/>
        <v>-118000</v>
      </c>
      <c r="W26" s="449"/>
      <c r="X26" s="449"/>
      <c r="Y26" s="449"/>
      <c r="Z26" s="449"/>
      <c r="AA26" s="448"/>
      <c r="AB26" s="448" t="s">
        <v>1350</v>
      </c>
      <c r="AC26" s="448">
        <v>732000</v>
      </c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</row>
    <row r="27" spans="1:50" s="452" customFormat="1" ht="41.4">
      <c r="A27" s="448">
        <f t="shared" si="9"/>
        <v>23</v>
      </c>
      <c r="B27" s="448">
        <v>1692</v>
      </c>
      <c r="C27" s="448" t="s">
        <v>21</v>
      </c>
      <c r="D27" s="449">
        <v>2450000</v>
      </c>
      <c r="E27" s="449">
        <v>2450000</v>
      </c>
      <c r="F27" s="449">
        <f t="shared" si="0"/>
        <v>0</v>
      </c>
      <c r="G27" s="449">
        <v>1746509</v>
      </c>
      <c r="H27" s="449">
        <v>578671</v>
      </c>
      <c r="I27" s="449">
        <v>128716</v>
      </c>
      <c r="J27" s="449"/>
      <c r="K27" s="449">
        <f t="shared" si="1"/>
        <v>128716</v>
      </c>
      <c r="L27" s="449">
        <f t="shared" si="2"/>
        <v>707387</v>
      </c>
      <c r="M27" s="450">
        <f>P27+S27-1030000</f>
        <v>9122</v>
      </c>
      <c r="N27" s="449">
        <v>1030000</v>
      </c>
      <c r="O27" s="449">
        <f t="shared" si="3"/>
        <v>703491</v>
      </c>
      <c r="P27" s="449">
        <f t="shared" si="4"/>
        <v>1039122</v>
      </c>
      <c r="Q27" s="451"/>
      <c r="R27" s="449"/>
      <c r="S27" s="449">
        <f t="shared" si="5"/>
        <v>0</v>
      </c>
      <c r="T27" s="450">
        <f t="shared" si="6"/>
        <v>1030000</v>
      </c>
      <c r="U27" s="449">
        <f t="shared" si="7"/>
        <v>0</v>
      </c>
      <c r="V27" s="449">
        <f t="shared" si="8"/>
        <v>0</v>
      </c>
      <c r="W27" s="449"/>
      <c r="X27" s="449"/>
      <c r="Y27" s="449"/>
      <c r="Z27" s="449"/>
      <c r="AA27" s="448"/>
      <c r="AB27" s="448" t="s">
        <v>1413</v>
      </c>
      <c r="AC27" s="448">
        <v>732000</v>
      </c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</row>
    <row r="28" spans="1:50" s="452" customFormat="1" ht="40.200000000000003" customHeight="1">
      <c r="A28" s="448">
        <f t="shared" si="9"/>
        <v>24</v>
      </c>
      <c r="B28" s="448">
        <v>1701</v>
      </c>
      <c r="C28" s="448" t="s">
        <v>244</v>
      </c>
      <c r="D28" s="449">
        <v>1250000</v>
      </c>
      <c r="E28" s="449">
        <v>1250000</v>
      </c>
      <c r="F28" s="449">
        <f t="shared" si="0"/>
        <v>0</v>
      </c>
      <c r="G28" s="449">
        <v>570000</v>
      </c>
      <c r="H28" s="449">
        <v>149316</v>
      </c>
      <c r="I28" s="449">
        <v>75117</v>
      </c>
      <c r="J28" s="449"/>
      <c r="K28" s="449">
        <f t="shared" si="1"/>
        <v>75117</v>
      </c>
      <c r="L28" s="449">
        <f t="shared" si="2"/>
        <v>224433</v>
      </c>
      <c r="M28" s="450">
        <f>P28+S28-200000-145000</f>
        <v>567</v>
      </c>
      <c r="N28" s="449">
        <f>200000-100000-70000</f>
        <v>30000</v>
      </c>
      <c r="O28" s="449">
        <f t="shared" si="3"/>
        <v>995000</v>
      </c>
      <c r="P28" s="449">
        <f t="shared" si="4"/>
        <v>345567</v>
      </c>
      <c r="Q28" s="451"/>
      <c r="R28" s="449"/>
      <c r="S28" s="449">
        <f t="shared" si="5"/>
        <v>0</v>
      </c>
      <c r="T28" s="450">
        <f t="shared" si="6"/>
        <v>345000</v>
      </c>
      <c r="U28" s="449">
        <f t="shared" si="7"/>
        <v>-315000</v>
      </c>
      <c r="V28" s="449">
        <f t="shared" si="8"/>
        <v>-315000</v>
      </c>
      <c r="W28" s="449"/>
      <c r="X28" s="449"/>
      <c r="Y28" s="449"/>
      <c r="Z28" s="449"/>
      <c r="AA28" s="448"/>
      <c r="AB28" s="448" t="s">
        <v>485</v>
      </c>
      <c r="AC28" s="448">
        <v>732000</v>
      </c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2"/>
      <c r="AR28" s="422"/>
      <c r="AS28" s="422"/>
      <c r="AT28" s="422"/>
      <c r="AU28" s="422"/>
      <c r="AV28" s="422"/>
      <c r="AW28" s="422"/>
      <c r="AX28" s="422"/>
    </row>
    <row r="29" spans="1:50" s="452" customFormat="1" ht="40.200000000000003" customHeight="1">
      <c r="A29" s="448">
        <f t="shared" si="9"/>
        <v>25</v>
      </c>
      <c r="B29" s="448">
        <v>1722</v>
      </c>
      <c r="C29" s="448" t="s">
        <v>36</v>
      </c>
      <c r="D29" s="449">
        <f>2400000-2239000-2000</f>
        <v>159000</v>
      </c>
      <c r="E29" s="449">
        <v>2400000</v>
      </c>
      <c r="F29" s="449">
        <f t="shared" si="0"/>
        <v>-2241000</v>
      </c>
      <c r="G29" s="449">
        <v>300000</v>
      </c>
      <c r="H29" s="449">
        <v>108736</v>
      </c>
      <c r="I29" s="449">
        <f>67053-67053</f>
        <v>0</v>
      </c>
      <c r="J29" s="449"/>
      <c r="K29" s="449">
        <f t="shared" si="1"/>
        <v>0</v>
      </c>
      <c r="L29" s="449">
        <f t="shared" si="2"/>
        <v>108736</v>
      </c>
      <c r="M29" s="450">
        <f>P29+S29-120000-69000-2000</f>
        <v>264</v>
      </c>
      <c r="N29" s="449">
        <f>120000-70000</f>
        <v>50000</v>
      </c>
      <c r="O29" s="449">
        <f t="shared" si="3"/>
        <v>0</v>
      </c>
      <c r="P29" s="449">
        <f t="shared" si="4"/>
        <v>191264</v>
      </c>
      <c r="Q29" s="451"/>
      <c r="R29" s="449"/>
      <c r="S29" s="449">
        <f t="shared" si="5"/>
        <v>0</v>
      </c>
      <c r="T29" s="450">
        <f t="shared" si="6"/>
        <v>191000</v>
      </c>
      <c r="U29" s="449">
        <f t="shared" si="7"/>
        <v>-141000</v>
      </c>
      <c r="V29" s="449">
        <f t="shared" si="8"/>
        <v>-141000</v>
      </c>
      <c r="W29" s="449"/>
      <c r="X29" s="449"/>
      <c r="Y29" s="449"/>
      <c r="Z29" s="449"/>
      <c r="AA29" s="448"/>
      <c r="AB29" s="448" t="s">
        <v>245</v>
      </c>
      <c r="AC29" s="448">
        <v>742000</v>
      </c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  <c r="AP29" s="422"/>
      <c r="AQ29" s="422"/>
      <c r="AR29" s="422"/>
      <c r="AS29" s="422"/>
      <c r="AT29" s="422"/>
      <c r="AU29" s="422"/>
      <c r="AV29" s="422"/>
      <c r="AW29" s="422"/>
      <c r="AX29" s="422"/>
    </row>
    <row r="30" spans="1:50" s="456" customFormat="1" ht="40.200000000000003" customHeight="1">
      <c r="A30" s="448">
        <f t="shared" si="9"/>
        <v>26</v>
      </c>
      <c r="B30" s="448">
        <v>1744</v>
      </c>
      <c r="C30" s="448" t="s">
        <v>37</v>
      </c>
      <c r="D30" s="449">
        <v>13000000</v>
      </c>
      <c r="E30" s="449">
        <v>13000000</v>
      </c>
      <c r="F30" s="449">
        <f t="shared" si="0"/>
        <v>0</v>
      </c>
      <c r="G30" s="449">
        <v>7200000</v>
      </c>
      <c r="H30" s="449">
        <v>6067198</v>
      </c>
      <c r="I30" s="449"/>
      <c r="J30" s="449">
        <v>674849</v>
      </c>
      <c r="K30" s="449">
        <f t="shared" si="1"/>
        <v>674849</v>
      </c>
      <c r="L30" s="449">
        <f t="shared" si="2"/>
        <v>6742047</v>
      </c>
      <c r="M30" s="450">
        <f>P30+S30-450000</f>
        <v>7953</v>
      </c>
      <c r="N30" s="449">
        <f>450000-250000</f>
        <v>200000</v>
      </c>
      <c r="O30" s="449">
        <f t="shared" si="3"/>
        <v>6050000</v>
      </c>
      <c r="P30" s="449">
        <f t="shared" si="4"/>
        <v>457953</v>
      </c>
      <c r="Q30" s="451"/>
      <c r="R30" s="449"/>
      <c r="S30" s="449">
        <f t="shared" si="5"/>
        <v>0</v>
      </c>
      <c r="T30" s="450">
        <f t="shared" si="6"/>
        <v>450000</v>
      </c>
      <c r="U30" s="449">
        <f t="shared" si="7"/>
        <v>-250000</v>
      </c>
      <c r="V30" s="449">
        <f t="shared" si="8"/>
        <v>-250000</v>
      </c>
      <c r="W30" s="449"/>
      <c r="X30" s="449"/>
      <c r="Y30" s="449"/>
      <c r="Z30" s="449"/>
      <c r="AA30" s="448"/>
      <c r="AB30" s="448" t="s">
        <v>787</v>
      </c>
      <c r="AC30" s="448">
        <v>742000</v>
      </c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</row>
    <row r="31" spans="1:50" s="452" customFormat="1" ht="52.95" customHeight="1">
      <c r="A31" s="448">
        <f t="shared" si="9"/>
        <v>27</v>
      </c>
      <c r="B31" s="448">
        <v>1756</v>
      </c>
      <c r="C31" s="448" t="s">
        <v>436</v>
      </c>
      <c r="D31" s="449">
        <v>1700000</v>
      </c>
      <c r="E31" s="449">
        <v>1700000</v>
      </c>
      <c r="F31" s="449">
        <f t="shared" si="0"/>
        <v>0</v>
      </c>
      <c r="G31" s="449">
        <v>955000</v>
      </c>
      <c r="H31" s="449">
        <v>511535</v>
      </c>
      <c r="I31" s="449"/>
      <c r="J31" s="449">
        <v>119855</v>
      </c>
      <c r="K31" s="449">
        <f t="shared" si="1"/>
        <v>119855</v>
      </c>
      <c r="L31" s="449">
        <f t="shared" si="2"/>
        <v>631390</v>
      </c>
      <c r="M31" s="450">
        <f>P31+S31-320000</f>
        <v>3610</v>
      </c>
      <c r="N31" s="449">
        <f>320000-200000-50000+5000</f>
        <v>75000</v>
      </c>
      <c r="O31" s="449">
        <f t="shared" si="3"/>
        <v>990000</v>
      </c>
      <c r="P31" s="449">
        <f t="shared" si="4"/>
        <v>323610</v>
      </c>
      <c r="Q31" s="451"/>
      <c r="R31" s="449"/>
      <c r="S31" s="449">
        <f t="shared" si="5"/>
        <v>0</v>
      </c>
      <c r="T31" s="450">
        <f t="shared" si="6"/>
        <v>320000</v>
      </c>
      <c r="U31" s="449">
        <f t="shared" si="7"/>
        <v>-245000</v>
      </c>
      <c r="V31" s="449">
        <f t="shared" si="8"/>
        <v>-245000</v>
      </c>
      <c r="W31" s="449"/>
      <c r="X31" s="449"/>
      <c r="Y31" s="449"/>
      <c r="Z31" s="449"/>
      <c r="AA31" s="448"/>
      <c r="AB31" s="455" t="s">
        <v>969</v>
      </c>
      <c r="AC31" s="448">
        <v>732000</v>
      </c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</row>
    <row r="32" spans="1:50" s="457" customFormat="1" ht="40.200000000000003" customHeight="1">
      <c r="A32" s="448">
        <f t="shared" si="9"/>
        <v>28</v>
      </c>
      <c r="B32" s="448">
        <v>1843</v>
      </c>
      <c r="C32" s="448" t="s">
        <v>97</v>
      </c>
      <c r="D32" s="449">
        <v>380000</v>
      </c>
      <c r="E32" s="449">
        <v>380000</v>
      </c>
      <c r="F32" s="449">
        <f t="shared" si="0"/>
        <v>0</v>
      </c>
      <c r="G32" s="449">
        <v>0</v>
      </c>
      <c r="H32" s="449"/>
      <c r="I32" s="449"/>
      <c r="J32" s="449"/>
      <c r="K32" s="449">
        <f t="shared" si="1"/>
        <v>0</v>
      </c>
      <c r="L32" s="449">
        <f t="shared" si="2"/>
        <v>0</v>
      </c>
      <c r="M32" s="450">
        <f>P32+S32</f>
        <v>0</v>
      </c>
      <c r="N32" s="449"/>
      <c r="O32" s="449">
        <f t="shared" si="3"/>
        <v>380000</v>
      </c>
      <c r="P32" s="449">
        <f t="shared" si="4"/>
        <v>0</v>
      </c>
      <c r="Q32" s="451"/>
      <c r="R32" s="449"/>
      <c r="S32" s="449">
        <f t="shared" si="5"/>
        <v>0</v>
      </c>
      <c r="T32" s="450">
        <f t="shared" si="6"/>
        <v>0</v>
      </c>
      <c r="U32" s="449">
        <f t="shared" si="7"/>
        <v>0</v>
      </c>
      <c r="V32" s="449">
        <f t="shared" si="8"/>
        <v>0</v>
      </c>
      <c r="W32" s="449"/>
      <c r="X32" s="449"/>
      <c r="Y32" s="449"/>
      <c r="Z32" s="449"/>
      <c r="AA32" s="448"/>
      <c r="AB32" s="448" t="s">
        <v>586</v>
      </c>
      <c r="AC32" s="448">
        <v>732000</v>
      </c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</row>
    <row r="33" spans="1:50" s="456" customFormat="1" ht="55.2">
      <c r="A33" s="448">
        <f t="shared" si="9"/>
        <v>29</v>
      </c>
      <c r="B33" s="448">
        <v>1937</v>
      </c>
      <c r="C33" s="448" t="s">
        <v>324</v>
      </c>
      <c r="D33" s="449">
        <f>1050000-590000-395765</f>
        <v>64235</v>
      </c>
      <c r="E33" s="449">
        <v>1050000</v>
      </c>
      <c r="F33" s="449">
        <f t="shared" si="0"/>
        <v>-985765</v>
      </c>
      <c r="G33" s="449">
        <v>650000</v>
      </c>
      <c r="H33" s="449">
        <v>64235</v>
      </c>
      <c r="I33" s="449">
        <f>244936-244936</f>
        <v>0</v>
      </c>
      <c r="J33" s="449"/>
      <c r="K33" s="449">
        <f t="shared" si="1"/>
        <v>0</v>
      </c>
      <c r="L33" s="449">
        <f t="shared" si="2"/>
        <v>64235</v>
      </c>
      <c r="M33" s="450">
        <f>P33+S33-190000-395765</f>
        <v>0</v>
      </c>
      <c r="N33" s="449">
        <f>190000-190000</f>
        <v>0</v>
      </c>
      <c r="O33" s="449">
        <f t="shared" si="3"/>
        <v>0</v>
      </c>
      <c r="P33" s="449">
        <f t="shared" si="4"/>
        <v>585765</v>
      </c>
      <c r="Q33" s="451"/>
      <c r="R33" s="449"/>
      <c r="S33" s="449">
        <f t="shared" si="5"/>
        <v>0</v>
      </c>
      <c r="T33" s="450">
        <f t="shared" si="6"/>
        <v>585765</v>
      </c>
      <c r="U33" s="449">
        <f t="shared" si="7"/>
        <v>-585765</v>
      </c>
      <c r="V33" s="449">
        <f t="shared" si="8"/>
        <v>-585765</v>
      </c>
      <c r="W33" s="449"/>
      <c r="X33" s="449"/>
      <c r="Y33" s="449"/>
      <c r="Z33" s="449"/>
      <c r="AA33" s="448"/>
      <c r="AB33" s="448" t="s">
        <v>1380</v>
      </c>
      <c r="AC33" s="448">
        <v>732000</v>
      </c>
      <c r="AD33" s="422"/>
      <c r="AE33" s="422"/>
      <c r="AF33" s="422"/>
      <c r="AG33" s="422"/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</row>
    <row r="34" spans="1:50" s="456" customFormat="1" ht="41.4">
      <c r="A34" s="448">
        <f t="shared" si="9"/>
        <v>30</v>
      </c>
      <c r="B34" s="455">
        <v>2105</v>
      </c>
      <c r="C34" s="448" t="s">
        <v>321</v>
      </c>
      <c r="D34" s="449">
        <v>60000000</v>
      </c>
      <c r="E34" s="449">
        <v>60000000</v>
      </c>
      <c r="F34" s="449">
        <f t="shared" si="0"/>
        <v>0</v>
      </c>
      <c r="G34" s="449">
        <v>400000</v>
      </c>
      <c r="H34" s="449">
        <v>49428</v>
      </c>
      <c r="I34" s="449"/>
      <c r="J34" s="449">
        <v>217768</v>
      </c>
      <c r="K34" s="449">
        <f t="shared" si="1"/>
        <v>217768</v>
      </c>
      <c r="L34" s="449">
        <f t="shared" si="2"/>
        <v>267196</v>
      </c>
      <c r="M34" s="450">
        <f>P34+S34-100000-140000+108000</f>
        <v>804</v>
      </c>
      <c r="N34" s="449">
        <f>5000000-1500000+200000-2600000-1100000</f>
        <v>0</v>
      </c>
      <c r="O34" s="449">
        <f t="shared" si="3"/>
        <v>59732000</v>
      </c>
      <c r="P34" s="449">
        <f t="shared" si="4"/>
        <v>132804</v>
      </c>
      <c r="Q34" s="451"/>
      <c r="R34" s="449"/>
      <c r="S34" s="449">
        <f t="shared" si="5"/>
        <v>0</v>
      </c>
      <c r="T34" s="450">
        <f t="shared" si="6"/>
        <v>132000</v>
      </c>
      <c r="U34" s="449">
        <f t="shared" si="7"/>
        <v>-132000</v>
      </c>
      <c r="V34" s="449">
        <f t="shared" si="8"/>
        <v>-132000</v>
      </c>
      <c r="W34" s="449"/>
      <c r="X34" s="449"/>
      <c r="Y34" s="449"/>
      <c r="Z34" s="449"/>
      <c r="AA34" s="448"/>
      <c r="AB34" s="455" t="s">
        <v>1405</v>
      </c>
      <c r="AC34" s="448">
        <v>742000</v>
      </c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</row>
    <row r="35" spans="1:50" s="452" customFormat="1" ht="40.200000000000003" customHeight="1">
      <c r="A35" s="448">
        <f t="shared" si="9"/>
        <v>31</v>
      </c>
      <c r="B35" s="448">
        <v>2112</v>
      </c>
      <c r="C35" s="448" t="s">
        <v>364</v>
      </c>
      <c r="D35" s="449">
        <v>7650000</v>
      </c>
      <c r="E35" s="449">
        <v>7650000</v>
      </c>
      <c r="F35" s="449">
        <f t="shared" si="0"/>
        <v>0</v>
      </c>
      <c r="G35" s="449">
        <v>1230000</v>
      </c>
      <c r="H35" s="449">
        <v>508427</v>
      </c>
      <c r="I35" s="449"/>
      <c r="J35" s="449"/>
      <c r="K35" s="449">
        <f t="shared" si="1"/>
        <v>0</v>
      </c>
      <c r="L35" s="449">
        <f t="shared" si="2"/>
        <v>508427</v>
      </c>
      <c r="M35" s="450">
        <f>P35+S35-500000-220000</f>
        <v>1573</v>
      </c>
      <c r="N35" s="449">
        <v>50000</v>
      </c>
      <c r="O35" s="449">
        <f t="shared" si="3"/>
        <v>7090000</v>
      </c>
      <c r="P35" s="449">
        <f t="shared" si="4"/>
        <v>721573</v>
      </c>
      <c r="Q35" s="451"/>
      <c r="R35" s="449"/>
      <c r="S35" s="449">
        <f t="shared" si="5"/>
        <v>0</v>
      </c>
      <c r="T35" s="450">
        <f t="shared" si="6"/>
        <v>720000</v>
      </c>
      <c r="U35" s="449">
        <f t="shared" si="7"/>
        <v>-670000</v>
      </c>
      <c r="V35" s="449">
        <f t="shared" si="8"/>
        <v>0</v>
      </c>
      <c r="W35" s="449">
        <v>-670000</v>
      </c>
      <c r="X35" s="449"/>
      <c r="Y35" s="449"/>
      <c r="Z35" s="449"/>
      <c r="AA35" s="448"/>
      <c r="AB35" s="458" t="s">
        <v>1381</v>
      </c>
      <c r="AC35" s="448">
        <v>732000</v>
      </c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</row>
    <row r="36" spans="1:50" s="456" customFormat="1" ht="40.200000000000003" customHeight="1">
      <c r="A36" s="448">
        <f t="shared" si="9"/>
        <v>32</v>
      </c>
      <c r="B36" s="448">
        <v>2113</v>
      </c>
      <c r="C36" s="448" t="s">
        <v>251</v>
      </c>
      <c r="D36" s="449">
        <v>2550000</v>
      </c>
      <c r="E36" s="449">
        <v>2550000</v>
      </c>
      <c r="F36" s="449">
        <f t="shared" si="0"/>
        <v>0</v>
      </c>
      <c r="G36" s="449">
        <v>200000</v>
      </c>
      <c r="H36" s="449">
        <v>116513</v>
      </c>
      <c r="I36" s="449"/>
      <c r="J36" s="449"/>
      <c r="K36" s="449">
        <f t="shared" si="1"/>
        <v>0</v>
      </c>
      <c r="L36" s="449">
        <f t="shared" si="2"/>
        <v>116513</v>
      </c>
      <c r="M36" s="450">
        <f>P36+S36-150000-30000</f>
        <v>3487</v>
      </c>
      <c r="N36" s="449">
        <f>250000+150000-250000-50000</f>
        <v>100000</v>
      </c>
      <c r="O36" s="449">
        <f t="shared" si="3"/>
        <v>2330000</v>
      </c>
      <c r="P36" s="449">
        <f t="shared" si="4"/>
        <v>83487</v>
      </c>
      <c r="Q36" s="451">
        <v>100000</v>
      </c>
      <c r="R36" s="449"/>
      <c r="S36" s="449">
        <f t="shared" si="5"/>
        <v>100000</v>
      </c>
      <c r="T36" s="450">
        <f t="shared" si="6"/>
        <v>180000</v>
      </c>
      <c r="U36" s="449">
        <f t="shared" si="7"/>
        <v>-80000</v>
      </c>
      <c r="V36" s="449">
        <f t="shared" si="8"/>
        <v>0</v>
      </c>
      <c r="W36" s="449">
        <v>-80000</v>
      </c>
      <c r="X36" s="449"/>
      <c r="Y36" s="449"/>
      <c r="Z36" s="449"/>
      <c r="AA36" s="448"/>
      <c r="AB36" s="458" t="s">
        <v>543</v>
      </c>
      <c r="AC36" s="448">
        <v>732000</v>
      </c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</row>
    <row r="37" spans="1:50" s="456" customFormat="1" ht="41.4">
      <c r="A37" s="448">
        <f t="shared" si="9"/>
        <v>33</v>
      </c>
      <c r="B37" s="448">
        <v>2114</v>
      </c>
      <c r="C37" s="448" t="s">
        <v>304</v>
      </c>
      <c r="D37" s="449">
        <f>1450000-1366000-44500-7471</f>
        <v>32029</v>
      </c>
      <c r="E37" s="449">
        <v>1450000</v>
      </c>
      <c r="F37" s="449">
        <f t="shared" si="0"/>
        <v>-1417971</v>
      </c>
      <c r="G37" s="449">
        <v>84000</v>
      </c>
      <c r="H37" s="449">
        <v>32029</v>
      </c>
      <c r="I37" s="449"/>
      <c r="J37" s="449"/>
      <c r="K37" s="449">
        <f t="shared" ref="K37:K60" si="10">SUM(I37:J37)</f>
        <v>0</v>
      </c>
      <c r="L37" s="449">
        <f t="shared" si="2"/>
        <v>32029</v>
      </c>
      <c r="M37" s="450">
        <f>P37+S37-44500-7471</f>
        <v>0</v>
      </c>
      <c r="N37" s="449"/>
      <c r="O37" s="449">
        <f t="shared" si="3"/>
        <v>0</v>
      </c>
      <c r="P37" s="449">
        <f t="shared" si="4"/>
        <v>51971</v>
      </c>
      <c r="Q37" s="451"/>
      <c r="R37" s="449"/>
      <c r="S37" s="449">
        <f t="shared" si="5"/>
        <v>0</v>
      </c>
      <c r="T37" s="450">
        <f t="shared" si="6"/>
        <v>51971</v>
      </c>
      <c r="U37" s="449">
        <f t="shared" si="7"/>
        <v>-51971</v>
      </c>
      <c r="V37" s="449">
        <f t="shared" si="8"/>
        <v>-51971</v>
      </c>
      <c r="W37" s="449"/>
      <c r="X37" s="449"/>
      <c r="Y37" s="449"/>
      <c r="Z37" s="449"/>
      <c r="AA37" s="448"/>
      <c r="AB37" s="448" t="s">
        <v>1368</v>
      </c>
      <c r="AC37" s="448">
        <v>732000</v>
      </c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</row>
    <row r="38" spans="1:50" s="456" customFormat="1" ht="40.200000000000003" customHeight="1">
      <c r="A38" s="448">
        <f t="shared" si="9"/>
        <v>34</v>
      </c>
      <c r="B38" s="448">
        <v>2117</v>
      </c>
      <c r="C38" s="448" t="s">
        <v>486</v>
      </c>
      <c r="D38" s="449">
        <v>750000</v>
      </c>
      <c r="E38" s="449">
        <v>750000</v>
      </c>
      <c r="F38" s="449">
        <f t="shared" si="0"/>
        <v>0</v>
      </c>
      <c r="G38" s="449">
        <v>350000</v>
      </c>
      <c r="H38" s="449">
        <v>80553</v>
      </c>
      <c r="I38" s="449"/>
      <c r="J38" s="449">
        <v>131985</v>
      </c>
      <c r="K38" s="449">
        <f t="shared" si="10"/>
        <v>131985</v>
      </c>
      <c r="L38" s="449">
        <f t="shared" si="2"/>
        <v>212538</v>
      </c>
      <c r="M38" s="450">
        <f>P38+S38-130000</f>
        <v>7462</v>
      </c>
      <c r="N38" s="449">
        <f>130000-80000</f>
        <v>50000</v>
      </c>
      <c r="O38" s="449">
        <f t="shared" si="3"/>
        <v>480000</v>
      </c>
      <c r="P38" s="449">
        <f t="shared" si="4"/>
        <v>137462</v>
      </c>
      <c r="Q38" s="451"/>
      <c r="R38" s="449"/>
      <c r="S38" s="449">
        <f t="shared" si="5"/>
        <v>0</v>
      </c>
      <c r="T38" s="450">
        <f t="shared" si="6"/>
        <v>130000</v>
      </c>
      <c r="U38" s="449">
        <f t="shared" si="7"/>
        <v>-80000</v>
      </c>
      <c r="V38" s="449">
        <f t="shared" si="8"/>
        <v>-80000</v>
      </c>
      <c r="W38" s="449"/>
      <c r="X38" s="449"/>
      <c r="Y38" s="449"/>
      <c r="Z38" s="449"/>
      <c r="AA38" s="448"/>
      <c r="AB38" s="448" t="s">
        <v>487</v>
      </c>
      <c r="AC38" s="448">
        <v>732000</v>
      </c>
      <c r="AD38" s="422"/>
      <c r="AE38" s="422"/>
      <c r="AF38" s="422"/>
      <c r="AG38" s="422"/>
      <c r="AH38" s="422"/>
      <c r="AI38" s="422"/>
      <c r="AJ38" s="422"/>
      <c r="AK38" s="422"/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422"/>
      <c r="AX38" s="422"/>
    </row>
    <row r="39" spans="1:50" s="452" customFormat="1" ht="41.4">
      <c r="A39" s="448">
        <f t="shared" si="9"/>
        <v>35</v>
      </c>
      <c r="B39" s="455">
        <v>2121</v>
      </c>
      <c r="C39" s="448" t="s">
        <v>322</v>
      </c>
      <c r="D39" s="449">
        <v>1290000</v>
      </c>
      <c r="E39" s="449">
        <v>1290000</v>
      </c>
      <c r="F39" s="449">
        <f t="shared" si="0"/>
        <v>0</v>
      </c>
      <c r="G39" s="449">
        <v>1100000</v>
      </c>
      <c r="H39" s="449">
        <v>158135</v>
      </c>
      <c r="I39" s="449"/>
      <c r="J39" s="449">
        <v>147859</v>
      </c>
      <c r="K39" s="449">
        <f t="shared" si="10"/>
        <v>147859</v>
      </c>
      <c r="L39" s="449">
        <f t="shared" si="2"/>
        <v>305994</v>
      </c>
      <c r="M39" s="450">
        <f>P39+S39-790000</f>
        <v>4006</v>
      </c>
      <c r="N39" s="449">
        <f>790000+190000-100000</f>
        <v>880000</v>
      </c>
      <c r="O39" s="449">
        <f t="shared" si="3"/>
        <v>100000</v>
      </c>
      <c r="P39" s="449">
        <f t="shared" si="4"/>
        <v>794006</v>
      </c>
      <c r="Q39" s="451"/>
      <c r="R39" s="449"/>
      <c r="S39" s="449">
        <f t="shared" si="5"/>
        <v>0</v>
      </c>
      <c r="T39" s="450">
        <f t="shared" si="6"/>
        <v>790000</v>
      </c>
      <c r="U39" s="449">
        <f t="shared" si="7"/>
        <v>90000</v>
      </c>
      <c r="V39" s="449">
        <f t="shared" si="8"/>
        <v>90000</v>
      </c>
      <c r="W39" s="449"/>
      <c r="X39" s="449"/>
      <c r="Y39" s="449"/>
      <c r="Z39" s="449"/>
      <c r="AA39" s="450"/>
      <c r="AB39" s="448" t="s">
        <v>1414</v>
      </c>
      <c r="AC39" s="448">
        <v>742000</v>
      </c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</row>
    <row r="40" spans="1:50" s="452" customFormat="1" ht="40.200000000000003" customHeight="1">
      <c r="A40" s="448">
        <f t="shared" si="9"/>
        <v>36</v>
      </c>
      <c r="B40" s="448">
        <v>2142</v>
      </c>
      <c r="C40" s="448" t="s">
        <v>405</v>
      </c>
      <c r="D40" s="449">
        <f>2250000-269000</f>
        <v>1981000</v>
      </c>
      <c r="E40" s="449">
        <v>2250000</v>
      </c>
      <c r="F40" s="449">
        <f t="shared" si="0"/>
        <v>-269000</v>
      </c>
      <c r="G40" s="449">
        <v>2250000</v>
      </c>
      <c r="H40" s="449">
        <v>1975860</v>
      </c>
      <c r="I40" s="449"/>
      <c r="J40" s="449">
        <v>1475</v>
      </c>
      <c r="K40" s="449">
        <f t="shared" si="10"/>
        <v>1475</v>
      </c>
      <c r="L40" s="449">
        <f t="shared" si="2"/>
        <v>1977335</v>
      </c>
      <c r="M40" s="450">
        <f>P40+S40-265000-4000</f>
        <v>3665</v>
      </c>
      <c r="N40" s="449"/>
      <c r="O40" s="449">
        <f t="shared" si="3"/>
        <v>0</v>
      </c>
      <c r="P40" s="449">
        <f t="shared" si="4"/>
        <v>272665</v>
      </c>
      <c r="Q40" s="451"/>
      <c r="R40" s="449"/>
      <c r="S40" s="449">
        <f t="shared" si="5"/>
        <v>0</v>
      </c>
      <c r="T40" s="450">
        <f t="shared" si="6"/>
        <v>269000</v>
      </c>
      <c r="U40" s="449">
        <f t="shared" si="7"/>
        <v>-269000</v>
      </c>
      <c r="V40" s="449">
        <f t="shared" si="8"/>
        <v>-269000</v>
      </c>
      <c r="W40" s="449"/>
      <c r="X40" s="449"/>
      <c r="Y40" s="449"/>
      <c r="Z40" s="449"/>
      <c r="AA40" s="448"/>
      <c r="AB40" s="448" t="s">
        <v>1338</v>
      </c>
      <c r="AC40" s="448">
        <v>742000</v>
      </c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</row>
    <row r="41" spans="1:50" s="452" customFormat="1" ht="40.200000000000003" customHeight="1">
      <c r="A41" s="448">
        <f t="shared" si="9"/>
        <v>37</v>
      </c>
      <c r="B41" s="455">
        <v>2143</v>
      </c>
      <c r="C41" s="448" t="s">
        <v>406</v>
      </c>
      <c r="D41" s="449">
        <v>850000</v>
      </c>
      <c r="E41" s="449">
        <v>850000</v>
      </c>
      <c r="F41" s="449">
        <f t="shared" si="0"/>
        <v>0</v>
      </c>
      <c r="G41" s="449">
        <v>650000</v>
      </c>
      <c r="H41" s="449">
        <v>642993</v>
      </c>
      <c r="I41" s="449"/>
      <c r="J41" s="449">
        <v>5270</v>
      </c>
      <c r="K41" s="449">
        <f t="shared" si="10"/>
        <v>5270</v>
      </c>
      <c r="L41" s="449">
        <f t="shared" si="2"/>
        <v>648263</v>
      </c>
      <c r="M41" s="449">
        <f>P41+S41</f>
        <v>1737</v>
      </c>
      <c r="N41" s="449">
        <v>200000</v>
      </c>
      <c r="O41" s="449">
        <f t="shared" si="3"/>
        <v>0</v>
      </c>
      <c r="P41" s="449">
        <f t="shared" si="4"/>
        <v>1737</v>
      </c>
      <c r="Q41" s="451"/>
      <c r="R41" s="449"/>
      <c r="S41" s="449">
        <f t="shared" si="5"/>
        <v>0</v>
      </c>
      <c r="T41" s="450">
        <f t="shared" si="6"/>
        <v>0</v>
      </c>
      <c r="U41" s="449">
        <f t="shared" si="7"/>
        <v>200000</v>
      </c>
      <c r="V41" s="449">
        <f t="shared" si="8"/>
        <v>200000</v>
      </c>
      <c r="W41" s="449"/>
      <c r="X41" s="449"/>
      <c r="Y41" s="449"/>
      <c r="Z41" s="449"/>
      <c r="AA41" s="448"/>
      <c r="AB41" s="448" t="s">
        <v>970</v>
      </c>
      <c r="AC41" s="448">
        <v>732000</v>
      </c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</row>
    <row r="42" spans="1:50" s="452" customFormat="1" ht="40.200000000000003" customHeight="1">
      <c r="A42" s="448">
        <f t="shared" si="9"/>
        <v>38</v>
      </c>
      <c r="B42" s="455">
        <v>2190</v>
      </c>
      <c r="C42" s="448" t="s">
        <v>489</v>
      </c>
      <c r="D42" s="449">
        <f>250000-207382</f>
        <v>42618</v>
      </c>
      <c r="E42" s="449">
        <v>250000</v>
      </c>
      <c r="F42" s="449">
        <f t="shared" si="0"/>
        <v>-207382</v>
      </c>
      <c r="G42" s="449">
        <v>250000</v>
      </c>
      <c r="H42" s="449">
        <v>42618</v>
      </c>
      <c r="I42" s="449"/>
      <c r="J42" s="449"/>
      <c r="K42" s="449">
        <f t="shared" si="10"/>
        <v>0</v>
      </c>
      <c r="L42" s="449">
        <f t="shared" si="2"/>
        <v>42618</v>
      </c>
      <c r="M42" s="450">
        <f>P42+S42-207382</f>
        <v>0</v>
      </c>
      <c r="N42" s="449"/>
      <c r="O42" s="449">
        <f t="shared" si="3"/>
        <v>0</v>
      </c>
      <c r="P42" s="449">
        <f t="shared" si="4"/>
        <v>207382</v>
      </c>
      <c r="Q42" s="451"/>
      <c r="R42" s="449"/>
      <c r="S42" s="449">
        <f t="shared" si="5"/>
        <v>0</v>
      </c>
      <c r="T42" s="450">
        <f t="shared" si="6"/>
        <v>207382</v>
      </c>
      <c r="U42" s="449">
        <f t="shared" si="7"/>
        <v>-207382</v>
      </c>
      <c r="V42" s="449">
        <f t="shared" si="8"/>
        <v>-62215</v>
      </c>
      <c r="W42" s="449"/>
      <c r="X42" s="449"/>
      <c r="Y42" s="449"/>
      <c r="Z42" s="449"/>
      <c r="AA42" s="449">
        <v>-145167</v>
      </c>
      <c r="AB42" s="448" t="s">
        <v>1423</v>
      </c>
      <c r="AC42" s="448">
        <v>742000</v>
      </c>
      <c r="AD42" s="422"/>
      <c r="AE42" s="422"/>
      <c r="AF42" s="422"/>
      <c r="AG42" s="422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</row>
    <row r="43" spans="1:50" s="452" customFormat="1" ht="41.4">
      <c r="A43" s="448">
        <f t="shared" si="9"/>
        <v>39</v>
      </c>
      <c r="B43" s="455">
        <v>2192</v>
      </c>
      <c r="C43" s="448" t="s">
        <v>492</v>
      </c>
      <c r="D43" s="449">
        <v>20400000</v>
      </c>
      <c r="E43" s="449">
        <v>20400000</v>
      </c>
      <c r="F43" s="449">
        <f t="shared" si="0"/>
        <v>0</v>
      </c>
      <c r="G43" s="449">
        <v>100000</v>
      </c>
      <c r="H43" s="449"/>
      <c r="I43" s="449"/>
      <c r="J43" s="449"/>
      <c r="K43" s="449">
        <f t="shared" si="10"/>
        <v>0</v>
      </c>
      <c r="L43" s="449">
        <f t="shared" si="2"/>
        <v>0</v>
      </c>
      <c r="M43" s="449">
        <f>P43+S43-100000</f>
        <v>0</v>
      </c>
      <c r="N43" s="449">
        <f>100000-50000</f>
        <v>50000</v>
      </c>
      <c r="O43" s="449">
        <f t="shared" si="3"/>
        <v>20350000</v>
      </c>
      <c r="P43" s="449">
        <f t="shared" si="4"/>
        <v>100000</v>
      </c>
      <c r="Q43" s="451"/>
      <c r="R43" s="449"/>
      <c r="S43" s="449">
        <f t="shared" si="5"/>
        <v>0</v>
      </c>
      <c r="T43" s="450">
        <f t="shared" si="6"/>
        <v>100000</v>
      </c>
      <c r="U43" s="449">
        <f t="shared" si="7"/>
        <v>-50000</v>
      </c>
      <c r="V43" s="449">
        <f t="shared" si="8"/>
        <v>-50000</v>
      </c>
      <c r="W43" s="449"/>
      <c r="X43" s="449"/>
      <c r="Y43" s="449"/>
      <c r="Z43" s="449"/>
      <c r="AA43" s="448"/>
      <c r="AB43" s="448" t="s">
        <v>506</v>
      </c>
      <c r="AC43" s="448">
        <v>742000</v>
      </c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</row>
    <row r="44" spans="1:50" s="452" customFormat="1" ht="41.4">
      <c r="A44" s="448">
        <f t="shared" si="9"/>
        <v>40</v>
      </c>
      <c r="B44" s="455">
        <v>2193</v>
      </c>
      <c r="C44" s="448" t="s">
        <v>493</v>
      </c>
      <c r="D44" s="449">
        <v>500000</v>
      </c>
      <c r="E44" s="449">
        <v>500000</v>
      </c>
      <c r="F44" s="449">
        <f t="shared" si="0"/>
        <v>0</v>
      </c>
      <c r="G44" s="449">
        <v>200000</v>
      </c>
      <c r="H44" s="449">
        <v>10489</v>
      </c>
      <c r="I44" s="449"/>
      <c r="J44" s="449">
        <v>75007</v>
      </c>
      <c r="K44" s="449">
        <f t="shared" si="10"/>
        <v>75007</v>
      </c>
      <c r="L44" s="449">
        <f t="shared" si="2"/>
        <v>85496</v>
      </c>
      <c r="M44" s="450">
        <f>P44+S44-100000</f>
        <v>14504</v>
      </c>
      <c r="N44" s="449">
        <f>200000+100000-100000-50000</f>
        <v>150000</v>
      </c>
      <c r="O44" s="449">
        <f t="shared" si="3"/>
        <v>250000</v>
      </c>
      <c r="P44" s="449">
        <f t="shared" si="4"/>
        <v>114504</v>
      </c>
      <c r="Q44" s="451"/>
      <c r="R44" s="449"/>
      <c r="S44" s="449">
        <f t="shared" si="5"/>
        <v>0</v>
      </c>
      <c r="T44" s="450">
        <f t="shared" si="6"/>
        <v>100000</v>
      </c>
      <c r="U44" s="449">
        <f t="shared" si="7"/>
        <v>50000</v>
      </c>
      <c r="V44" s="449">
        <f t="shared" si="8"/>
        <v>50000</v>
      </c>
      <c r="W44" s="449"/>
      <c r="X44" s="449"/>
      <c r="Y44" s="449"/>
      <c r="Z44" s="449"/>
      <c r="AA44" s="448"/>
      <c r="AB44" s="448" t="s">
        <v>1424</v>
      </c>
      <c r="AC44" s="448">
        <v>742000</v>
      </c>
      <c r="AD44" s="422"/>
      <c r="AE44" s="422"/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</row>
    <row r="45" spans="1:50" s="452" customFormat="1" ht="40.200000000000003" customHeight="1">
      <c r="A45" s="448">
        <f t="shared" si="9"/>
        <v>41</v>
      </c>
      <c r="B45" s="455">
        <v>2199</v>
      </c>
      <c r="C45" s="448" t="s">
        <v>499</v>
      </c>
      <c r="D45" s="449">
        <v>1000000</v>
      </c>
      <c r="E45" s="449">
        <v>1000000</v>
      </c>
      <c r="F45" s="449">
        <f t="shared" si="0"/>
        <v>0</v>
      </c>
      <c r="G45" s="449">
        <v>150000</v>
      </c>
      <c r="H45" s="449">
        <v>58970</v>
      </c>
      <c r="I45" s="449"/>
      <c r="J45" s="449"/>
      <c r="K45" s="449">
        <f t="shared" si="10"/>
        <v>0</v>
      </c>
      <c r="L45" s="449">
        <f t="shared" si="2"/>
        <v>58970</v>
      </c>
      <c r="M45" s="450">
        <f>P45+S45-135000+44000</f>
        <v>30</v>
      </c>
      <c r="N45" s="449">
        <f>135000-35000-50000</f>
        <v>50000</v>
      </c>
      <c r="O45" s="449">
        <f t="shared" si="3"/>
        <v>891000</v>
      </c>
      <c r="P45" s="449">
        <f t="shared" si="4"/>
        <v>91030</v>
      </c>
      <c r="Q45" s="451"/>
      <c r="R45" s="449"/>
      <c r="S45" s="449">
        <f t="shared" si="5"/>
        <v>0</v>
      </c>
      <c r="T45" s="450">
        <f t="shared" si="6"/>
        <v>91000</v>
      </c>
      <c r="U45" s="449">
        <f t="shared" si="7"/>
        <v>-41000</v>
      </c>
      <c r="V45" s="449">
        <f t="shared" si="8"/>
        <v>-41000</v>
      </c>
      <c r="W45" s="449"/>
      <c r="X45" s="449"/>
      <c r="Y45" s="449"/>
      <c r="Z45" s="449"/>
      <c r="AA45" s="448"/>
      <c r="AB45" s="448" t="s">
        <v>669</v>
      </c>
      <c r="AC45" s="448">
        <v>732000</v>
      </c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</row>
    <row r="46" spans="1:50" s="452" customFormat="1" ht="41.4">
      <c r="A46" s="448">
        <f t="shared" si="9"/>
        <v>42</v>
      </c>
      <c r="B46" s="455">
        <v>2200</v>
      </c>
      <c r="C46" s="448" t="s">
        <v>500</v>
      </c>
      <c r="D46" s="449">
        <v>1700000</v>
      </c>
      <c r="E46" s="449">
        <v>1700000</v>
      </c>
      <c r="F46" s="449">
        <f t="shared" si="0"/>
        <v>0</v>
      </c>
      <c r="G46" s="449">
        <v>150000</v>
      </c>
      <c r="H46" s="449">
        <v>19086</v>
      </c>
      <c r="I46" s="449"/>
      <c r="J46" s="449">
        <v>53381</v>
      </c>
      <c r="K46" s="449">
        <f t="shared" si="10"/>
        <v>53381</v>
      </c>
      <c r="L46" s="449">
        <f t="shared" si="2"/>
        <v>72467</v>
      </c>
      <c r="M46" s="450">
        <f>P46+S46-50000-55000+28000</f>
        <v>533</v>
      </c>
      <c r="N46" s="449">
        <f>400000-200000-100000</f>
        <v>100000</v>
      </c>
      <c r="O46" s="449">
        <f t="shared" si="3"/>
        <v>1527000</v>
      </c>
      <c r="P46" s="449">
        <f t="shared" si="4"/>
        <v>77533</v>
      </c>
      <c r="Q46" s="451"/>
      <c r="R46" s="449"/>
      <c r="S46" s="449">
        <f t="shared" si="5"/>
        <v>0</v>
      </c>
      <c r="T46" s="450">
        <f t="shared" si="6"/>
        <v>77000</v>
      </c>
      <c r="U46" s="449">
        <f t="shared" si="7"/>
        <v>23000</v>
      </c>
      <c r="V46" s="449">
        <f t="shared" si="8"/>
        <v>23000</v>
      </c>
      <c r="W46" s="449"/>
      <c r="X46" s="449"/>
      <c r="Y46" s="449"/>
      <c r="Z46" s="449"/>
      <c r="AA46" s="448"/>
      <c r="AB46" s="448" t="s">
        <v>1362</v>
      </c>
      <c r="AC46" s="448">
        <v>732000</v>
      </c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</row>
    <row r="47" spans="1:50" s="452" customFormat="1" ht="48.6" customHeight="1">
      <c r="A47" s="448">
        <f t="shared" si="9"/>
        <v>43</v>
      </c>
      <c r="B47" s="455">
        <v>20000</v>
      </c>
      <c r="C47" s="448" t="s">
        <v>587</v>
      </c>
      <c r="D47" s="449">
        <v>2500000</v>
      </c>
      <c r="E47" s="449">
        <v>2500000</v>
      </c>
      <c r="F47" s="449">
        <f t="shared" si="0"/>
        <v>0</v>
      </c>
      <c r="G47" s="449">
        <v>0</v>
      </c>
      <c r="H47" s="449"/>
      <c r="I47" s="449"/>
      <c r="J47" s="449"/>
      <c r="K47" s="449">
        <f t="shared" si="10"/>
        <v>0</v>
      </c>
      <c r="L47" s="449">
        <f t="shared" si="2"/>
        <v>0</v>
      </c>
      <c r="M47" s="450">
        <f>P47+S47</f>
        <v>0</v>
      </c>
      <c r="N47" s="449">
        <f>400000-150000-150000</f>
        <v>100000</v>
      </c>
      <c r="O47" s="449">
        <f t="shared" si="3"/>
        <v>2400000</v>
      </c>
      <c r="P47" s="449">
        <f t="shared" si="4"/>
        <v>0</v>
      </c>
      <c r="Q47" s="451"/>
      <c r="R47" s="449"/>
      <c r="S47" s="449">
        <f t="shared" si="5"/>
        <v>0</v>
      </c>
      <c r="T47" s="450">
        <f t="shared" si="6"/>
        <v>0</v>
      </c>
      <c r="U47" s="449">
        <f t="shared" si="7"/>
        <v>100000</v>
      </c>
      <c r="V47" s="449">
        <f t="shared" si="8"/>
        <v>100000</v>
      </c>
      <c r="W47" s="449"/>
      <c r="X47" s="449"/>
      <c r="Y47" s="449"/>
      <c r="Z47" s="449"/>
      <c r="AA47" s="448"/>
      <c r="AB47" s="448" t="s">
        <v>1369</v>
      </c>
      <c r="AC47" s="448">
        <v>732000</v>
      </c>
      <c r="AD47" s="422"/>
      <c r="AE47" s="422"/>
      <c r="AF47" s="422"/>
      <c r="AG47" s="422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422"/>
      <c r="AX47" s="422"/>
    </row>
    <row r="48" spans="1:50" s="452" customFormat="1" ht="40.200000000000003" customHeight="1">
      <c r="A48" s="448">
        <f t="shared" si="9"/>
        <v>44</v>
      </c>
      <c r="B48" s="455">
        <v>20001</v>
      </c>
      <c r="C48" s="448" t="s">
        <v>653</v>
      </c>
      <c r="D48" s="449">
        <v>3200000</v>
      </c>
      <c r="E48" s="449">
        <v>3200000</v>
      </c>
      <c r="F48" s="449">
        <f t="shared" si="0"/>
        <v>0</v>
      </c>
      <c r="G48" s="449">
        <v>150000</v>
      </c>
      <c r="H48" s="449">
        <v>7728</v>
      </c>
      <c r="I48" s="449"/>
      <c r="J48" s="449">
        <v>101040</v>
      </c>
      <c r="K48" s="449">
        <f t="shared" si="10"/>
        <v>101040</v>
      </c>
      <c r="L48" s="449">
        <f t="shared" si="2"/>
        <v>108768</v>
      </c>
      <c r="M48" s="450">
        <f>P48+S48</f>
        <v>41232</v>
      </c>
      <c r="N48" s="449">
        <f>3050000-3050000</f>
        <v>0</v>
      </c>
      <c r="O48" s="449">
        <f t="shared" si="3"/>
        <v>3050000</v>
      </c>
      <c r="P48" s="449">
        <f t="shared" si="4"/>
        <v>41232</v>
      </c>
      <c r="Q48" s="451"/>
      <c r="R48" s="449"/>
      <c r="S48" s="449">
        <f t="shared" si="5"/>
        <v>0</v>
      </c>
      <c r="T48" s="450">
        <f t="shared" si="6"/>
        <v>0</v>
      </c>
      <c r="U48" s="449">
        <f t="shared" si="7"/>
        <v>0</v>
      </c>
      <c r="V48" s="449">
        <f t="shared" si="8"/>
        <v>0</v>
      </c>
      <c r="W48" s="449"/>
      <c r="X48" s="449"/>
      <c r="Y48" s="449"/>
      <c r="Z48" s="449"/>
      <c r="AA48" s="448"/>
      <c r="AB48" s="448" t="s">
        <v>971</v>
      </c>
      <c r="AC48" s="448">
        <v>742000</v>
      </c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</row>
    <row r="49" spans="1:58" s="452" customFormat="1" ht="40.200000000000003" customHeight="1">
      <c r="A49" s="448">
        <f t="shared" si="9"/>
        <v>45</v>
      </c>
      <c r="B49" s="455">
        <v>20002</v>
      </c>
      <c r="C49" s="448" t="s">
        <v>588</v>
      </c>
      <c r="D49" s="449">
        <v>5800000</v>
      </c>
      <c r="E49" s="449">
        <v>5800000</v>
      </c>
      <c r="F49" s="449">
        <f t="shared" si="0"/>
        <v>0</v>
      </c>
      <c r="G49" s="449">
        <f>500000+2500000</f>
        <v>3000000</v>
      </c>
      <c r="H49" s="449">
        <v>2653536</v>
      </c>
      <c r="I49" s="449"/>
      <c r="J49" s="449">
        <f>341657-46800</f>
        <v>294857</v>
      </c>
      <c r="K49" s="449">
        <f t="shared" si="10"/>
        <v>294857</v>
      </c>
      <c r="L49" s="449">
        <f t="shared" si="2"/>
        <v>2948393</v>
      </c>
      <c r="M49" s="450">
        <f>P49+S49-50000</f>
        <v>1607</v>
      </c>
      <c r="N49" s="449">
        <f>5000000-2200000-800000</f>
        <v>2000000</v>
      </c>
      <c r="O49" s="449">
        <f t="shared" si="3"/>
        <v>850000</v>
      </c>
      <c r="P49" s="449">
        <f t="shared" si="4"/>
        <v>51607</v>
      </c>
      <c r="Q49" s="451"/>
      <c r="R49" s="449"/>
      <c r="S49" s="449">
        <f t="shared" si="5"/>
        <v>0</v>
      </c>
      <c r="T49" s="450">
        <f t="shared" si="6"/>
        <v>50000</v>
      </c>
      <c r="U49" s="449">
        <f t="shared" si="7"/>
        <v>1950000</v>
      </c>
      <c r="V49" s="449">
        <f t="shared" si="8"/>
        <v>1950000</v>
      </c>
      <c r="W49" s="449"/>
      <c r="X49" s="449"/>
      <c r="Y49" s="449"/>
      <c r="Z49" s="449"/>
      <c r="AA49" s="448"/>
      <c r="AB49" s="448" t="s">
        <v>654</v>
      </c>
      <c r="AC49" s="448">
        <v>742000</v>
      </c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</row>
    <row r="50" spans="1:58" s="452" customFormat="1" ht="40.200000000000003" customHeight="1">
      <c r="A50" s="448">
        <f t="shared" si="9"/>
        <v>46</v>
      </c>
      <c r="B50" s="455">
        <v>20005</v>
      </c>
      <c r="C50" s="448" t="s">
        <v>590</v>
      </c>
      <c r="D50" s="449">
        <v>1685000</v>
      </c>
      <c r="E50" s="449">
        <v>1685000</v>
      </c>
      <c r="F50" s="449">
        <f t="shared" si="0"/>
        <v>0</v>
      </c>
      <c r="G50" s="449">
        <v>0</v>
      </c>
      <c r="H50" s="449"/>
      <c r="I50" s="449"/>
      <c r="J50" s="449"/>
      <c r="K50" s="449">
        <f t="shared" si="10"/>
        <v>0</v>
      </c>
      <c r="L50" s="449">
        <f t="shared" si="2"/>
        <v>0</v>
      </c>
      <c r="M50" s="450">
        <f>P50+S50</f>
        <v>0</v>
      </c>
      <c r="N50" s="449"/>
      <c r="O50" s="449">
        <f t="shared" si="3"/>
        <v>1685000</v>
      </c>
      <c r="P50" s="449">
        <f t="shared" si="4"/>
        <v>0</v>
      </c>
      <c r="Q50" s="451"/>
      <c r="R50" s="449"/>
      <c r="S50" s="449">
        <f t="shared" si="5"/>
        <v>0</v>
      </c>
      <c r="T50" s="450">
        <f t="shared" si="6"/>
        <v>0</v>
      </c>
      <c r="U50" s="449">
        <f t="shared" si="7"/>
        <v>0</v>
      </c>
      <c r="V50" s="449">
        <f t="shared" si="8"/>
        <v>0</v>
      </c>
      <c r="W50" s="449"/>
      <c r="X50" s="449"/>
      <c r="Y50" s="449"/>
      <c r="Z50" s="449"/>
      <c r="AA50" s="448"/>
      <c r="AB50" s="448" t="s">
        <v>591</v>
      </c>
      <c r="AC50" s="448">
        <v>746000</v>
      </c>
      <c r="AD50" s="422"/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</row>
    <row r="51" spans="1:58" s="452" customFormat="1" ht="40.200000000000003" customHeight="1">
      <c r="A51" s="448">
        <f t="shared" si="9"/>
        <v>47</v>
      </c>
      <c r="B51" s="455">
        <v>20006</v>
      </c>
      <c r="C51" s="448" t="s">
        <v>592</v>
      </c>
      <c r="D51" s="449">
        <v>4000000</v>
      </c>
      <c r="E51" s="449">
        <v>4000000</v>
      </c>
      <c r="F51" s="449">
        <f t="shared" si="0"/>
        <v>0</v>
      </c>
      <c r="G51" s="449">
        <v>0</v>
      </c>
      <c r="H51" s="449"/>
      <c r="I51" s="449"/>
      <c r="J51" s="449"/>
      <c r="K51" s="449">
        <f t="shared" si="10"/>
        <v>0</v>
      </c>
      <c r="L51" s="449">
        <f t="shared" si="2"/>
        <v>0</v>
      </c>
      <c r="M51" s="450">
        <f>P51+S51</f>
        <v>0</v>
      </c>
      <c r="N51" s="449"/>
      <c r="O51" s="449">
        <f t="shared" si="3"/>
        <v>4000000</v>
      </c>
      <c r="P51" s="449">
        <f t="shared" si="4"/>
        <v>0</v>
      </c>
      <c r="Q51" s="451"/>
      <c r="R51" s="449"/>
      <c r="S51" s="449">
        <f t="shared" si="5"/>
        <v>0</v>
      </c>
      <c r="T51" s="450">
        <f t="shared" si="6"/>
        <v>0</v>
      </c>
      <c r="U51" s="449">
        <f t="shared" si="7"/>
        <v>0</v>
      </c>
      <c r="V51" s="449">
        <f t="shared" si="8"/>
        <v>0</v>
      </c>
      <c r="W51" s="449"/>
      <c r="X51" s="449"/>
      <c r="Y51" s="449"/>
      <c r="Z51" s="449"/>
      <c r="AA51" s="448"/>
      <c r="AB51" s="448" t="s">
        <v>593</v>
      </c>
      <c r="AC51" s="448">
        <v>746000</v>
      </c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</row>
    <row r="52" spans="1:58" s="452" customFormat="1" ht="40.200000000000003" customHeight="1">
      <c r="A52" s="448">
        <f t="shared" si="9"/>
        <v>48</v>
      </c>
      <c r="B52" s="455">
        <v>20007</v>
      </c>
      <c r="C52" s="448" t="s">
        <v>594</v>
      </c>
      <c r="D52" s="449">
        <v>700000</v>
      </c>
      <c r="E52" s="449">
        <v>700000</v>
      </c>
      <c r="F52" s="449">
        <f t="shared" si="0"/>
        <v>0</v>
      </c>
      <c r="G52" s="449">
        <v>0</v>
      </c>
      <c r="H52" s="449"/>
      <c r="I52" s="449"/>
      <c r="J52" s="449"/>
      <c r="K52" s="449">
        <f t="shared" si="10"/>
        <v>0</v>
      </c>
      <c r="L52" s="449">
        <f t="shared" si="2"/>
        <v>0</v>
      </c>
      <c r="M52" s="450">
        <f>P52+S52</f>
        <v>0</v>
      </c>
      <c r="N52" s="449"/>
      <c r="O52" s="449">
        <f t="shared" si="3"/>
        <v>700000</v>
      </c>
      <c r="P52" s="449">
        <f t="shared" si="4"/>
        <v>0</v>
      </c>
      <c r="Q52" s="451"/>
      <c r="R52" s="449"/>
      <c r="S52" s="449">
        <f t="shared" si="5"/>
        <v>0</v>
      </c>
      <c r="T52" s="450">
        <f t="shared" si="6"/>
        <v>0</v>
      </c>
      <c r="U52" s="449">
        <f t="shared" si="7"/>
        <v>0</v>
      </c>
      <c r="V52" s="449">
        <f t="shared" si="8"/>
        <v>0</v>
      </c>
      <c r="W52" s="449"/>
      <c r="X52" s="449"/>
      <c r="Y52" s="449"/>
      <c r="Z52" s="449"/>
      <c r="AA52" s="448"/>
      <c r="AB52" s="448" t="s">
        <v>595</v>
      </c>
      <c r="AC52" s="448">
        <v>746000</v>
      </c>
      <c r="AD52" s="422"/>
      <c r="AE52" s="422"/>
      <c r="AF52" s="422"/>
      <c r="AG52" s="422"/>
      <c r="AH52" s="422"/>
      <c r="AI52" s="422"/>
      <c r="AJ52" s="422"/>
      <c r="AK52" s="422"/>
      <c r="AL52" s="422"/>
      <c r="AM52" s="422"/>
      <c r="AN52" s="422"/>
      <c r="AO52" s="422"/>
      <c r="AP52" s="422"/>
      <c r="AQ52" s="422"/>
      <c r="AR52" s="422"/>
      <c r="AS52" s="422"/>
      <c r="AT52" s="422"/>
      <c r="AU52" s="422"/>
      <c r="AV52" s="422"/>
      <c r="AW52" s="422"/>
      <c r="AX52" s="422"/>
    </row>
    <row r="53" spans="1:58" s="452" customFormat="1" ht="40.200000000000003" customHeight="1">
      <c r="A53" s="448">
        <f t="shared" si="9"/>
        <v>49</v>
      </c>
      <c r="B53" s="455">
        <v>20008</v>
      </c>
      <c r="C53" s="448" t="s">
        <v>596</v>
      </c>
      <c r="D53" s="449">
        <v>1900000</v>
      </c>
      <c r="E53" s="449">
        <v>1900000</v>
      </c>
      <c r="F53" s="449">
        <f t="shared" si="0"/>
        <v>0</v>
      </c>
      <c r="G53" s="449">
        <v>0</v>
      </c>
      <c r="H53" s="449"/>
      <c r="I53" s="449"/>
      <c r="J53" s="449"/>
      <c r="K53" s="449">
        <f t="shared" si="10"/>
        <v>0</v>
      </c>
      <c r="L53" s="449">
        <f t="shared" si="2"/>
        <v>0</v>
      </c>
      <c r="M53" s="450">
        <f>P53+S53</f>
        <v>0</v>
      </c>
      <c r="N53" s="449">
        <f>400000-400000</f>
        <v>0</v>
      </c>
      <c r="O53" s="449">
        <f t="shared" si="3"/>
        <v>1900000</v>
      </c>
      <c r="P53" s="449">
        <f t="shared" si="4"/>
        <v>0</v>
      </c>
      <c r="Q53" s="451"/>
      <c r="R53" s="449"/>
      <c r="S53" s="449">
        <f t="shared" si="5"/>
        <v>0</v>
      </c>
      <c r="T53" s="450">
        <f t="shared" si="6"/>
        <v>0</v>
      </c>
      <c r="U53" s="449">
        <f t="shared" si="7"/>
        <v>0</v>
      </c>
      <c r="V53" s="449">
        <f t="shared" si="8"/>
        <v>0</v>
      </c>
      <c r="W53" s="449"/>
      <c r="X53" s="449"/>
      <c r="Y53" s="449"/>
      <c r="Z53" s="449"/>
      <c r="AA53" s="448"/>
      <c r="AB53" s="448" t="s">
        <v>597</v>
      </c>
      <c r="AC53" s="448">
        <v>732000</v>
      </c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</row>
    <row r="54" spans="1:58" s="452" customFormat="1" ht="40.200000000000003" customHeight="1">
      <c r="A54" s="448">
        <f t="shared" si="9"/>
        <v>50</v>
      </c>
      <c r="B54" s="455">
        <v>20056</v>
      </c>
      <c r="C54" s="448" t="s">
        <v>727</v>
      </c>
      <c r="D54" s="449">
        <v>1500000</v>
      </c>
      <c r="E54" s="449">
        <v>1500000</v>
      </c>
      <c r="F54" s="449">
        <f t="shared" si="0"/>
        <v>0</v>
      </c>
      <c r="G54" s="449">
        <v>140000</v>
      </c>
      <c r="H54" s="449">
        <v>2749</v>
      </c>
      <c r="I54" s="449"/>
      <c r="J54" s="449">
        <v>81811</v>
      </c>
      <c r="K54" s="449">
        <f t="shared" si="10"/>
        <v>81811</v>
      </c>
      <c r="L54" s="449">
        <f t="shared" si="2"/>
        <v>84560</v>
      </c>
      <c r="M54" s="450">
        <f>P54+S54-55000</f>
        <v>440</v>
      </c>
      <c r="N54" s="449">
        <f>100000+10000+55000</f>
        <v>165000</v>
      </c>
      <c r="O54" s="449">
        <f t="shared" si="3"/>
        <v>1250000</v>
      </c>
      <c r="P54" s="449">
        <f t="shared" si="4"/>
        <v>55440</v>
      </c>
      <c r="Q54" s="451"/>
      <c r="R54" s="449"/>
      <c r="S54" s="449">
        <f t="shared" si="5"/>
        <v>0</v>
      </c>
      <c r="T54" s="450">
        <f t="shared" si="6"/>
        <v>55000</v>
      </c>
      <c r="U54" s="449">
        <f t="shared" si="7"/>
        <v>110000</v>
      </c>
      <c r="V54" s="449">
        <f t="shared" si="8"/>
        <v>-65000</v>
      </c>
      <c r="W54" s="449"/>
      <c r="X54" s="449"/>
      <c r="Y54" s="449"/>
      <c r="Z54" s="449"/>
      <c r="AA54" s="449">
        <v>175000</v>
      </c>
      <c r="AB54" s="448" t="s">
        <v>1415</v>
      </c>
      <c r="AC54" s="448">
        <v>742000</v>
      </c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2"/>
      <c r="AR54" s="422"/>
      <c r="AS54" s="422"/>
      <c r="AT54" s="422"/>
      <c r="AU54" s="422"/>
      <c r="AV54" s="422"/>
      <c r="AW54" s="422"/>
      <c r="AX54" s="422"/>
    </row>
    <row r="55" spans="1:58" s="452" customFormat="1" ht="55.2">
      <c r="A55" s="448">
        <f t="shared" si="9"/>
        <v>51</v>
      </c>
      <c r="B55" s="455">
        <v>20058</v>
      </c>
      <c r="C55" s="448" t="s">
        <v>729</v>
      </c>
      <c r="D55" s="449">
        <v>800000</v>
      </c>
      <c r="E55" s="449">
        <v>800000</v>
      </c>
      <c r="F55" s="449">
        <f t="shared" si="0"/>
        <v>0</v>
      </c>
      <c r="G55" s="449">
        <v>60000</v>
      </c>
      <c r="H55" s="449">
        <v>35252</v>
      </c>
      <c r="I55" s="449"/>
      <c r="J55" s="449">
        <v>29396</v>
      </c>
      <c r="K55" s="449">
        <f t="shared" si="10"/>
        <v>29396</v>
      </c>
      <c r="L55" s="449">
        <f t="shared" si="2"/>
        <v>64648</v>
      </c>
      <c r="M55" s="450">
        <f>P55+S55-16500-18000</f>
        <v>852</v>
      </c>
      <c r="N55" s="449">
        <f>500000+60000-260000-150000-50000</f>
        <v>100000</v>
      </c>
      <c r="O55" s="449">
        <f t="shared" si="3"/>
        <v>634500</v>
      </c>
      <c r="P55" s="449">
        <f t="shared" si="4"/>
        <v>-4648</v>
      </c>
      <c r="Q55" s="451">
        <v>40000</v>
      </c>
      <c r="R55" s="449"/>
      <c r="S55" s="449">
        <f t="shared" si="5"/>
        <v>40000</v>
      </c>
      <c r="T55" s="450">
        <f t="shared" si="6"/>
        <v>34500</v>
      </c>
      <c r="U55" s="449">
        <f t="shared" si="7"/>
        <v>65500</v>
      </c>
      <c r="V55" s="449">
        <f t="shared" si="8"/>
        <v>65500</v>
      </c>
      <c r="W55" s="449"/>
      <c r="X55" s="449"/>
      <c r="Y55" s="449"/>
      <c r="Z55" s="449"/>
      <c r="AA55" s="448"/>
      <c r="AB55" s="448" t="s">
        <v>1425</v>
      </c>
      <c r="AC55" s="448">
        <v>732000</v>
      </c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</row>
    <row r="56" spans="1:58" s="452" customFormat="1" ht="40.200000000000003" customHeight="1">
      <c r="A56" s="448">
        <f t="shared" si="9"/>
        <v>52</v>
      </c>
      <c r="B56" s="455">
        <v>20059</v>
      </c>
      <c r="C56" s="448" t="s">
        <v>730</v>
      </c>
      <c r="D56" s="449">
        <v>530000</v>
      </c>
      <c r="E56" s="449">
        <v>530000</v>
      </c>
      <c r="F56" s="449">
        <f t="shared" si="0"/>
        <v>0</v>
      </c>
      <c r="G56" s="449">
        <v>0</v>
      </c>
      <c r="H56" s="449"/>
      <c r="I56" s="449"/>
      <c r="J56" s="449"/>
      <c r="K56" s="449">
        <f t="shared" si="10"/>
        <v>0</v>
      </c>
      <c r="L56" s="449">
        <f t="shared" si="2"/>
        <v>0</v>
      </c>
      <c r="M56" s="450">
        <f>P56+S56</f>
        <v>0</v>
      </c>
      <c r="N56" s="449"/>
      <c r="O56" s="449">
        <f t="shared" si="3"/>
        <v>530000</v>
      </c>
      <c r="P56" s="449">
        <f t="shared" si="4"/>
        <v>0</v>
      </c>
      <c r="Q56" s="451"/>
      <c r="R56" s="449"/>
      <c r="S56" s="449">
        <f t="shared" si="5"/>
        <v>0</v>
      </c>
      <c r="T56" s="450">
        <f t="shared" si="6"/>
        <v>0</v>
      </c>
      <c r="U56" s="449">
        <f t="shared" si="7"/>
        <v>0</v>
      </c>
      <c r="V56" s="449">
        <f t="shared" si="8"/>
        <v>0</v>
      </c>
      <c r="W56" s="449"/>
      <c r="X56" s="449"/>
      <c r="Y56" s="449"/>
      <c r="Z56" s="449"/>
      <c r="AA56" s="448"/>
      <c r="AB56" s="448" t="s">
        <v>731</v>
      </c>
      <c r="AC56" s="448">
        <v>742000</v>
      </c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2"/>
      <c r="AO56" s="422"/>
      <c r="AP56" s="422"/>
      <c r="AQ56" s="422"/>
      <c r="AR56" s="422"/>
      <c r="AS56" s="422"/>
      <c r="AT56" s="422"/>
      <c r="AU56" s="422"/>
      <c r="AV56" s="422"/>
      <c r="AW56" s="422"/>
      <c r="AX56" s="422"/>
    </row>
    <row r="57" spans="1:58" s="452" customFormat="1" ht="40.200000000000003" customHeight="1">
      <c r="A57" s="448">
        <f t="shared" si="9"/>
        <v>53</v>
      </c>
      <c r="B57" s="455">
        <v>20060</v>
      </c>
      <c r="C57" s="448" t="s">
        <v>732</v>
      </c>
      <c r="D57" s="449">
        <v>640000</v>
      </c>
      <c r="E57" s="449">
        <v>640000</v>
      </c>
      <c r="F57" s="449">
        <f t="shared" si="0"/>
        <v>0</v>
      </c>
      <c r="G57" s="449">
        <v>0</v>
      </c>
      <c r="H57" s="449"/>
      <c r="I57" s="449"/>
      <c r="J57" s="449"/>
      <c r="K57" s="449">
        <f t="shared" si="10"/>
        <v>0</v>
      </c>
      <c r="L57" s="449">
        <f t="shared" si="2"/>
        <v>0</v>
      </c>
      <c r="M57" s="450">
        <f>P57+S57</f>
        <v>0</v>
      </c>
      <c r="N57" s="449">
        <f>250000-150000</f>
        <v>100000</v>
      </c>
      <c r="O57" s="449">
        <f t="shared" si="3"/>
        <v>540000</v>
      </c>
      <c r="P57" s="449">
        <f t="shared" si="4"/>
        <v>0</v>
      </c>
      <c r="Q57" s="451"/>
      <c r="R57" s="449"/>
      <c r="S57" s="449">
        <f t="shared" si="5"/>
        <v>0</v>
      </c>
      <c r="T57" s="450">
        <f t="shared" si="6"/>
        <v>0</v>
      </c>
      <c r="U57" s="449">
        <f t="shared" si="7"/>
        <v>100000</v>
      </c>
      <c r="V57" s="449">
        <f t="shared" si="8"/>
        <v>100000</v>
      </c>
      <c r="W57" s="449"/>
      <c r="X57" s="449"/>
      <c r="Y57" s="449"/>
      <c r="Z57" s="449"/>
      <c r="AA57" s="449"/>
      <c r="AB57" s="448" t="s">
        <v>879</v>
      </c>
      <c r="AC57" s="448">
        <v>732000</v>
      </c>
      <c r="AD57" s="422"/>
      <c r="AE57" s="422"/>
      <c r="AF57" s="422"/>
      <c r="AG57" s="422"/>
      <c r="AH57" s="422"/>
      <c r="AI57" s="422"/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</row>
    <row r="58" spans="1:58" s="452" customFormat="1" ht="40.200000000000003" customHeight="1">
      <c r="A58" s="448">
        <f t="shared" si="9"/>
        <v>54</v>
      </c>
      <c r="B58" s="455">
        <v>20061</v>
      </c>
      <c r="C58" s="448" t="s">
        <v>782</v>
      </c>
      <c r="D58" s="449">
        <v>700000</v>
      </c>
      <c r="E58" s="449">
        <v>700000</v>
      </c>
      <c r="F58" s="449">
        <f t="shared" si="0"/>
        <v>0</v>
      </c>
      <c r="G58" s="449">
        <v>0</v>
      </c>
      <c r="H58" s="449"/>
      <c r="I58" s="449"/>
      <c r="J58" s="449"/>
      <c r="K58" s="449">
        <f t="shared" si="10"/>
        <v>0</v>
      </c>
      <c r="L58" s="449">
        <f t="shared" si="2"/>
        <v>0</v>
      </c>
      <c r="M58" s="450">
        <f>P58+S58</f>
        <v>0</v>
      </c>
      <c r="N58" s="449">
        <f>500000-250000-150000-50000</f>
        <v>50000</v>
      </c>
      <c r="O58" s="449">
        <f t="shared" si="3"/>
        <v>650000</v>
      </c>
      <c r="P58" s="449">
        <f t="shared" si="4"/>
        <v>0</v>
      </c>
      <c r="Q58" s="451"/>
      <c r="R58" s="449"/>
      <c r="S58" s="449">
        <f t="shared" si="5"/>
        <v>0</v>
      </c>
      <c r="T58" s="450">
        <f t="shared" si="6"/>
        <v>0</v>
      </c>
      <c r="U58" s="449">
        <f t="shared" si="7"/>
        <v>50000</v>
      </c>
      <c r="V58" s="449">
        <f t="shared" si="8"/>
        <v>50000</v>
      </c>
      <c r="W58" s="449"/>
      <c r="X58" s="449"/>
      <c r="Y58" s="449"/>
      <c r="Z58" s="449"/>
      <c r="AA58" s="449"/>
      <c r="AB58" s="455" t="s">
        <v>880</v>
      </c>
      <c r="AC58" s="448">
        <v>732000</v>
      </c>
      <c r="AD58" s="422"/>
      <c r="AE58" s="422"/>
      <c r="AF58" s="422"/>
      <c r="AG58" s="422"/>
      <c r="AH58" s="422"/>
      <c r="AI58" s="422"/>
      <c r="AJ58" s="422"/>
      <c r="AK58" s="422"/>
      <c r="AL58" s="422"/>
      <c r="AM58" s="422"/>
      <c r="AN58" s="422"/>
      <c r="AO58" s="422"/>
      <c r="AP58" s="422"/>
      <c r="AQ58" s="422"/>
      <c r="AR58" s="422"/>
      <c r="AS58" s="422"/>
      <c r="AT58" s="422"/>
      <c r="AU58" s="422"/>
      <c r="AV58" s="422"/>
      <c r="AW58" s="422"/>
      <c r="AX58" s="422"/>
    </row>
    <row r="59" spans="1:58" s="452" customFormat="1" ht="41.4">
      <c r="A59" s="448">
        <f t="shared" si="9"/>
        <v>55</v>
      </c>
      <c r="B59" s="455">
        <v>20062</v>
      </c>
      <c r="C59" s="448" t="s">
        <v>28</v>
      </c>
      <c r="D59" s="449">
        <f>50000+250000</f>
        <v>300000</v>
      </c>
      <c r="E59" s="449">
        <v>50000</v>
      </c>
      <c r="F59" s="449">
        <f t="shared" si="0"/>
        <v>250000</v>
      </c>
      <c r="G59" s="449">
        <v>0</v>
      </c>
      <c r="H59" s="449"/>
      <c r="I59" s="449"/>
      <c r="J59" s="449"/>
      <c r="K59" s="449">
        <f t="shared" si="10"/>
        <v>0</v>
      </c>
      <c r="L59" s="449">
        <f t="shared" si="2"/>
        <v>0</v>
      </c>
      <c r="M59" s="450">
        <f>P59+S59</f>
        <v>0</v>
      </c>
      <c r="N59" s="449">
        <f>100000-30000-30000</f>
        <v>40000</v>
      </c>
      <c r="O59" s="449">
        <f t="shared" si="3"/>
        <v>260000</v>
      </c>
      <c r="P59" s="449">
        <f t="shared" si="4"/>
        <v>0</v>
      </c>
      <c r="Q59" s="451"/>
      <c r="R59" s="449"/>
      <c r="S59" s="449">
        <f t="shared" si="5"/>
        <v>0</v>
      </c>
      <c r="T59" s="450">
        <f t="shared" si="6"/>
        <v>0</v>
      </c>
      <c r="U59" s="449">
        <f t="shared" si="7"/>
        <v>40000</v>
      </c>
      <c r="V59" s="449">
        <f t="shared" si="8"/>
        <v>40000</v>
      </c>
      <c r="W59" s="449"/>
      <c r="X59" s="449"/>
      <c r="Y59" s="449"/>
      <c r="Z59" s="449"/>
      <c r="AA59" s="449"/>
      <c r="AB59" s="448" t="s">
        <v>811</v>
      </c>
      <c r="AC59" s="448">
        <v>732000</v>
      </c>
      <c r="AD59" s="422"/>
      <c r="AE59" s="422"/>
      <c r="AF59" s="422"/>
      <c r="AG59" s="422"/>
      <c r="AH59" s="422"/>
      <c r="AI59" s="422"/>
      <c r="AJ59" s="422"/>
      <c r="AK59" s="422"/>
      <c r="AL59" s="422"/>
      <c r="AM59" s="422"/>
      <c r="AN59" s="422"/>
      <c r="AO59" s="422"/>
      <c r="AP59" s="422"/>
      <c r="AQ59" s="422"/>
      <c r="AR59" s="422"/>
      <c r="AS59" s="422"/>
      <c r="AT59" s="422"/>
      <c r="AU59" s="422"/>
      <c r="AV59" s="422"/>
      <c r="AW59" s="422"/>
      <c r="AX59" s="422"/>
    </row>
    <row r="60" spans="1:58" s="452" customFormat="1" ht="40.200000000000003" customHeight="1">
      <c r="A60" s="448">
        <f t="shared" si="9"/>
        <v>56</v>
      </c>
      <c r="B60" s="455">
        <v>20102</v>
      </c>
      <c r="C60" s="448" t="s">
        <v>1287</v>
      </c>
      <c r="D60" s="449">
        <v>1000000</v>
      </c>
      <c r="E60" s="449">
        <v>1000000</v>
      </c>
      <c r="F60" s="449">
        <f t="shared" si="0"/>
        <v>0</v>
      </c>
      <c r="G60" s="449">
        <v>0</v>
      </c>
      <c r="H60" s="449"/>
      <c r="I60" s="449"/>
      <c r="J60" s="449"/>
      <c r="K60" s="449">
        <f t="shared" si="10"/>
        <v>0</v>
      </c>
      <c r="L60" s="449">
        <f t="shared" si="2"/>
        <v>0</v>
      </c>
      <c r="M60" s="450">
        <f>P60+S60</f>
        <v>0</v>
      </c>
      <c r="N60" s="449">
        <v>1000000</v>
      </c>
      <c r="O60" s="449">
        <f t="shared" si="3"/>
        <v>0</v>
      </c>
      <c r="P60" s="449">
        <f t="shared" si="4"/>
        <v>0</v>
      </c>
      <c r="Q60" s="451"/>
      <c r="R60" s="449"/>
      <c r="S60" s="449">
        <f t="shared" si="5"/>
        <v>0</v>
      </c>
      <c r="T60" s="450">
        <f t="shared" si="6"/>
        <v>0</v>
      </c>
      <c r="U60" s="449">
        <f t="shared" si="7"/>
        <v>1000000</v>
      </c>
      <c r="V60" s="449">
        <f t="shared" si="8"/>
        <v>550000</v>
      </c>
      <c r="W60" s="449"/>
      <c r="X60" s="449"/>
      <c r="Y60" s="449"/>
      <c r="Z60" s="449"/>
      <c r="AA60" s="449">
        <v>450000</v>
      </c>
      <c r="AB60" s="448" t="s">
        <v>1294</v>
      </c>
      <c r="AC60" s="448">
        <v>870000</v>
      </c>
      <c r="AD60" s="422"/>
      <c r="AE60" s="422"/>
      <c r="AF60" s="422"/>
      <c r="AG60" s="422"/>
      <c r="AH60" s="422"/>
      <c r="AI60" s="422"/>
      <c r="AJ60" s="422"/>
      <c r="AK60" s="422"/>
      <c r="AL60" s="422"/>
      <c r="AM60" s="422"/>
      <c r="AN60" s="422"/>
      <c r="AO60" s="422"/>
      <c r="AP60" s="422"/>
      <c r="AQ60" s="422"/>
      <c r="AR60" s="422"/>
      <c r="AS60" s="422"/>
      <c r="AT60" s="422"/>
      <c r="AU60" s="422"/>
      <c r="AV60" s="422"/>
      <c r="AW60" s="422"/>
      <c r="AX60" s="422"/>
    </row>
    <row r="61" spans="1:58" s="452" customFormat="1" ht="40.200000000000003" customHeight="1">
      <c r="A61" s="448">
        <f t="shared" si="9"/>
        <v>57</v>
      </c>
      <c r="B61" s="455">
        <v>20105</v>
      </c>
      <c r="C61" s="469" t="s">
        <v>972</v>
      </c>
      <c r="D61" s="419">
        <f>3510901-10901</f>
        <v>3500000</v>
      </c>
      <c r="E61" s="120"/>
      <c r="F61" s="120">
        <f t="shared" si="0"/>
        <v>3500000</v>
      </c>
      <c r="G61" s="120">
        <v>0</v>
      </c>
      <c r="H61" s="120"/>
      <c r="I61" s="120"/>
      <c r="J61" s="120"/>
      <c r="K61" s="120">
        <f t="shared" ref="K61:K64" si="11">I61+J61</f>
        <v>0</v>
      </c>
      <c r="L61" s="120">
        <f t="shared" si="2"/>
        <v>0</v>
      </c>
      <c r="M61" s="273">
        <f t="shared" ref="M61:M64" si="12">P61+S61</f>
        <v>0</v>
      </c>
      <c r="N61" s="120">
        <f>350000-150000</f>
        <v>200000</v>
      </c>
      <c r="O61" s="120">
        <f t="shared" si="3"/>
        <v>3300000</v>
      </c>
      <c r="P61" s="120">
        <f t="shared" si="4"/>
        <v>0</v>
      </c>
      <c r="Q61" s="120"/>
      <c r="R61" s="120"/>
      <c r="S61" s="120">
        <f t="shared" si="5"/>
        <v>0</v>
      </c>
      <c r="T61" s="273">
        <f t="shared" si="6"/>
        <v>0</v>
      </c>
      <c r="U61" s="120">
        <f t="shared" si="7"/>
        <v>200000</v>
      </c>
      <c r="V61" s="120">
        <f t="shared" ref="V61:V64" si="13">U61-W61-Z61-AA61</f>
        <v>200000</v>
      </c>
      <c r="W61" s="120"/>
      <c r="X61" s="120"/>
      <c r="Y61" s="120"/>
      <c r="Z61" s="120"/>
      <c r="AA61" s="120"/>
      <c r="AB61" s="448" t="s">
        <v>1416</v>
      </c>
      <c r="AC61" s="448">
        <v>742000</v>
      </c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65"/>
      <c r="AQ61" s="465"/>
      <c r="AR61" s="465"/>
      <c r="AS61" s="465"/>
      <c r="AT61" s="465"/>
      <c r="AU61" s="465"/>
      <c r="AV61" s="465"/>
      <c r="AW61" s="465"/>
      <c r="AX61" s="272"/>
      <c r="AY61" s="272"/>
      <c r="AZ61" s="272"/>
      <c r="BA61" s="272"/>
      <c r="BB61" s="272"/>
      <c r="BC61" s="272"/>
      <c r="BD61" s="272"/>
      <c r="BE61" s="272"/>
      <c r="BF61" s="272"/>
    </row>
    <row r="62" spans="1:58" s="452" customFormat="1" ht="40.200000000000003" customHeight="1">
      <c r="A62" s="448">
        <f t="shared" si="9"/>
        <v>58</v>
      </c>
      <c r="B62" s="455">
        <v>20106</v>
      </c>
      <c r="C62" s="469" t="s">
        <v>973</v>
      </c>
      <c r="D62" s="419">
        <f>6917471-17471</f>
        <v>6900000</v>
      </c>
      <c r="E62" s="120"/>
      <c r="F62" s="120">
        <f t="shared" si="0"/>
        <v>6900000</v>
      </c>
      <c r="G62" s="120">
        <v>0</v>
      </c>
      <c r="H62" s="120"/>
      <c r="I62" s="120"/>
      <c r="J62" s="120"/>
      <c r="K62" s="120">
        <f t="shared" si="11"/>
        <v>0</v>
      </c>
      <c r="L62" s="120">
        <f t="shared" si="2"/>
        <v>0</v>
      </c>
      <c r="M62" s="273">
        <f t="shared" si="12"/>
        <v>0</v>
      </c>
      <c r="N62" s="120">
        <f>600000-300000</f>
        <v>300000</v>
      </c>
      <c r="O62" s="120">
        <f t="shared" si="3"/>
        <v>6600000</v>
      </c>
      <c r="P62" s="120">
        <f t="shared" si="4"/>
        <v>0</v>
      </c>
      <c r="Q62" s="120"/>
      <c r="R62" s="120"/>
      <c r="S62" s="120">
        <f t="shared" si="5"/>
        <v>0</v>
      </c>
      <c r="T62" s="273">
        <f t="shared" si="6"/>
        <v>0</v>
      </c>
      <c r="U62" s="120">
        <f t="shared" si="7"/>
        <v>300000</v>
      </c>
      <c r="V62" s="120">
        <f t="shared" si="13"/>
        <v>300000</v>
      </c>
      <c r="W62" s="120"/>
      <c r="X62" s="120"/>
      <c r="Y62" s="120"/>
      <c r="Z62" s="120"/>
      <c r="AA62" s="120"/>
      <c r="AB62" s="448" t="s">
        <v>1417</v>
      </c>
      <c r="AC62" s="448">
        <v>742000</v>
      </c>
      <c r="AD62" s="422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65"/>
      <c r="AQ62" s="465"/>
      <c r="AR62" s="465"/>
      <c r="AS62" s="465"/>
      <c r="AT62" s="465"/>
      <c r="AU62" s="465"/>
      <c r="AV62" s="465"/>
      <c r="AW62" s="465"/>
      <c r="AX62" s="272"/>
      <c r="AY62" s="272"/>
      <c r="AZ62" s="272"/>
      <c r="BA62" s="272"/>
      <c r="BB62" s="272"/>
      <c r="BC62" s="272"/>
      <c r="BD62" s="272"/>
      <c r="BE62" s="272"/>
      <c r="BF62" s="272"/>
    </row>
    <row r="63" spans="1:58" s="452" customFormat="1" ht="34.950000000000003" customHeight="1">
      <c r="A63" s="448">
        <f t="shared" si="9"/>
        <v>59</v>
      </c>
      <c r="B63" s="455">
        <v>20107</v>
      </c>
      <c r="C63" s="135" t="s">
        <v>974</v>
      </c>
      <c r="D63" s="120">
        <f>4425349-25349</f>
        <v>4400000</v>
      </c>
      <c r="E63" s="120"/>
      <c r="F63" s="120">
        <f t="shared" si="0"/>
        <v>4400000</v>
      </c>
      <c r="G63" s="120">
        <v>0</v>
      </c>
      <c r="H63" s="120"/>
      <c r="I63" s="120"/>
      <c r="J63" s="120"/>
      <c r="K63" s="120">
        <f t="shared" si="11"/>
        <v>0</v>
      </c>
      <c r="L63" s="120">
        <f t="shared" si="2"/>
        <v>0</v>
      </c>
      <c r="M63" s="273">
        <f t="shared" si="12"/>
        <v>0</v>
      </c>
      <c r="N63" s="120">
        <f>440000-140000</f>
        <v>300000</v>
      </c>
      <c r="O63" s="120">
        <f t="shared" si="3"/>
        <v>4100000</v>
      </c>
      <c r="P63" s="120">
        <f t="shared" si="4"/>
        <v>0</v>
      </c>
      <c r="Q63" s="120"/>
      <c r="R63" s="120"/>
      <c r="S63" s="120">
        <f t="shared" si="5"/>
        <v>0</v>
      </c>
      <c r="T63" s="273">
        <f t="shared" si="6"/>
        <v>0</v>
      </c>
      <c r="U63" s="120">
        <f t="shared" si="7"/>
        <v>300000</v>
      </c>
      <c r="V63" s="120">
        <f t="shared" si="13"/>
        <v>300000</v>
      </c>
      <c r="W63" s="120"/>
      <c r="X63" s="120"/>
      <c r="Y63" s="120"/>
      <c r="Z63" s="120"/>
      <c r="AA63" s="120"/>
      <c r="AB63" s="448" t="s">
        <v>1361</v>
      </c>
      <c r="AC63" s="448">
        <v>742000</v>
      </c>
      <c r="AD63" s="422"/>
      <c r="AE63" s="422"/>
      <c r="AF63" s="422"/>
      <c r="AG63" s="422"/>
      <c r="AH63" s="422"/>
      <c r="AI63" s="422"/>
      <c r="AJ63" s="422"/>
      <c r="AK63" s="422"/>
      <c r="AL63" s="422"/>
      <c r="AM63" s="422"/>
      <c r="AN63" s="422"/>
      <c r="AO63" s="422"/>
      <c r="AP63" s="465"/>
      <c r="AQ63" s="465"/>
      <c r="AR63" s="465"/>
      <c r="AS63" s="465"/>
      <c r="AT63" s="465"/>
      <c r="AU63" s="465"/>
      <c r="AV63" s="465"/>
      <c r="AW63" s="465"/>
      <c r="AX63" s="272"/>
      <c r="AY63" s="272"/>
      <c r="AZ63" s="272"/>
      <c r="BA63" s="272"/>
      <c r="BB63" s="272"/>
      <c r="BC63" s="272"/>
      <c r="BD63" s="272"/>
      <c r="BE63" s="272"/>
      <c r="BF63" s="272"/>
    </row>
    <row r="64" spans="1:58" s="452" customFormat="1" ht="34.950000000000003" customHeight="1">
      <c r="A64" s="448">
        <f t="shared" si="9"/>
        <v>60</v>
      </c>
      <c r="B64" s="455">
        <v>20108</v>
      </c>
      <c r="C64" s="469" t="s">
        <v>975</v>
      </c>
      <c r="D64" s="419">
        <f>4800000-1300000</f>
        <v>3500000</v>
      </c>
      <c r="E64" s="419"/>
      <c r="F64" s="120">
        <f t="shared" si="0"/>
        <v>3500000</v>
      </c>
      <c r="G64" s="419">
        <v>0</v>
      </c>
      <c r="H64" s="419"/>
      <c r="I64" s="419"/>
      <c r="J64" s="419"/>
      <c r="K64" s="120">
        <f t="shared" si="11"/>
        <v>0</v>
      </c>
      <c r="L64" s="120">
        <f t="shared" si="2"/>
        <v>0</v>
      </c>
      <c r="M64" s="273">
        <f t="shared" si="12"/>
        <v>0</v>
      </c>
      <c r="N64" s="419">
        <f>1600000-1100000-150000</f>
        <v>350000</v>
      </c>
      <c r="O64" s="120">
        <f t="shared" si="3"/>
        <v>3150000</v>
      </c>
      <c r="P64" s="120">
        <f t="shared" si="4"/>
        <v>0</v>
      </c>
      <c r="Q64" s="120"/>
      <c r="R64" s="120"/>
      <c r="S64" s="120">
        <f t="shared" si="5"/>
        <v>0</v>
      </c>
      <c r="T64" s="273">
        <f t="shared" si="6"/>
        <v>0</v>
      </c>
      <c r="U64" s="120">
        <f t="shared" si="7"/>
        <v>350000</v>
      </c>
      <c r="V64" s="120">
        <f t="shared" si="13"/>
        <v>350000</v>
      </c>
      <c r="W64" s="120"/>
      <c r="X64" s="120"/>
      <c r="Y64" s="120"/>
      <c r="Z64" s="120"/>
      <c r="AA64" s="120"/>
      <c r="AB64" s="471" t="s">
        <v>1505</v>
      </c>
      <c r="AC64" s="448">
        <v>732000</v>
      </c>
      <c r="AD64" s="422"/>
      <c r="AE64" s="422"/>
      <c r="AF64" s="422"/>
      <c r="AG64" s="422"/>
      <c r="AH64" s="422"/>
      <c r="AI64" s="422"/>
      <c r="AJ64" s="422"/>
      <c r="AK64" s="422"/>
      <c r="AL64" s="422"/>
      <c r="AM64" s="422"/>
      <c r="AN64" s="422"/>
      <c r="AO64" s="422"/>
      <c r="AP64" s="465"/>
      <c r="AQ64" s="465"/>
      <c r="AR64" s="465"/>
      <c r="AS64" s="465"/>
      <c r="AT64" s="465"/>
      <c r="AU64" s="465"/>
      <c r="AV64" s="465"/>
      <c r="AW64" s="465"/>
      <c r="AX64" s="272"/>
      <c r="AY64" s="272"/>
      <c r="AZ64" s="272"/>
      <c r="BA64" s="272"/>
      <c r="BB64" s="272"/>
      <c r="BC64" s="272"/>
      <c r="BD64" s="272"/>
      <c r="BE64" s="272"/>
      <c r="BF64" s="272"/>
    </row>
    <row r="65" spans="1:58" s="473" customFormat="1" ht="34.950000000000003" customHeight="1">
      <c r="A65" s="249">
        <f>COUNT(A5:A64)</f>
        <v>60</v>
      </c>
      <c r="B65" s="454"/>
      <c r="C65" s="219" t="s">
        <v>315</v>
      </c>
      <c r="D65" s="249">
        <f t="shared" ref="D65:AA65" si="14">SUM(D5:D64)</f>
        <v>382469372</v>
      </c>
      <c r="E65" s="249">
        <f t="shared" si="14"/>
        <v>368254490</v>
      </c>
      <c r="F65" s="249">
        <f t="shared" si="14"/>
        <v>14214882</v>
      </c>
      <c r="G65" s="249">
        <f t="shared" si="14"/>
        <v>138033668</v>
      </c>
      <c r="H65" s="249">
        <f t="shared" si="14"/>
        <v>112863046</v>
      </c>
      <c r="I65" s="249">
        <f t="shared" si="14"/>
        <v>2835671</v>
      </c>
      <c r="J65" s="249">
        <f t="shared" si="14"/>
        <v>9659935</v>
      </c>
      <c r="K65" s="249">
        <f t="shared" si="14"/>
        <v>12495606</v>
      </c>
      <c r="L65" s="249">
        <f t="shared" si="14"/>
        <v>125358652</v>
      </c>
      <c r="M65" s="249">
        <f t="shared" si="14"/>
        <v>267243</v>
      </c>
      <c r="N65" s="249">
        <f t="shared" si="14"/>
        <v>14068800</v>
      </c>
      <c r="O65" s="249">
        <f t="shared" si="14"/>
        <v>242774677</v>
      </c>
      <c r="P65" s="249">
        <f t="shared" si="14"/>
        <v>12675016</v>
      </c>
      <c r="Q65" s="249">
        <f t="shared" si="14"/>
        <v>1140000</v>
      </c>
      <c r="R65" s="249">
        <f t="shared" si="14"/>
        <v>0</v>
      </c>
      <c r="S65" s="249">
        <f t="shared" si="14"/>
        <v>1140000</v>
      </c>
      <c r="T65" s="249">
        <f t="shared" si="14"/>
        <v>13547773</v>
      </c>
      <c r="U65" s="249">
        <f t="shared" si="14"/>
        <v>521027</v>
      </c>
      <c r="V65" s="249">
        <f t="shared" si="14"/>
        <v>791194</v>
      </c>
      <c r="W65" s="249">
        <f t="shared" si="14"/>
        <v>-750000</v>
      </c>
      <c r="X65" s="249">
        <f t="shared" si="14"/>
        <v>0</v>
      </c>
      <c r="Y65" s="249">
        <f t="shared" si="14"/>
        <v>0</v>
      </c>
      <c r="Z65" s="249">
        <f t="shared" si="14"/>
        <v>0</v>
      </c>
      <c r="AA65" s="249">
        <f t="shared" si="14"/>
        <v>479833</v>
      </c>
      <c r="AB65" s="454"/>
      <c r="AC65" s="454"/>
      <c r="AD65" s="422"/>
      <c r="AE65" s="422"/>
      <c r="AF65" s="422"/>
      <c r="AG65" s="422"/>
      <c r="AH65" s="422"/>
      <c r="AI65" s="422"/>
      <c r="AJ65" s="422"/>
      <c r="AK65" s="422"/>
      <c r="AL65" s="422"/>
      <c r="AM65" s="422"/>
      <c r="AN65" s="422"/>
      <c r="AO65" s="422"/>
      <c r="AP65" s="472"/>
      <c r="AQ65" s="472"/>
      <c r="AR65" s="472"/>
      <c r="AS65" s="472"/>
      <c r="AT65" s="472"/>
      <c r="AU65" s="472"/>
      <c r="AV65" s="472"/>
      <c r="AW65" s="472"/>
      <c r="AX65" s="359"/>
      <c r="AY65" s="359"/>
      <c r="AZ65" s="359"/>
      <c r="BA65" s="359"/>
      <c r="BB65" s="359"/>
      <c r="BC65" s="359"/>
      <c r="BD65" s="359"/>
      <c r="BE65" s="359"/>
      <c r="BF65" s="359"/>
    </row>
    <row r="66" spans="1:58" s="473" customFormat="1" ht="18.600000000000001" hidden="1" customHeight="1">
      <c r="A66" s="428"/>
      <c r="B66" s="561"/>
      <c r="C66" s="427"/>
      <c r="D66" s="461">
        <f>SUM(L65:O65)</f>
        <v>382469372</v>
      </c>
      <c r="E66" s="423"/>
      <c r="F66" s="461">
        <f>D65-E65</f>
        <v>14214882</v>
      </c>
      <c r="G66" s="423"/>
      <c r="H66" s="423"/>
      <c r="I66" s="423"/>
      <c r="J66" s="423"/>
      <c r="K66" s="423"/>
      <c r="L66" s="461">
        <f>H65+K65</f>
        <v>125358652</v>
      </c>
      <c r="M66" s="462"/>
      <c r="N66" s="423"/>
      <c r="O66" s="423"/>
      <c r="P66" s="461">
        <f>G65-L66</f>
        <v>12675016</v>
      </c>
      <c r="Q66" s="423"/>
      <c r="R66" s="423"/>
      <c r="S66" s="423"/>
      <c r="T66" s="463">
        <f>P66+S65-M65</f>
        <v>13547773</v>
      </c>
      <c r="U66" s="461">
        <f>N65-T66</f>
        <v>521027</v>
      </c>
      <c r="V66" s="428"/>
      <c r="W66" s="428"/>
      <c r="X66" s="428"/>
      <c r="Y66" s="428"/>
      <c r="Z66" s="428"/>
      <c r="AA66" s="428"/>
      <c r="AB66" s="561"/>
      <c r="AC66" s="561"/>
      <c r="AD66" s="422"/>
      <c r="AE66" s="422"/>
      <c r="AF66" s="422"/>
      <c r="AG66" s="422"/>
      <c r="AH66" s="422"/>
      <c r="AI66" s="422"/>
      <c r="AJ66" s="422"/>
      <c r="AK66" s="422"/>
      <c r="AL66" s="422"/>
      <c r="AM66" s="422"/>
      <c r="AN66" s="422"/>
      <c r="AO66" s="422"/>
      <c r="AP66" s="472"/>
      <c r="AQ66" s="472"/>
      <c r="AR66" s="472"/>
      <c r="AS66" s="472"/>
      <c r="AT66" s="472"/>
      <c r="AU66" s="472"/>
      <c r="AV66" s="472"/>
      <c r="AW66" s="472"/>
      <c r="AX66" s="359"/>
      <c r="AY66" s="359"/>
      <c r="AZ66" s="359"/>
      <c r="BA66" s="359"/>
      <c r="BB66" s="359"/>
      <c r="BC66" s="359"/>
      <c r="BD66" s="359"/>
      <c r="BE66" s="359"/>
      <c r="BF66" s="359"/>
    </row>
    <row r="67" spans="1:58" s="473" customFormat="1" ht="18.600000000000001" hidden="1" customHeight="1">
      <c r="A67" s="428"/>
      <c r="B67" s="561"/>
      <c r="C67" s="427"/>
      <c r="D67" s="461">
        <f>D65-D66</f>
        <v>0</v>
      </c>
      <c r="E67" s="423"/>
      <c r="F67" s="423"/>
      <c r="G67" s="423"/>
      <c r="H67" s="423"/>
      <c r="I67" s="423"/>
      <c r="J67" s="423"/>
      <c r="K67" s="423"/>
      <c r="L67" s="461">
        <f>L65-L66</f>
        <v>0</v>
      </c>
      <c r="M67" s="462"/>
      <c r="N67" s="423"/>
      <c r="O67" s="423"/>
      <c r="P67" s="461">
        <f>P65-P66</f>
        <v>0</v>
      </c>
      <c r="Q67" s="423"/>
      <c r="R67" s="423"/>
      <c r="S67" s="423"/>
      <c r="T67" s="463">
        <f>T65-T66</f>
        <v>0</v>
      </c>
      <c r="U67" s="461">
        <f>U65-U66</f>
        <v>0</v>
      </c>
      <c r="V67" s="428"/>
      <c r="W67" s="428"/>
      <c r="X67" s="428"/>
      <c r="Y67" s="428"/>
      <c r="Z67" s="428"/>
      <c r="AA67" s="428"/>
      <c r="AB67" s="561"/>
      <c r="AC67" s="561"/>
      <c r="AD67" s="422"/>
      <c r="AE67" s="422"/>
      <c r="AF67" s="422"/>
      <c r="AG67" s="422"/>
      <c r="AH67" s="422"/>
      <c r="AI67" s="422"/>
      <c r="AJ67" s="422"/>
      <c r="AK67" s="422"/>
      <c r="AL67" s="422"/>
      <c r="AM67" s="422"/>
      <c r="AN67" s="422"/>
      <c r="AO67" s="422"/>
      <c r="AP67" s="472"/>
      <c r="AQ67" s="472"/>
      <c r="AR67" s="472"/>
      <c r="AS67" s="472"/>
      <c r="AT67" s="472"/>
      <c r="AU67" s="472"/>
      <c r="AV67" s="472"/>
      <c r="AW67" s="472"/>
      <c r="AX67" s="359"/>
      <c r="AY67" s="359"/>
      <c r="AZ67" s="359"/>
      <c r="BA67" s="359"/>
      <c r="BB67" s="359"/>
      <c r="BC67" s="359"/>
      <c r="BD67" s="359"/>
      <c r="BE67" s="359"/>
      <c r="BF67" s="359"/>
    </row>
    <row r="68" spans="1:58" s="473" customFormat="1" ht="18.600000000000001" hidden="1" customHeight="1">
      <c r="A68" s="428"/>
      <c r="B68" s="561"/>
      <c r="C68" s="427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8"/>
      <c r="AA68" s="428"/>
      <c r="AB68" s="561"/>
      <c r="AC68" s="561"/>
      <c r="AD68" s="422"/>
      <c r="AE68" s="422"/>
      <c r="AF68" s="422"/>
      <c r="AG68" s="422"/>
      <c r="AH68" s="422"/>
      <c r="AI68" s="422"/>
      <c r="AJ68" s="422"/>
      <c r="AK68" s="422"/>
      <c r="AL68" s="422"/>
      <c r="AM68" s="422"/>
      <c r="AN68" s="422"/>
      <c r="AO68" s="422"/>
      <c r="AP68" s="472"/>
      <c r="AQ68" s="472"/>
      <c r="AR68" s="472"/>
      <c r="AS68" s="472"/>
      <c r="AT68" s="472"/>
      <c r="AU68" s="472"/>
      <c r="AV68" s="472"/>
      <c r="AW68" s="472"/>
      <c r="AX68" s="359"/>
      <c r="AY68" s="359"/>
      <c r="AZ68" s="359"/>
      <c r="BA68" s="359"/>
      <c r="BB68" s="359"/>
      <c r="BC68" s="359"/>
      <c r="BD68" s="359"/>
      <c r="BE68" s="359"/>
      <c r="BF68" s="359"/>
    </row>
    <row r="69" spans="1:58" s="473" customFormat="1" ht="18.600000000000001" customHeight="1">
      <c r="A69" s="428"/>
      <c r="B69" s="561"/>
      <c r="C69" s="427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8"/>
      <c r="AA69" s="428"/>
      <c r="AB69" s="561"/>
      <c r="AC69" s="561"/>
      <c r="AD69" s="422"/>
      <c r="AE69" s="422"/>
      <c r="AF69" s="422"/>
      <c r="AG69" s="422"/>
      <c r="AH69" s="422"/>
      <c r="AI69" s="422"/>
      <c r="AJ69" s="422"/>
      <c r="AK69" s="422"/>
      <c r="AL69" s="422"/>
      <c r="AM69" s="422"/>
      <c r="AN69" s="422"/>
      <c r="AO69" s="422"/>
      <c r="AP69" s="472"/>
      <c r="AQ69" s="472"/>
      <c r="AR69" s="472"/>
      <c r="AS69" s="472"/>
      <c r="AT69" s="472"/>
      <c r="AU69" s="472"/>
      <c r="AV69" s="472"/>
      <c r="AW69" s="472"/>
      <c r="AX69" s="359"/>
      <c r="AY69" s="359"/>
      <c r="AZ69" s="359"/>
      <c r="BA69" s="359"/>
      <c r="BB69" s="359"/>
      <c r="BC69" s="359"/>
      <c r="BD69" s="359"/>
      <c r="BE69" s="359"/>
      <c r="BF69" s="359"/>
    </row>
    <row r="71" spans="1:58" ht="15.6">
      <c r="A71" s="429"/>
      <c r="O71" s="424"/>
      <c r="P71" s="424"/>
      <c r="Q71" s="424"/>
      <c r="R71" s="424"/>
      <c r="S71" s="424"/>
      <c r="T71" s="424"/>
      <c r="AB71" s="424"/>
    </row>
    <row r="72" spans="1:58" ht="15.6">
      <c r="A72" s="429"/>
      <c r="O72" s="424"/>
      <c r="P72" s="424"/>
      <c r="Q72" s="424"/>
      <c r="R72" s="424"/>
      <c r="S72" s="424"/>
      <c r="T72" s="424"/>
      <c r="AB72" s="424"/>
    </row>
    <row r="73" spans="1:58" ht="15.6">
      <c r="A73" s="429"/>
      <c r="O73" s="424"/>
      <c r="P73" s="424"/>
      <c r="Q73" s="424"/>
      <c r="R73" s="424"/>
      <c r="S73" s="424"/>
      <c r="T73" s="424"/>
      <c r="AB73" s="424"/>
    </row>
    <row r="74" spans="1:58">
      <c r="O74" s="424"/>
      <c r="P74" s="424"/>
      <c r="Q74" s="424"/>
      <c r="R74" s="424"/>
      <c r="S74" s="424"/>
      <c r="T74" s="424"/>
      <c r="AB74" s="424"/>
    </row>
    <row r="75" spans="1:58">
      <c r="O75" s="424"/>
      <c r="P75" s="424"/>
      <c r="Q75" s="424"/>
      <c r="R75" s="424"/>
      <c r="S75" s="424"/>
      <c r="T75" s="424"/>
      <c r="AB75" s="424"/>
    </row>
    <row r="76" spans="1:58">
      <c r="O76" s="424"/>
      <c r="P76" s="424"/>
      <c r="Q76" s="424"/>
      <c r="R76" s="424"/>
      <c r="S76" s="424"/>
      <c r="T76" s="424"/>
      <c r="AB76" s="424"/>
    </row>
    <row r="77" spans="1:58">
      <c r="A77" s="749"/>
      <c r="O77" s="424"/>
      <c r="P77" s="424"/>
      <c r="Q77" s="424"/>
      <c r="R77" s="424"/>
      <c r="S77" s="424"/>
      <c r="T77" s="424"/>
      <c r="AB77" s="424"/>
    </row>
    <row r="78" spans="1:58">
      <c r="O78" s="424"/>
      <c r="P78" s="424"/>
      <c r="Q78" s="424"/>
      <c r="R78" s="424"/>
      <c r="S78" s="424"/>
      <c r="T78" s="424"/>
      <c r="AB78" s="424"/>
    </row>
    <row r="79" spans="1:58">
      <c r="O79" s="424"/>
      <c r="P79" s="424"/>
      <c r="Q79" s="424"/>
      <c r="R79" s="424"/>
      <c r="S79" s="424"/>
      <c r="T79" s="424"/>
      <c r="AB79" s="424"/>
    </row>
    <row r="80" spans="1:58">
      <c r="O80" s="424"/>
      <c r="P80" s="424"/>
      <c r="Q80" s="424"/>
      <c r="R80" s="424"/>
      <c r="S80" s="424"/>
      <c r="T80" s="424"/>
      <c r="AB80" s="424"/>
    </row>
    <row r="81" spans="1:58">
      <c r="O81" s="424"/>
      <c r="P81" s="424"/>
      <c r="Q81" s="424"/>
      <c r="R81" s="424"/>
      <c r="S81" s="424"/>
      <c r="T81" s="424"/>
      <c r="AB81" s="424"/>
    </row>
    <row r="82" spans="1:58">
      <c r="O82" s="424"/>
      <c r="P82" s="424"/>
      <c r="Q82" s="424"/>
      <c r="R82" s="424"/>
      <c r="S82" s="424"/>
      <c r="T82" s="424"/>
      <c r="AB82" s="424"/>
    </row>
    <row r="83" spans="1:58">
      <c r="O83" s="424"/>
      <c r="P83" s="424"/>
      <c r="Q83" s="424"/>
      <c r="R83" s="424"/>
      <c r="S83" s="424"/>
      <c r="T83" s="424"/>
      <c r="AB83" s="424"/>
    </row>
    <row r="84" spans="1:58" s="422" customFormat="1">
      <c r="A84" s="424"/>
      <c r="B84" s="424"/>
      <c r="C84" s="440"/>
      <c r="D84" s="423"/>
      <c r="E84" s="423"/>
      <c r="F84" s="423"/>
      <c r="G84" s="423"/>
      <c r="H84" s="423"/>
      <c r="I84" s="423"/>
      <c r="J84" s="423"/>
      <c r="K84" s="423"/>
      <c r="L84" s="423"/>
      <c r="M84" s="462"/>
      <c r="N84" s="423"/>
      <c r="O84" s="424"/>
      <c r="P84" s="424"/>
      <c r="Q84" s="424"/>
      <c r="R84" s="424"/>
      <c r="S84" s="424"/>
      <c r="T84" s="424"/>
      <c r="U84" s="424"/>
      <c r="V84" s="424"/>
      <c r="W84" s="424"/>
      <c r="X84" s="424"/>
      <c r="Y84" s="424"/>
      <c r="Z84" s="424"/>
      <c r="AA84" s="424"/>
      <c r="AB84" s="424"/>
      <c r="AC84" s="424"/>
      <c r="AY84" s="424"/>
      <c r="AZ84" s="424"/>
      <c r="BA84" s="424"/>
      <c r="BB84" s="424"/>
      <c r="BC84" s="424"/>
      <c r="BD84" s="424"/>
      <c r="BE84" s="424"/>
      <c r="BF84" s="424"/>
    </row>
    <row r="85" spans="1:58" s="422" customFormat="1">
      <c r="A85" s="424"/>
      <c r="B85" s="424"/>
      <c r="C85" s="440"/>
      <c r="D85" s="423"/>
      <c r="E85" s="423"/>
      <c r="F85" s="423"/>
      <c r="G85" s="423"/>
      <c r="H85" s="423"/>
      <c r="I85" s="423"/>
      <c r="J85" s="423"/>
      <c r="K85" s="423"/>
      <c r="L85" s="423"/>
      <c r="M85" s="462"/>
      <c r="N85" s="423"/>
      <c r="O85" s="424"/>
      <c r="P85" s="424"/>
      <c r="Q85" s="424"/>
      <c r="R85" s="424"/>
      <c r="S85" s="424"/>
      <c r="T85" s="424"/>
      <c r="U85" s="424"/>
      <c r="V85" s="424"/>
      <c r="W85" s="424"/>
      <c r="X85" s="424"/>
      <c r="Y85" s="424"/>
      <c r="Z85" s="424"/>
      <c r="AA85" s="424"/>
      <c r="AB85" s="424"/>
      <c r="AC85" s="424"/>
      <c r="AY85" s="424"/>
      <c r="AZ85" s="424"/>
      <c r="BA85" s="424"/>
      <c r="BB85" s="424"/>
      <c r="BC85" s="424"/>
      <c r="BD85" s="424"/>
      <c r="BE85" s="424"/>
      <c r="BF85" s="424"/>
    </row>
    <row r="86" spans="1:58" s="422" customFormat="1">
      <c r="A86" s="424"/>
      <c r="B86" s="424"/>
      <c r="C86" s="440"/>
      <c r="D86" s="423"/>
      <c r="E86" s="423"/>
      <c r="F86" s="423"/>
      <c r="G86" s="423"/>
      <c r="H86" s="423"/>
      <c r="I86" s="423"/>
      <c r="J86" s="423"/>
      <c r="K86" s="423"/>
      <c r="L86" s="423"/>
      <c r="M86" s="462"/>
      <c r="N86" s="423"/>
      <c r="O86" s="424"/>
      <c r="P86" s="424"/>
      <c r="Q86" s="424"/>
      <c r="R86" s="424"/>
      <c r="S86" s="424"/>
      <c r="T86" s="424"/>
      <c r="U86" s="424"/>
      <c r="V86" s="424"/>
      <c r="W86" s="424"/>
      <c r="X86" s="424"/>
      <c r="Y86" s="424"/>
      <c r="Z86" s="424"/>
      <c r="AA86" s="424"/>
      <c r="AB86" s="424"/>
      <c r="AC86" s="424"/>
      <c r="AY86" s="424"/>
      <c r="AZ86" s="424"/>
      <c r="BA86" s="424"/>
      <c r="BB86" s="424"/>
      <c r="BC86" s="424"/>
      <c r="BD86" s="424"/>
      <c r="BE86" s="424"/>
      <c r="BF86" s="424"/>
    </row>
    <row r="87" spans="1:58" s="422" customFormat="1">
      <c r="A87" s="424"/>
      <c r="B87" s="424"/>
      <c r="C87" s="440"/>
      <c r="D87" s="423"/>
      <c r="E87" s="423"/>
      <c r="F87" s="423"/>
      <c r="G87" s="423"/>
      <c r="H87" s="423"/>
      <c r="I87" s="423"/>
      <c r="J87" s="423"/>
      <c r="K87" s="423"/>
      <c r="L87" s="423"/>
      <c r="M87" s="462"/>
      <c r="N87" s="423"/>
      <c r="O87" s="423"/>
      <c r="P87" s="423"/>
      <c r="Q87" s="424"/>
      <c r="R87" s="424"/>
      <c r="S87" s="424"/>
      <c r="T87" s="424"/>
      <c r="U87" s="424"/>
      <c r="V87" s="424"/>
      <c r="W87" s="424"/>
      <c r="X87" s="424"/>
      <c r="Y87" s="424"/>
      <c r="Z87" s="424"/>
      <c r="AA87" s="424"/>
      <c r="AB87" s="440"/>
      <c r="AC87" s="424"/>
      <c r="AY87" s="424"/>
      <c r="AZ87" s="424"/>
      <c r="BA87" s="424"/>
      <c r="BB87" s="424"/>
      <c r="BC87" s="424"/>
      <c r="BD87" s="424"/>
      <c r="BE87" s="424"/>
      <c r="BF87" s="424"/>
    </row>
    <row r="88" spans="1:58" s="422" customFormat="1">
      <c r="A88" s="424"/>
      <c r="B88" s="424"/>
      <c r="C88" s="440"/>
      <c r="D88" s="423"/>
      <c r="E88" s="423"/>
      <c r="F88" s="423"/>
      <c r="G88" s="423"/>
      <c r="H88" s="423"/>
      <c r="I88" s="423"/>
      <c r="J88" s="423"/>
      <c r="K88" s="423"/>
      <c r="L88" s="423"/>
      <c r="M88" s="462"/>
      <c r="N88" s="423"/>
      <c r="O88" s="423"/>
      <c r="P88" s="423"/>
      <c r="Q88" s="424"/>
      <c r="R88" s="424"/>
      <c r="S88" s="424"/>
      <c r="T88" s="424"/>
      <c r="U88" s="424"/>
      <c r="V88" s="424"/>
      <c r="W88" s="424"/>
      <c r="X88" s="424"/>
      <c r="Y88" s="424"/>
      <c r="Z88" s="424"/>
      <c r="AA88" s="424"/>
      <c r="AB88" s="440"/>
      <c r="AC88" s="424"/>
      <c r="AY88" s="424"/>
      <c r="AZ88" s="424"/>
      <c r="BA88" s="424"/>
      <c r="BB88" s="424"/>
      <c r="BC88" s="424"/>
      <c r="BD88" s="424"/>
      <c r="BE88" s="424"/>
      <c r="BF88" s="424"/>
    </row>
    <row r="89" spans="1:58" s="422" customFormat="1">
      <c r="A89" s="424"/>
      <c r="B89" s="424"/>
      <c r="C89" s="440"/>
      <c r="D89" s="423"/>
      <c r="E89" s="423"/>
      <c r="F89" s="423"/>
      <c r="G89" s="423"/>
      <c r="H89" s="423"/>
      <c r="I89" s="423"/>
      <c r="J89" s="423"/>
      <c r="K89" s="423"/>
      <c r="L89" s="423"/>
      <c r="M89" s="462"/>
      <c r="N89" s="423"/>
      <c r="O89" s="423"/>
      <c r="P89" s="423"/>
      <c r="Q89" s="424"/>
      <c r="R89" s="424"/>
      <c r="S89" s="424"/>
      <c r="T89" s="424"/>
      <c r="U89" s="424"/>
      <c r="V89" s="424"/>
      <c r="W89" s="424"/>
      <c r="X89" s="424"/>
      <c r="Y89" s="424"/>
      <c r="Z89" s="424"/>
      <c r="AA89" s="424"/>
      <c r="AB89" s="440"/>
      <c r="AC89" s="424"/>
      <c r="AY89" s="424"/>
      <c r="AZ89" s="424"/>
      <c r="BA89" s="424"/>
      <c r="BB89" s="424"/>
      <c r="BC89" s="424"/>
      <c r="BD89" s="424"/>
      <c r="BE89" s="424"/>
      <c r="BF89" s="424"/>
    </row>
    <row r="90" spans="1:58" s="422" customFormat="1">
      <c r="A90" s="424"/>
      <c r="B90" s="424"/>
      <c r="C90" s="440"/>
      <c r="D90" s="423"/>
      <c r="E90" s="423"/>
      <c r="F90" s="423"/>
      <c r="G90" s="423"/>
      <c r="H90" s="423"/>
      <c r="I90" s="423"/>
      <c r="J90" s="423"/>
      <c r="K90" s="423"/>
      <c r="L90" s="423"/>
      <c r="M90" s="462"/>
      <c r="N90" s="423"/>
      <c r="O90" s="423"/>
      <c r="P90" s="423"/>
      <c r="Q90" s="424"/>
      <c r="R90" s="424"/>
      <c r="S90" s="424"/>
      <c r="T90" s="424"/>
      <c r="U90" s="424"/>
      <c r="V90" s="424"/>
      <c r="W90" s="424"/>
      <c r="X90" s="424"/>
      <c r="Y90" s="424"/>
      <c r="Z90" s="424"/>
      <c r="AA90" s="424"/>
      <c r="AB90" s="440"/>
      <c r="AC90" s="424"/>
      <c r="AY90" s="424"/>
      <c r="AZ90" s="424"/>
      <c r="BA90" s="424"/>
      <c r="BB90" s="424"/>
      <c r="BC90" s="424"/>
      <c r="BD90" s="424"/>
      <c r="BE90" s="424"/>
      <c r="BF90" s="424"/>
    </row>
    <row r="91" spans="1:58" s="422" customFormat="1">
      <c r="A91" s="424"/>
      <c r="B91" s="424"/>
      <c r="C91" s="440"/>
      <c r="D91" s="423"/>
      <c r="E91" s="423"/>
      <c r="F91" s="423"/>
      <c r="G91" s="423"/>
      <c r="H91" s="423"/>
      <c r="I91" s="423"/>
      <c r="J91" s="423"/>
      <c r="K91" s="423"/>
      <c r="L91" s="423"/>
      <c r="M91" s="462"/>
      <c r="N91" s="423"/>
      <c r="O91" s="423"/>
      <c r="P91" s="423"/>
      <c r="Q91" s="424"/>
      <c r="R91" s="424"/>
      <c r="S91" s="424"/>
      <c r="T91" s="424"/>
      <c r="U91" s="424"/>
      <c r="V91" s="424"/>
      <c r="W91" s="424"/>
      <c r="X91" s="424"/>
      <c r="Y91" s="424"/>
      <c r="Z91" s="424"/>
      <c r="AA91" s="424"/>
      <c r="AB91" s="440"/>
      <c r="AC91" s="424"/>
      <c r="AY91" s="424"/>
      <c r="AZ91" s="424"/>
      <c r="BA91" s="424"/>
      <c r="BB91" s="424"/>
      <c r="BC91" s="424"/>
      <c r="BD91" s="424"/>
      <c r="BE91" s="424"/>
      <c r="BF91" s="424"/>
    </row>
    <row r="92" spans="1:58" s="422" customFormat="1">
      <c r="A92" s="424"/>
      <c r="B92" s="424"/>
      <c r="C92" s="440"/>
      <c r="D92" s="423"/>
      <c r="E92" s="423"/>
      <c r="F92" s="423"/>
      <c r="G92" s="423"/>
      <c r="H92" s="423"/>
      <c r="I92" s="423"/>
      <c r="J92" s="423"/>
      <c r="K92" s="423"/>
      <c r="L92" s="423"/>
      <c r="M92" s="462"/>
      <c r="N92" s="423"/>
      <c r="O92" s="423"/>
      <c r="P92" s="423"/>
      <c r="Q92" s="424"/>
      <c r="R92" s="424"/>
      <c r="S92" s="424"/>
      <c r="T92" s="424"/>
      <c r="U92" s="424"/>
      <c r="V92" s="424"/>
      <c r="W92" s="424"/>
      <c r="X92" s="424"/>
      <c r="Y92" s="424"/>
      <c r="Z92" s="424"/>
      <c r="AA92" s="424"/>
      <c r="AB92" s="440"/>
      <c r="AC92" s="424"/>
      <c r="AY92" s="424"/>
      <c r="AZ92" s="424"/>
      <c r="BA92" s="424"/>
      <c r="BB92" s="424"/>
      <c r="BC92" s="424"/>
      <c r="BD92" s="424"/>
      <c r="BE92" s="424"/>
      <c r="BF92" s="424"/>
    </row>
    <row r="131" ht="37.950000000000003" customHeight="1"/>
    <row r="134" ht="70.95" customHeight="1"/>
    <row r="137" ht="72" customHeight="1"/>
    <row r="139" ht="43.95" customHeight="1"/>
    <row r="141" ht="30" customHeight="1"/>
  </sheetData>
  <conditionalFormatting sqref="O1:O25 O70 O77:O1048576 O60 O27:O58">
    <cfRule type="cellIs" dxfId="456" priority="7" operator="lessThan">
      <formula>0</formula>
    </cfRule>
  </conditionalFormatting>
  <conditionalFormatting sqref="O26">
    <cfRule type="cellIs" dxfId="455" priority="6" operator="lessThan">
      <formula>0</formula>
    </cfRule>
  </conditionalFormatting>
  <conditionalFormatting sqref="AF4">
    <cfRule type="cellIs" dxfId="454" priority="5" operator="equal">
      <formula>0</formula>
    </cfRule>
  </conditionalFormatting>
  <conditionalFormatting sqref="M4:N4">
    <cfRule type="cellIs" dxfId="453" priority="4" operator="lessThan">
      <formula>0</formula>
    </cfRule>
  </conditionalFormatting>
  <conditionalFormatting sqref="O66:O67">
    <cfRule type="cellIs" dxfId="452" priority="3" operator="lessThan">
      <formula>0</formula>
    </cfRule>
  </conditionalFormatting>
  <conditionalFormatting sqref="O59">
    <cfRule type="cellIs" dxfId="451" priority="2" operator="lessThan">
      <formula>0</formula>
    </cfRule>
  </conditionalFormatting>
  <conditionalFormatting sqref="AI4">
    <cfRule type="cellIs" dxfId="45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49"/>
  <sheetViews>
    <sheetView showZeros="0" rightToLeft="1" zoomScaleNormal="100" workbookViewId="0">
      <pane xSplit="4" ySplit="4" topLeftCell="E67" activePane="bottomRight" state="frozen"/>
      <selection activeCell="S45" sqref="S45"/>
      <selection pane="topRight" activeCell="S45" sqref="S45"/>
      <selection pane="bottomLeft" activeCell="S45" sqref="S45"/>
      <selection pane="bottomRight" sqref="A1:AC73"/>
    </sheetView>
  </sheetViews>
  <sheetFormatPr defaultColWidth="8.88671875" defaultRowHeight="13.8"/>
  <cols>
    <col min="1" max="1" width="3.6640625" style="424" customWidth="1"/>
    <col min="2" max="2" width="5.6640625" style="424" customWidth="1"/>
    <col min="3" max="3" width="19.33203125" style="440" customWidth="1"/>
    <col min="4" max="4" width="10.44140625" style="423" customWidth="1"/>
    <col min="5" max="5" width="11.109375" style="423" hidden="1" customWidth="1"/>
    <col min="6" max="6" width="9.88671875" style="423" hidden="1" customWidth="1"/>
    <col min="7" max="8" width="11.109375" style="423" hidden="1" customWidth="1"/>
    <col min="9" max="10" width="10.44140625" style="423" hidden="1" customWidth="1"/>
    <col min="11" max="11" width="11.109375" style="423" hidden="1" customWidth="1"/>
    <col min="12" max="12" width="10" style="423" customWidth="1"/>
    <col min="13" max="13" width="8.6640625" style="462" customWidth="1"/>
    <col min="14" max="14" width="10.109375" style="423" customWidth="1"/>
    <col min="15" max="15" width="10.33203125" style="423" customWidth="1"/>
    <col min="16" max="19" width="10.44140625" style="423" hidden="1" customWidth="1"/>
    <col min="20" max="20" width="9" style="462" customWidth="1"/>
    <col min="21" max="21" width="8.88671875" style="424" customWidth="1"/>
    <col min="22" max="22" width="10.44140625" style="424" customWidth="1"/>
    <col min="23" max="23" width="9.33203125" style="424" customWidth="1"/>
    <col min="24" max="24" width="6.44140625" style="424" hidden="1" customWidth="1"/>
    <col min="25" max="25" width="9.109375" style="424" hidden="1" customWidth="1"/>
    <col min="26" max="26" width="9.5546875" style="424" hidden="1" customWidth="1"/>
    <col min="27" max="27" width="7.33203125" style="424" customWidth="1"/>
    <col min="28" max="28" width="35.109375" style="440" customWidth="1"/>
    <col min="29" max="29" width="8.88671875" style="424" customWidth="1"/>
    <col min="30" max="30" width="26" style="422" customWidth="1"/>
    <col min="31" max="31" width="22.44140625" style="422" customWidth="1"/>
    <col min="32" max="32" width="11.5546875" style="422" customWidth="1"/>
    <col min="33" max="33" width="26" style="422" customWidth="1"/>
    <col min="34" max="34" width="6.5546875" style="422" customWidth="1"/>
    <col min="35" max="35" width="11.5546875" style="422" customWidth="1"/>
    <col min="36" max="36" width="24.33203125" style="422" customWidth="1"/>
    <col min="37" max="37" width="9.6640625" style="422" customWidth="1"/>
    <col min="38" max="38" width="14.5546875" style="422" customWidth="1"/>
    <col min="39" max="39" width="22.88671875" style="422" customWidth="1"/>
    <col min="40" max="40" width="12.44140625" style="422" customWidth="1"/>
    <col min="41" max="45" width="10.6640625" style="422" customWidth="1"/>
    <col min="46" max="48" width="10.6640625" style="422" hidden="1" customWidth="1"/>
    <col min="49" max="49" width="10.6640625" style="422" customWidth="1"/>
    <col min="50" max="50" width="15" style="422" customWidth="1"/>
    <col min="51" max="16384" width="8.88671875" style="424"/>
  </cols>
  <sheetData>
    <row r="1" spans="1:58" s="434" customFormat="1" ht="18">
      <c r="A1" s="432"/>
      <c r="B1" s="432"/>
      <c r="C1" s="433"/>
      <c r="J1" s="423"/>
      <c r="K1" s="432"/>
      <c r="M1" s="435"/>
      <c r="N1" s="432"/>
      <c r="O1" s="432"/>
      <c r="P1" s="432"/>
      <c r="Q1" s="432"/>
      <c r="R1" s="432"/>
      <c r="S1" s="432"/>
      <c r="T1" s="435"/>
      <c r="U1" s="432"/>
      <c r="V1" s="432" t="s">
        <v>966</v>
      </c>
      <c r="W1" s="436"/>
      <c r="X1" s="436"/>
      <c r="Y1" s="436"/>
      <c r="Z1" s="436"/>
      <c r="AA1" s="436"/>
      <c r="AB1" s="436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</row>
    <row r="2" spans="1:58" ht="18">
      <c r="A2" s="433" t="s">
        <v>317</v>
      </c>
      <c r="B2" s="432"/>
      <c r="C2" s="437"/>
      <c r="D2" s="434"/>
      <c r="E2" s="434"/>
      <c r="F2" s="434"/>
      <c r="K2" s="432"/>
      <c r="M2" s="438"/>
      <c r="N2" s="439"/>
      <c r="O2" s="439"/>
      <c r="P2" s="439"/>
      <c r="Q2" s="439"/>
      <c r="R2" s="439"/>
      <c r="S2" s="439"/>
      <c r="T2" s="438"/>
      <c r="U2" s="436"/>
      <c r="V2" s="436"/>
      <c r="W2" s="436"/>
      <c r="X2" s="436"/>
      <c r="Y2" s="436"/>
      <c r="Z2" s="436"/>
      <c r="AA2" s="436"/>
      <c r="AB2" s="424"/>
    </row>
    <row r="3" spans="1:58" ht="24.6" customHeight="1">
      <c r="D3" s="441"/>
      <c r="E3" s="442"/>
      <c r="F3" s="442"/>
      <c r="G3" s="443"/>
      <c r="H3" s="442"/>
      <c r="I3" s="442"/>
      <c r="J3" s="442"/>
      <c r="K3" s="442"/>
      <c r="L3" s="441"/>
      <c r="M3" s="444"/>
      <c r="N3" s="441"/>
      <c r="O3" s="441"/>
      <c r="P3" s="441"/>
      <c r="Q3" s="441"/>
      <c r="R3" s="441"/>
      <c r="S3" s="441"/>
      <c r="T3" s="445"/>
      <c r="U3" s="441"/>
      <c r="V3" s="895" t="s">
        <v>79</v>
      </c>
      <c r="W3" s="895"/>
      <c r="X3" s="895"/>
      <c r="Y3" s="895"/>
      <c r="Z3" s="895"/>
      <c r="AA3" s="895"/>
    </row>
    <row r="4" spans="1:58" s="422" customFormat="1" ht="69">
      <c r="A4" s="421" t="s">
        <v>0</v>
      </c>
      <c r="B4" s="421" t="s">
        <v>1</v>
      </c>
      <c r="C4" s="421" t="s">
        <v>2</v>
      </c>
      <c r="D4" s="421" t="s">
        <v>80</v>
      </c>
      <c r="E4" s="421" t="s">
        <v>4</v>
      </c>
      <c r="F4" s="421" t="s">
        <v>5</v>
      </c>
      <c r="G4" s="421" t="s">
        <v>6</v>
      </c>
      <c r="H4" s="421" t="s">
        <v>7</v>
      </c>
      <c r="I4" s="421" t="s">
        <v>9</v>
      </c>
      <c r="J4" s="421" t="s">
        <v>125</v>
      </c>
      <c r="K4" s="421" t="s">
        <v>10</v>
      </c>
      <c r="L4" s="421" t="s">
        <v>11</v>
      </c>
      <c r="M4" s="421" t="s">
        <v>917</v>
      </c>
      <c r="N4" s="421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46" t="s">
        <v>923</v>
      </c>
      <c r="U4" s="421" t="s">
        <v>924</v>
      </c>
      <c r="V4" s="421" t="s">
        <v>13</v>
      </c>
      <c r="W4" s="421" t="s">
        <v>14</v>
      </c>
      <c r="X4" s="421" t="s">
        <v>15</v>
      </c>
      <c r="Y4" s="421" t="s">
        <v>214</v>
      </c>
      <c r="Z4" s="421" t="s">
        <v>502</v>
      </c>
      <c r="AA4" s="421" t="s">
        <v>75</v>
      </c>
      <c r="AB4" s="420" t="s">
        <v>242</v>
      </c>
      <c r="AC4" s="421" t="s">
        <v>16</v>
      </c>
    </row>
    <row r="5" spans="1:58" s="422" customFormat="1">
      <c r="A5" s="421"/>
      <c r="B5" s="421"/>
      <c r="C5" s="425">
        <v>73</v>
      </c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46"/>
      <c r="U5" s="421"/>
      <c r="V5" s="421"/>
      <c r="W5" s="421"/>
      <c r="X5" s="421"/>
      <c r="Y5" s="421"/>
      <c r="Z5" s="421"/>
      <c r="AA5" s="421"/>
      <c r="AB5" s="420"/>
      <c r="AC5" s="421"/>
    </row>
    <row r="6" spans="1:58" s="452" customFormat="1" ht="48.6" customHeight="1">
      <c r="A6" s="448">
        <v>1</v>
      </c>
      <c r="B6" s="448">
        <v>179</v>
      </c>
      <c r="C6" s="448" t="s">
        <v>28</v>
      </c>
      <c r="D6" s="449">
        <v>3150250</v>
      </c>
      <c r="E6" s="449">
        <v>3150250</v>
      </c>
      <c r="F6" s="449">
        <f t="shared" ref="F6:F36" si="0">D6-E6</f>
        <v>0</v>
      </c>
      <c r="G6" s="449">
        <v>3150250</v>
      </c>
      <c r="H6" s="449">
        <v>3111417</v>
      </c>
      <c r="I6" s="449"/>
      <c r="J6" s="449"/>
      <c r="K6" s="449">
        <f t="shared" ref="K6:K35" si="1">SUM(I6:J6)</f>
        <v>0</v>
      </c>
      <c r="L6" s="449">
        <f t="shared" ref="L6:L36" si="2">H6+K6</f>
        <v>3111417</v>
      </c>
      <c r="M6" s="450">
        <f>P6+S6-38800</f>
        <v>33</v>
      </c>
      <c r="N6" s="449">
        <v>38800</v>
      </c>
      <c r="O6" s="449">
        <f t="shared" ref="O6:O36" si="3">D6-L6-M6-N6</f>
        <v>0</v>
      </c>
      <c r="P6" s="449">
        <f t="shared" ref="P6:P36" si="4">G6-L6</f>
        <v>38833</v>
      </c>
      <c r="Q6" s="451">
        <v>0</v>
      </c>
      <c r="R6" s="449">
        <v>0</v>
      </c>
      <c r="S6" s="449">
        <f t="shared" ref="S6:S36" si="5">SUM(Q6:R6)</f>
        <v>0</v>
      </c>
      <c r="T6" s="450">
        <f t="shared" ref="T6:T36" si="6">P6-M6+S6</f>
        <v>38800</v>
      </c>
      <c r="U6" s="449">
        <f t="shared" ref="U6:U36" si="7">N6-T6</f>
        <v>0</v>
      </c>
      <c r="V6" s="449">
        <f t="shared" ref="V6:V35" si="8">U6-AA6-W6-Z6-Y6-X6</f>
        <v>0</v>
      </c>
      <c r="W6" s="449"/>
      <c r="X6" s="449"/>
      <c r="Y6" s="449"/>
      <c r="Z6" s="449"/>
      <c r="AA6" s="448"/>
      <c r="AB6" s="448" t="s">
        <v>1412</v>
      </c>
      <c r="AC6" s="448">
        <v>732000</v>
      </c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</row>
    <row r="7" spans="1:58" s="452" customFormat="1" ht="33.6" customHeight="1">
      <c r="A7" s="448">
        <f t="shared" ref="A7:A36" si="9">A6+1</f>
        <v>2</v>
      </c>
      <c r="B7" s="448">
        <v>626</v>
      </c>
      <c r="C7" s="448" t="s">
        <v>419</v>
      </c>
      <c r="D7" s="449">
        <v>34775000</v>
      </c>
      <c r="E7" s="449">
        <v>34775000</v>
      </c>
      <c r="F7" s="449">
        <f t="shared" si="0"/>
        <v>0</v>
      </c>
      <c r="G7" s="449">
        <v>19233898</v>
      </c>
      <c r="H7" s="449">
        <v>15582053</v>
      </c>
      <c r="I7" s="449">
        <v>107406</v>
      </c>
      <c r="J7" s="449">
        <f>332608-19188+4057166-1170000</f>
        <v>3200586</v>
      </c>
      <c r="K7" s="449">
        <f t="shared" si="1"/>
        <v>3307992</v>
      </c>
      <c r="L7" s="449">
        <f t="shared" si="2"/>
        <v>18890045</v>
      </c>
      <c r="M7" s="450">
        <f>P7+S7-1000000-2100000-90000+1850000</f>
        <v>3853</v>
      </c>
      <c r="N7" s="449">
        <f>10000000-7000000+100000+90000-500000-1000000</f>
        <v>1690000</v>
      </c>
      <c r="O7" s="449">
        <f t="shared" si="3"/>
        <v>14191102</v>
      </c>
      <c r="P7" s="449">
        <f t="shared" si="4"/>
        <v>343853</v>
      </c>
      <c r="Q7" s="451">
        <v>1000000</v>
      </c>
      <c r="R7" s="449"/>
      <c r="S7" s="449">
        <f t="shared" si="5"/>
        <v>1000000</v>
      </c>
      <c r="T7" s="450">
        <f t="shared" si="6"/>
        <v>1340000</v>
      </c>
      <c r="U7" s="449">
        <f t="shared" si="7"/>
        <v>350000</v>
      </c>
      <c r="V7" s="449">
        <f t="shared" si="8"/>
        <v>350000</v>
      </c>
      <c r="W7" s="449"/>
      <c r="X7" s="449"/>
      <c r="Y7" s="449"/>
      <c r="Z7" s="449"/>
      <c r="AA7" s="448"/>
      <c r="AB7" s="455" t="s">
        <v>967</v>
      </c>
      <c r="AC7" s="448">
        <v>732000</v>
      </c>
      <c r="AD7" s="422"/>
      <c r="AE7" s="422"/>
      <c r="AF7" s="422"/>
      <c r="AG7" s="422"/>
      <c r="AH7" s="422"/>
      <c r="AI7" s="422"/>
      <c r="AJ7" s="422"/>
      <c r="AK7" s="422"/>
      <c r="AL7" s="422"/>
      <c r="AM7" s="422"/>
      <c r="AN7" s="422"/>
      <c r="AO7" s="422"/>
      <c r="AP7" s="422"/>
      <c r="AQ7" s="422"/>
      <c r="AR7" s="422"/>
      <c r="AS7" s="422"/>
      <c r="AT7" s="422"/>
      <c r="AU7" s="422"/>
      <c r="AV7" s="422"/>
      <c r="AW7" s="422"/>
      <c r="AX7" s="422"/>
      <c r="AY7" s="456"/>
      <c r="AZ7" s="456"/>
      <c r="BA7" s="456"/>
      <c r="BB7" s="456"/>
      <c r="BC7" s="456"/>
      <c r="BD7" s="456"/>
      <c r="BE7" s="456"/>
      <c r="BF7" s="456"/>
    </row>
    <row r="8" spans="1:58" s="452" customFormat="1" ht="53.4" customHeight="1">
      <c r="A8" s="448">
        <f t="shared" si="9"/>
        <v>3</v>
      </c>
      <c r="B8" s="448">
        <v>1100</v>
      </c>
      <c r="C8" s="448" t="s">
        <v>17</v>
      </c>
      <c r="D8" s="449">
        <v>6650000</v>
      </c>
      <c r="E8" s="449">
        <v>6650000</v>
      </c>
      <c r="F8" s="449">
        <f t="shared" si="0"/>
        <v>0</v>
      </c>
      <c r="G8" s="449">
        <v>6650000</v>
      </c>
      <c r="H8" s="449">
        <v>6636801</v>
      </c>
      <c r="I8" s="449"/>
      <c r="J8" s="449"/>
      <c r="K8" s="449">
        <f t="shared" si="1"/>
        <v>0</v>
      </c>
      <c r="L8" s="449">
        <f t="shared" si="2"/>
        <v>6636801</v>
      </c>
      <c r="M8" s="450">
        <f>P8+S8</f>
        <v>13199</v>
      </c>
      <c r="N8" s="449"/>
      <c r="O8" s="449">
        <f t="shared" si="3"/>
        <v>0</v>
      </c>
      <c r="P8" s="449">
        <f t="shared" si="4"/>
        <v>13199</v>
      </c>
      <c r="Q8" s="451"/>
      <c r="R8" s="449"/>
      <c r="S8" s="449">
        <f t="shared" si="5"/>
        <v>0</v>
      </c>
      <c r="T8" s="450">
        <f t="shared" si="6"/>
        <v>0</v>
      </c>
      <c r="U8" s="449">
        <f t="shared" si="7"/>
        <v>0</v>
      </c>
      <c r="V8" s="449">
        <f t="shared" si="8"/>
        <v>0</v>
      </c>
      <c r="W8" s="449"/>
      <c r="X8" s="449"/>
      <c r="Y8" s="449"/>
      <c r="Z8" s="449"/>
      <c r="AA8" s="448"/>
      <c r="AB8" s="448" t="s">
        <v>1407</v>
      </c>
      <c r="AC8" s="448">
        <v>732000</v>
      </c>
      <c r="AD8" s="422"/>
      <c r="AE8" s="422"/>
      <c r="AF8" s="422"/>
      <c r="AG8" s="422"/>
      <c r="AH8" s="422"/>
      <c r="AI8" s="422"/>
      <c r="AJ8" s="422"/>
      <c r="AK8" s="422"/>
      <c r="AL8" s="422"/>
      <c r="AM8" s="422"/>
      <c r="AN8" s="422"/>
      <c r="AO8" s="422"/>
      <c r="AP8" s="422"/>
      <c r="AQ8" s="422"/>
      <c r="AR8" s="422"/>
      <c r="AS8" s="422"/>
      <c r="AT8" s="422"/>
      <c r="AU8" s="422"/>
      <c r="AV8" s="422"/>
      <c r="AW8" s="422"/>
      <c r="AX8" s="422"/>
    </row>
    <row r="9" spans="1:58" s="452" customFormat="1" ht="49.2" customHeight="1">
      <c r="A9" s="448">
        <f t="shared" si="9"/>
        <v>4</v>
      </c>
      <c r="B9" s="448">
        <v>1220</v>
      </c>
      <c r="C9" s="448" t="s">
        <v>32</v>
      </c>
      <c r="D9" s="449">
        <f>7260000+2000000-2000000+200000-200000</f>
        <v>7260000</v>
      </c>
      <c r="E9" s="449">
        <v>7260000</v>
      </c>
      <c r="F9" s="449">
        <f t="shared" si="0"/>
        <v>0</v>
      </c>
      <c r="G9" s="449">
        <v>6760000</v>
      </c>
      <c r="H9" s="449">
        <v>6219405</v>
      </c>
      <c r="I9" s="449">
        <v>6436</v>
      </c>
      <c r="J9" s="449">
        <f>317137-16848-9660-46051</f>
        <v>244578</v>
      </c>
      <c r="K9" s="449">
        <f t="shared" si="1"/>
        <v>251014</v>
      </c>
      <c r="L9" s="449">
        <f t="shared" si="2"/>
        <v>6470419</v>
      </c>
      <c r="M9" s="450">
        <f>P9+S9-150000-230000+91000</f>
        <v>581</v>
      </c>
      <c r="N9" s="449">
        <f>700000+150000-550000-100000</f>
        <v>200000</v>
      </c>
      <c r="O9" s="449">
        <f t="shared" si="3"/>
        <v>589000</v>
      </c>
      <c r="P9" s="449">
        <f t="shared" si="4"/>
        <v>289581</v>
      </c>
      <c r="Q9" s="451"/>
      <c r="R9" s="449"/>
      <c r="S9" s="449">
        <f t="shared" si="5"/>
        <v>0</v>
      </c>
      <c r="T9" s="450">
        <f t="shared" si="6"/>
        <v>289000</v>
      </c>
      <c r="U9" s="449">
        <f t="shared" si="7"/>
        <v>-89000</v>
      </c>
      <c r="V9" s="449">
        <f t="shared" si="8"/>
        <v>-89000</v>
      </c>
      <c r="W9" s="449"/>
      <c r="X9" s="449"/>
      <c r="Y9" s="449"/>
      <c r="Z9" s="449"/>
      <c r="AA9" s="448"/>
      <c r="AB9" s="448" t="s">
        <v>725</v>
      </c>
      <c r="AC9" s="448">
        <v>732000</v>
      </c>
      <c r="AD9" s="422"/>
      <c r="AE9" s="422"/>
      <c r="AF9" s="422"/>
      <c r="AG9" s="422"/>
      <c r="AH9" s="422"/>
      <c r="AI9" s="422"/>
      <c r="AJ9" s="422"/>
      <c r="AK9" s="422"/>
      <c r="AL9" s="422"/>
      <c r="AM9" s="422"/>
      <c r="AN9" s="422"/>
      <c r="AO9" s="422"/>
      <c r="AP9" s="422"/>
      <c r="AQ9" s="422"/>
      <c r="AR9" s="422"/>
      <c r="AS9" s="422"/>
      <c r="AT9" s="422"/>
      <c r="AU9" s="422"/>
      <c r="AV9" s="422"/>
      <c r="AW9" s="422"/>
      <c r="AX9" s="422"/>
    </row>
    <row r="10" spans="1:58" s="456" customFormat="1" ht="46.2" customHeight="1">
      <c r="A10" s="448">
        <f t="shared" si="9"/>
        <v>5</v>
      </c>
      <c r="B10" s="448">
        <v>1406</v>
      </c>
      <c r="C10" s="448" t="s">
        <v>99</v>
      </c>
      <c r="D10" s="449">
        <v>1250000</v>
      </c>
      <c r="E10" s="449">
        <v>1250000</v>
      </c>
      <c r="F10" s="449">
        <f t="shared" si="0"/>
        <v>0</v>
      </c>
      <c r="G10" s="449">
        <v>1250000</v>
      </c>
      <c r="H10" s="449">
        <v>1225877</v>
      </c>
      <c r="I10" s="449"/>
      <c r="J10" s="449">
        <v>24123</v>
      </c>
      <c r="K10" s="449">
        <f t="shared" si="1"/>
        <v>24123</v>
      </c>
      <c r="L10" s="449">
        <f t="shared" si="2"/>
        <v>1250000</v>
      </c>
      <c r="M10" s="450">
        <f>P10+S10-28590+4466+24124</f>
        <v>0</v>
      </c>
      <c r="N10" s="449"/>
      <c r="O10" s="449">
        <f t="shared" si="3"/>
        <v>0</v>
      </c>
      <c r="P10" s="449">
        <f t="shared" si="4"/>
        <v>0</v>
      </c>
      <c r="Q10" s="451"/>
      <c r="R10" s="449"/>
      <c r="S10" s="449">
        <f t="shared" si="5"/>
        <v>0</v>
      </c>
      <c r="T10" s="450">
        <f t="shared" si="6"/>
        <v>0</v>
      </c>
      <c r="U10" s="449">
        <f t="shared" si="7"/>
        <v>0</v>
      </c>
      <c r="V10" s="449">
        <f t="shared" si="8"/>
        <v>0</v>
      </c>
      <c r="W10" s="449"/>
      <c r="X10" s="449"/>
      <c r="Y10" s="449"/>
      <c r="Z10" s="449"/>
      <c r="AA10" s="448"/>
      <c r="AB10" s="448" t="s">
        <v>1336</v>
      </c>
      <c r="AC10" s="448">
        <v>732000</v>
      </c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</row>
    <row r="11" spans="1:58" s="452" customFormat="1" ht="45" customHeight="1">
      <c r="A11" s="448">
        <f t="shared" si="9"/>
        <v>6</v>
      </c>
      <c r="B11" s="448">
        <v>1407</v>
      </c>
      <c r="C11" s="448" t="s">
        <v>18</v>
      </c>
      <c r="D11" s="449">
        <f>5295000+3000000-3000000</f>
        <v>5295000</v>
      </c>
      <c r="E11" s="449">
        <v>5295000</v>
      </c>
      <c r="F11" s="449">
        <f t="shared" si="0"/>
        <v>0</v>
      </c>
      <c r="G11" s="449">
        <v>4145000</v>
      </c>
      <c r="H11" s="449">
        <v>3138708</v>
      </c>
      <c r="I11" s="449">
        <v>6581</v>
      </c>
      <c r="J11" s="449">
        <f>926932-40154-257400-12870</f>
        <v>616508</v>
      </c>
      <c r="K11" s="449">
        <f t="shared" si="1"/>
        <v>623089</v>
      </c>
      <c r="L11" s="449">
        <f t="shared" si="2"/>
        <v>3761797</v>
      </c>
      <c r="M11" s="450">
        <f>P11+S11-300000-30000-50000</f>
        <v>3203</v>
      </c>
      <c r="N11" s="449">
        <f>700000-300000-200000</f>
        <v>200000</v>
      </c>
      <c r="O11" s="449">
        <f t="shared" si="3"/>
        <v>1330000</v>
      </c>
      <c r="P11" s="449">
        <f t="shared" si="4"/>
        <v>383203</v>
      </c>
      <c r="Q11" s="451"/>
      <c r="R11" s="449"/>
      <c r="S11" s="449">
        <f t="shared" si="5"/>
        <v>0</v>
      </c>
      <c r="T11" s="450">
        <f t="shared" si="6"/>
        <v>380000</v>
      </c>
      <c r="U11" s="449">
        <f t="shared" si="7"/>
        <v>-180000</v>
      </c>
      <c r="V11" s="449">
        <f t="shared" si="8"/>
        <v>-180000</v>
      </c>
      <c r="W11" s="449"/>
      <c r="X11" s="449"/>
      <c r="Y11" s="449"/>
      <c r="Z11" s="449"/>
      <c r="AA11" s="448"/>
      <c r="AB11" s="448" t="s">
        <v>503</v>
      </c>
      <c r="AC11" s="448">
        <v>732000</v>
      </c>
      <c r="AD11" s="422"/>
      <c r="AE11" s="422"/>
      <c r="AF11" s="422"/>
      <c r="AG11" s="422"/>
      <c r="AH11" s="422"/>
      <c r="AI11" s="422"/>
      <c r="AJ11" s="422"/>
      <c r="AK11" s="422"/>
      <c r="AL11" s="422"/>
      <c r="AM11" s="422"/>
      <c r="AN11" s="422"/>
      <c r="AO11" s="422"/>
      <c r="AP11" s="422"/>
      <c r="AQ11" s="422"/>
      <c r="AR11" s="422"/>
      <c r="AS11" s="422"/>
      <c r="AT11" s="422"/>
      <c r="AU11" s="422"/>
      <c r="AV11" s="422"/>
      <c r="AW11" s="422"/>
      <c r="AX11" s="422"/>
      <c r="AY11" s="456"/>
      <c r="AZ11" s="456"/>
      <c r="BA11" s="456"/>
      <c r="BB11" s="456"/>
      <c r="BC11" s="456"/>
      <c r="BD11" s="456"/>
      <c r="BE11" s="456"/>
      <c r="BF11" s="456"/>
    </row>
    <row r="12" spans="1:58" s="452" customFormat="1" ht="56.4" customHeight="1">
      <c r="A12" s="448">
        <f t="shared" si="9"/>
        <v>7</v>
      </c>
      <c r="B12" s="448">
        <v>1409</v>
      </c>
      <c r="C12" s="455" t="s">
        <v>820</v>
      </c>
      <c r="D12" s="449">
        <v>7680000</v>
      </c>
      <c r="E12" s="449">
        <v>7680000</v>
      </c>
      <c r="F12" s="449">
        <f t="shared" si="0"/>
        <v>0</v>
      </c>
      <c r="G12" s="449">
        <v>6985000</v>
      </c>
      <c r="H12" s="449">
        <v>5099564</v>
      </c>
      <c r="I12" s="449">
        <v>1314720</v>
      </c>
      <c r="J12" s="449"/>
      <c r="K12" s="449">
        <f t="shared" si="1"/>
        <v>1314720</v>
      </c>
      <c r="L12" s="449">
        <f t="shared" si="2"/>
        <v>6414284</v>
      </c>
      <c r="M12" s="450">
        <f>P12+S12-570000</f>
        <v>716</v>
      </c>
      <c r="N12" s="449">
        <f>570000-270000-200000</f>
        <v>100000</v>
      </c>
      <c r="O12" s="449">
        <f t="shared" si="3"/>
        <v>1165000</v>
      </c>
      <c r="P12" s="449">
        <f t="shared" si="4"/>
        <v>570716</v>
      </c>
      <c r="Q12" s="451"/>
      <c r="R12" s="449"/>
      <c r="S12" s="449">
        <f t="shared" si="5"/>
        <v>0</v>
      </c>
      <c r="T12" s="450">
        <f t="shared" si="6"/>
        <v>570000</v>
      </c>
      <c r="U12" s="449">
        <f t="shared" si="7"/>
        <v>-470000</v>
      </c>
      <c r="V12" s="449">
        <f t="shared" si="8"/>
        <v>-470000</v>
      </c>
      <c r="W12" s="449"/>
      <c r="X12" s="449"/>
      <c r="Y12" s="449"/>
      <c r="Z12" s="449"/>
      <c r="AA12" s="448"/>
      <c r="AB12" s="448" t="s">
        <v>504</v>
      </c>
      <c r="AC12" s="448">
        <v>732000</v>
      </c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</row>
    <row r="13" spans="1:58" s="452" customFormat="1" ht="29.4" customHeight="1">
      <c r="A13" s="448">
        <f t="shared" si="9"/>
        <v>8</v>
      </c>
      <c r="B13" s="448">
        <v>1466</v>
      </c>
      <c r="C13" s="448" t="s">
        <v>19</v>
      </c>
      <c r="D13" s="449">
        <v>2200000</v>
      </c>
      <c r="E13" s="449">
        <v>2200000</v>
      </c>
      <c r="F13" s="449">
        <f t="shared" si="0"/>
        <v>0</v>
      </c>
      <c r="G13" s="449">
        <v>1600000</v>
      </c>
      <c r="H13" s="449">
        <v>1352852</v>
      </c>
      <c r="I13" s="449"/>
      <c r="J13" s="449">
        <f>31636+194234</f>
        <v>225870</v>
      </c>
      <c r="K13" s="449">
        <f t="shared" si="1"/>
        <v>225870</v>
      </c>
      <c r="L13" s="449">
        <f t="shared" si="2"/>
        <v>1578722</v>
      </c>
      <c r="M13" s="450">
        <f>P13+S13-50000-160000+190000</f>
        <v>1278</v>
      </c>
      <c r="N13" s="449">
        <f>200000+50000-200000</f>
        <v>50000</v>
      </c>
      <c r="O13" s="449">
        <f t="shared" si="3"/>
        <v>570000</v>
      </c>
      <c r="P13" s="449">
        <f t="shared" si="4"/>
        <v>21278</v>
      </c>
      <c r="Q13" s="451"/>
      <c r="R13" s="449"/>
      <c r="S13" s="449">
        <f t="shared" si="5"/>
        <v>0</v>
      </c>
      <c r="T13" s="450">
        <f t="shared" si="6"/>
        <v>20000</v>
      </c>
      <c r="U13" s="449">
        <f t="shared" si="7"/>
        <v>30000</v>
      </c>
      <c r="V13" s="449">
        <f t="shared" si="8"/>
        <v>30000</v>
      </c>
      <c r="W13" s="449"/>
      <c r="X13" s="449"/>
      <c r="Y13" s="449"/>
      <c r="Z13" s="449"/>
      <c r="AA13" s="448"/>
      <c r="AB13" s="448" t="s">
        <v>726</v>
      </c>
      <c r="AC13" s="448">
        <v>732000</v>
      </c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</row>
    <row r="14" spans="1:58" s="456" customFormat="1" ht="33.6" customHeight="1">
      <c r="A14" s="448">
        <f t="shared" si="9"/>
        <v>9</v>
      </c>
      <c r="B14" s="448">
        <v>1527</v>
      </c>
      <c r="C14" s="448" t="s">
        <v>585</v>
      </c>
      <c r="D14" s="449">
        <v>3000000</v>
      </c>
      <c r="E14" s="449">
        <v>3000000</v>
      </c>
      <c r="F14" s="449">
        <f t="shared" si="0"/>
        <v>0</v>
      </c>
      <c r="G14" s="449">
        <v>1150000</v>
      </c>
      <c r="H14" s="449">
        <v>902305</v>
      </c>
      <c r="I14" s="449"/>
      <c r="J14" s="449"/>
      <c r="K14" s="449">
        <f t="shared" si="1"/>
        <v>0</v>
      </c>
      <c r="L14" s="449">
        <f t="shared" si="2"/>
        <v>902305</v>
      </c>
      <c r="M14" s="450">
        <f>P14+S14-245000</f>
        <v>2695</v>
      </c>
      <c r="N14" s="449">
        <f>245000-95000-100000</f>
        <v>50000</v>
      </c>
      <c r="O14" s="449">
        <f t="shared" si="3"/>
        <v>2045000</v>
      </c>
      <c r="P14" s="449">
        <f t="shared" si="4"/>
        <v>247695</v>
      </c>
      <c r="Q14" s="451"/>
      <c r="R14" s="449"/>
      <c r="S14" s="449">
        <f t="shared" si="5"/>
        <v>0</v>
      </c>
      <c r="T14" s="450">
        <f t="shared" si="6"/>
        <v>245000</v>
      </c>
      <c r="U14" s="449">
        <f t="shared" si="7"/>
        <v>-195000</v>
      </c>
      <c r="V14" s="449">
        <f t="shared" si="8"/>
        <v>-195000</v>
      </c>
      <c r="W14" s="449"/>
      <c r="X14" s="449"/>
      <c r="Y14" s="449"/>
      <c r="Z14" s="449"/>
      <c r="AA14" s="448"/>
      <c r="AB14" s="455" t="s">
        <v>968</v>
      </c>
      <c r="AC14" s="448">
        <v>732000</v>
      </c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  <c r="AY14" s="452"/>
      <c r="AZ14" s="452"/>
      <c r="BA14" s="452"/>
      <c r="BB14" s="452"/>
      <c r="BC14" s="452"/>
      <c r="BD14" s="452"/>
      <c r="BE14" s="452"/>
      <c r="BF14" s="452"/>
    </row>
    <row r="15" spans="1:58" s="452" customFormat="1" ht="37.200000000000003" customHeight="1">
      <c r="A15" s="448">
        <f t="shared" si="9"/>
        <v>10</v>
      </c>
      <c r="B15" s="448">
        <v>1551</v>
      </c>
      <c r="C15" s="448" t="s">
        <v>958</v>
      </c>
      <c r="D15" s="449">
        <v>525240</v>
      </c>
      <c r="E15" s="449">
        <v>525240</v>
      </c>
      <c r="F15" s="449">
        <f t="shared" si="0"/>
        <v>0</v>
      </c>
      <c r="G15" s="449">
        <v>375240</v>
      </c>
      <c r="H15" s="449">
        <v>237203</v>
      </c>
      <c r="I15" s="449">
        <v>7492</v>
      </c>
      <c r="J15" s="449"/>
      <c r="K15" s="449">
        <f t="shared" si="1"/>
        <v>7492</v>
      </c>
      <c r="L15" s="449">
        <f t="shared" si="2"/>
        <v>244695</v>
      </c>
      <c r="M15" s="450">
        <f>P15+S15-130000</f>
        <v>545</v>
      </c>
      <c r="N15" s="449">
        <f>130000-30000-70000</f>
        <v>30000</v>
      </c>
      <c r="O15" s="449">
        <f t="shared" si="3"/>
        <v>250000</v>
      </c>
      <c r="P15" s="449">
        <f t="shared" si="4"/>
        <v>130545</v>
      </c>
      <c r="Q15" s="451"/>
      <c r="R15" s="449"/>
      <c r="S15" s="449">
        <f t="shared" si="5"/>
        <v>0</v>
      </c>
      <c r="T15" s="450">
        <f t="shared" si="6"/>
        <v>130000</v>
      </c>
      <c r="U15" s="449">
        <f t="shared" si="7"/>
        <v>-100000</v>
      </c>
      <c r="V15" s="449">
        <f t="shared" si="8"/>
        <v>-100000</v>
      </c>
      <c r="W15" s="449"/>
      <c r="X15" s="449"/>
      <c r="Y15" s="449"/>
      <c r="Z15" s="449"/>
      <c r="AA15" s="448"/>
      <c r="AB15" s="448" t="s">
        <v>483</v>
      </c>
      <c r="AC15" s="448">
        <v>732000</v>
      </c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</row>
    <row r="16" spans="1:58" s="456" customFormat="1" ht="45" customHeight="1">
      <c r="A16" s="448">
        <f t="shared" si="9"/>
        <v>11</v>
      </c>
      <c r="B16" s="448">
        <v>1576</v>
      </c>
      <c r="C16" s="448" t="s">
        <v>42</v>
      </c>
      <c r="D16" s="449">
        <v>1000000</v>
      </c>
      <c r="E16" s="449">
        <v>1000000</v>
      </c>
      <c r="F16" s="449">
        <f t="shared" si="0"/>
        <v>0</v>
      </c>
      <c r="G16" s="449">
        <v>450000</v>
      </c>
      <c r="H16" s="449">
        <v>376310</v>
      </c>
      <c r="I16" s="449"/>
      <c r="J16" s="449"/>
      <c r="K16" s="449">
        <f t="shared" si="1"/>
        <v>0</v>
      </c>
      <c r="L16" s="449">
        <f t="shared" si="2"/>
        <v>376310</v>
      </c>
      <c r="M16" s="450">
        <f>P16+S16-70000</f>
        <v>3690</v>
      </c>
      <c r="N16" s="449">
        <f>70000-20000</f>
        <v>50000</v>
      </c>
      <c r="O16" s="449">
        <f t="shared" si="3"/>
        <v>570000</v>
      </c>
      <c r="P16" s="449">
        <f t="shared" si="4"/>
        <v>73690</v>
      </c>
      <c r="Q16" s="451"/>
      <c r="R16" s="449"/>
      <c r="S16" s="449">
        <f t="shared" si="5"/>
        <v>0</v>
      </c>
      <c r="T16" s="450">
        <f t="shared" si="6"/>
        <v>70000</v>
      </c>
      <c r="U16" s="449">
        <f t="shared" si="7"/>
        <v>-20000</v>
      </c>
      <c r="V16" s="449">
        <f t="shared" si="8"/>
        <v>-20000</v>
      </c>
      <c r="W16" s="449"/>
      <c r="X16" s="449"/>
      <c r="Y16" s="449"/>
      <c r="Z16" s="449"/>
      <c r="AA16" s="448"/>
      <c r="AB16" s="448" t="s">
        <v>319</v>
      </c>
      <c r="AC16" s="448">
        <v>732000</v>
      </c>
      <c r="AD16" s="422"/>
      <c r="AE16" s="422"/>
      <c r="AF16" s="422"/>
      <c r="AG16" s="422"/>
      <c r="AH16" s="422"/>
      <c r="AI16" s="422"/>
      <c r="AJ16" s="422"/>
      <c r="AK16" s="422"/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52"/>
      <c r="AZ16" s="452"/>
      <c r="BA16" s="452"/>
      <c r="BB16" s="452"/>
      <c r="BC16" s="452"/>
      <c r="BD16" s="452"/>
      <c r="BE16" s="452"/>
      <c r="BF16" s="452"/>
    </row>
    <row r="17" spans="1:58" s="456" customFormat="1" ht="45" customHeight="1">
      <c r="A17" s="448">
        <f t="shared" si="9"/>
        <v>12</v>
      </c>
      <c r="B17" s="448">
        <v>1660</v>
      </c>
      <c r="C17" s="448" t="s">
        <v>20</v>
      </c>
      <c r="D17" s="449">
        <v>2000000</v>
      </c>
      <c r="E17" s="449">
        <v>2000000</v>
      </c>
      <c r="F17" s="449">
        <f t="shared" si="0"/>
        <v>0</v>
      </c>
      <c r="G17" s="449">
        <v>1300000</v>
      </c>
      <c r="H17" s="449">
        <v>425092</v>
      </c>
      <c r="I17" s="449">
        <f>173160-70200</f>
        <v>102960</v>
      </c>
      <c r="J17" s="449">
        <v>553295</v>
      </c>
      <c r="K17" s="449">
        <f t="shared" si="1"/>
        <v>656255</v>
      </c>
      <c r="L17" s="449">
        <f t="shared" si="2"/>
        <v>1081347</v>
      </c>
      <c r="M17" s="449">
        <f>P17+S17-100000-430000+382000-70000</f>
        <v>653</v>
      </c>
      <c r="N17" s="449">
        <f>400000+100000-300000-100000</f>
        <v>100000</v>
      </c>
      <c r="O17" s="449">
        <f t="shared" si="3"/>
        <v>818000</v>
      </c>
      <c r="P17" s="449">
        <f t="shared" si="4"/>
        <v>218653</v>
      </c>
      <c r="Q17" s="451"/>
      <c r="R17" s="449"/>
      <c r="S17" s="449">
        <f t="shared" si="5"/>
        <v>0</v>
      </c>
      <c r="T17" s="450">
        <f t="shared" si="6"/>
        <v>218000</v>
      </c>
      <c r="U17" s="449">
        <f t="shared" si="7"/>
        <v>-118000</v>
      </c>
      <c r="V17" s="449">
        <f t="shared" si="8"/>
        <v>-118000</v>
      </c>
      <c r="W17" s="449"/>
      <c r="X17" s="449"/>
      <c r="Y17" s="449"/>
      <c r="Z17" s="449"/>
      <c r="AA17" s="448"/>
      <c r="AB17" s="448" t="s">
        <v>1350</v>
      </c>
      <c r="AC17" s="448">
        <v>732000</v>
      </c>
      <c r="AD17" s="422"/>
      <c r="AE17" s="422"/>
      <c r="AF17" s="422"/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</row>
    <row r="18" spans="1:58" s="456" customFormat="1" ht="46.2" customHeight="1">
      <c r="A18" s="448">
        <f t="shared" si="9"/>
        <v>13</v>
      </c>
      <c r="B18" s="448">
        <v>1692</v>
      </c>
      <c r="C18" s="448" t="s">
        <v>21</v>
      </c>
      <c r="D18" s="449">
        <v>2450000</v>
      </c>
      <c r="E18" s="449">
        <v>2450000</v>
      </c>
      <c r="F18" s="449">
        <f t="shared" si="0"/>
        <v>0</v>
      </c>
      <c r="G18" s="449">
        <v>1746509</v>
      </c>
      <c r="H18" s="449">
        <v>578671</v>
      </c>
      <c r="I18" s="449">
        <v>128716</v>
      </c>
      <c r="J18" s="449"/>
      <c r="K18" s="449">
        <f t="shared" si="1"/>
        <v>128716</v>
      </c>
      <c r="L18" s="449">
        <f t="shared" si="2"/>
        <v>707387</v>
      </c>
      <c r="M18" s="450">
        <f>P18+S18-1030000</f>
        <v>9122</v>
      </c>
      <c r="N18" s="449">
        <v>1030000</v>
      </c>
      <c r="O18" s="449">
        <f t="shared" si="3"/>
        <v>703491</v>
      </c>
      <c r="P18" s="449">
        <f t="shared" si="4"/>
        <v>1039122</v>
      </c>
      <c r="Q18" s="451"/>
      <c r="R18" s="449"/>
      <c r="S18" s="449">
        <f t="shared" si="5"/>
        <v>0</v>
      </c>
      <c r="T18" s="450">
        <f t="shared" si="6"/>
        <v>1030000</v>
      </c>
      <c r="U18" s="449">
        <f t="shared" si="7"/>
        <v>0</v>
      </c>
      <c r="V18" s="449">
        <f t="shared" si="8"/>
        <v>0</v>
      </c>
      <c r="W18" s="449"/>
      <c r="X18" s="449"/>
      <c r="Y18" s="449"/>
      <c r="Z18" s="449"/>
      <c r="AA18" s="448"/>
      <c r="AB18" s="448" t="s">
        <v>1413</v>
      </c>
      <c r="AC18" s="448">
        <v>732000</v>
      </c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52"/>
      <c r="AZ18" s="452"/>
      <c r="BA18" s="452"/>
      <c r="BB18" s="452"/>
      <c r="BC18" s="452"/>
      <c r="BD18" s="452"/>
      <c r="BE18" s="452"/>
      <c r="BF18" s="452"/>
    </row>
    <row r="19" spans="1:58" s="452" customFormat="1" ht="63" customHeight="1">
      <c r="A19" s="448">
        <f t="shared" si="9"/>
        <v>14</v>
      </c>
      <c r="B19" s="448">
        <v>1701</v>
      </c>
      <c r="C19" s="448" t="s">
        <v>244</v>
      </c>
      <c r="D19" s="449">
        <v>1250000</v>
      </c>
      <c r="E19" s="449">
        <v>1250000</v>
      </c>
      <c r="F19" s="449">
        <f t="shared" si="0"/>
        <v>0</v>
      </c>
      <c r="G19" s="449">
        <v>570000</v>
      </c>
      <c r="H19" s="449">
        <v>149316</v>
      </c>
      <c r="I19" s="449">
        <v>75117</v>
      </c>
      <c r="J19" s="449"/>
      <c r="K19" s="449">
        <f t="shared" si="1"/>
        <v>75117</v>
      </c>
      <c r="L19" s="449">
        <f t="shared" si="2"/>
        <v>224433</v>
      </c>
      <c r="M19" s="450">
        <f>P19+S19-200000-145000</f>
        <v>567</v>
      </c>
      <c r="N19" s="449">
        <f>200000-100000-70000</f>
        <v>30000</v>
      </c>
      <c r="O19" s="449">
        <f t="shared" si="3"/>
        <v>995000</v>
      </c>
      <c r="P19" s="449">
        <f t="shared" si="4"/>
        <v>345567</v>
      </c>
      <c r="Q19" s="451"/>
      <c r="R19" s="449"/>
      <c r="S19" s="449">
        <f t="shared" si="5"/>
        <v>0</v>
      </c>
      <c r="T19" s="450">
        <f t="shared" si="6"/>
        <v>345000</v>
      </c>
      <c r="U19" s="449">
        <f t="shared" si="7"/>
        <v>-315000</v>
      </c>
      <c r="V19" s="449">
        <f t="shared" si="8"/>
        <v>-315000</v>
      </c>
      <c r="W19" s="449"/>
      <c r="X19" s="449"/>
      <c r="Y19" s="449"/>
      <c r="Z19" s="449"/>
      <c r="AA19" s="448"/>
      <c r="AB19" s="448" t="s">
        <v>485</v>
      </c>
      <c r="AC19" s="448">
        <v>732000</v>
      </c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</row>
    <row r="20" spans="1:58" s="452" customFormat="1" ht="45" customHeight="1">
      <c r="A20" s="448">
        <f t="shared" si="9"/>
        <v>15</v>
      </c>
      <c r="B20" s="448">
        <v>1756</v>
      </c>
      <c r="C20" s="448" t="s">
        <v>436</v>
      </c>
      <c r="D20" s="449">
        <v>1700000</v>
      </c>
      <c r="E20" s="449">
        <v>1700000</v>
      </c>
      <c r="F20" s="449">
        <f t="shared" si="0"/>
        <v>0</v>
      </c>
      <c r="G20" s="449">
        <v>955000</v>
      </c>
      <c r="H20" s="449">
        <v>511535</v>
      </c>
      <c r="I20" s="449"/>
      <c r="J20" s="449">
        <v>119855</v>
      </c>
      <c r="K20" s="449">
        <f t="shared" si="1"/>
        <v>119855</v>
      </c>
      <c r="L20" s="449">
        <f t="shared" si="2"/>
        <v>631390</v>
      </c>
      <c r="M20" s="450">
        <f>P20+S20-320000</f>
        <v>3610</v>
      </c>
      <c r="N20" s="449">
        <f>320000-200000-50000+5000</f>
        <v>75000</v>
      </c>
      <c r="O20" s="449">
        <f t="shared" si="3"/>
        <v>990000</v>
      </c>
      <c r="P20" s="449">
        <f t="shared" si="4"/>
        <v>323610</v>
      </c>
      <c r="Q20" s="451"/>
      <c r="R20" s="449"/>
      <c r="S20" s="449">
        <f t="shared" si="5"/>
        <v>0</v>
      </c>
      <c r="T20" s="450">
        <f t="shared" si="6"/>
        <v>320000</v>
      </c>
      <c r="U20" s="449">
        <f t="shared" si="7"/>
        <v>-245000</v>
      </c>
      <c r="V20" s="449">
        <f t="shared" si="8"/>
        <v>-245000</v>
      </c>
      <c r="W20" s="449"/>
      <c r="X20" s="449"/>
      <c r="Y20" s="449"/>
      <c r="Z20" s="449"/>
      <c r="AA20" s="448"/>
      <c r="AB20" s="455" t="s">
        <v>969</v>
      </c>
      <c r="AC20" s="448">
        <v>732000</v>
      </c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</row>
    <row r="21" spans="1:58" s="452" customFormat="1" ht="27.6">
      <c r="A21" s="448">
        <f t="shared" si="9"/>
        <v>16</v>
      </c>
      <c r="B21" s="448">
        <v>1843</v>
      </c>
      <c r="C21" s="448" t="s">
        <v>97</v>
      </c>
      <c r="D21" s="449">
        <v>380000</v>
      </c>
      <c r="E21" s="449">
        <v>380000</v>
      </c>
      <c r="F21" s="449">
        <f t="shared" si="0"/>
        <v>0</v>
      </c>
      <c r="G21" s="449">
        <v>0</v>
      </c>
      <c r="H21" s="449"/>
      <c r="I21" s="449"/>
      <c r="J21" s="449"/>
      <c r="K21" s="449">
        <f t="shared" si="1"/>
        <v>0</v>
      </c>
      <c r="L21" s="449">
        <f t="shared" si="2"/>
        <v>0</v>
      </c>
      <c r="M21" s="450">
        <f>P21+S21</f>
        <v>0</v>
      </c>
      <c r="N21" s="449"/>
      <c r="O21" s="449">
        <f t="shared" si="3"/>
        <v>380000</v>
      </c>
      <c r="P21" s="449">
        <f t="shared" si="4"/>
        <v>0</v>
      </c>
      <c r="Q21" s="451"/>
      <c r="R21" s="449"/>
      <c r="S21" s="449">
        <f t="shared" si="5"/>
        <v>0</v>
      </c>
      <c r="T21" s="450">
        <f t="shared" si="6"/>
        <v>0</v>
      </c>
      <c r="U21" s="449">
        <f t="shared" si="7"/>
        <v>0</v>
      </c>
      <c r="V21" s="449">
        <f t="shared" si="8"/>
        <v>0</v>
      </c>
      <c r="W21" s="449"/>
      <c r="X21" s="449"/>
      <c r="Y21" s="449"/>
      <c r="Z21" s="449"/>
      <c r="AA21" s="448"/>
      <c r="AB21" s="448" t="s">
        <v>586</v>
      </c>
      <c r="AC21" s="448">
        <v>732000</v>
      </c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/>
      <c r="AU21" s="422"/>
      <c r="AV21" s="422"/>
      <c r="AW21" s="422"/>
      <c r="AX21" s="422"/>
      <c r="AY21" s="457"/>
      <c r="AZ21" s="457"/>
      <c r="BA21" s="457"/>
      <c r="BB21" s="457"/>
      <c r="BC21" s="457"/>
      <c r="BD21" s="457"/>
      <c r="BE21" s="457"/>
      <c r="BF21" s="457"/>
    </row>
    <row r="22" spans="1:58" s="452" customFormat="1" ht="36.6" customHeight="1">
      <c r="A22" s="448">
        <f t="shared" si="9"/>
        <v>17</v>
      </c>
      <c r="B22" s="448">
        <v>1937</v>
      </c>
      <c r="C22" s="448" t="s">
        <v>324</v>
      </c>
      <c r="D22" s="449">
        <f>1050000-590000-395765</f>
        <v>64235</v>
      </c>
      <c r="E22" s="449">
        <v>1050000</v>
      </c>
      <c r="F22" s="449">
        <f t="shared" si="0"/>
        <v>-985765</v>
      </c>
      <c r="G22" s="449">
        <v>650000</v>
      </c>
      <c r="H22" s="449">
        <v>64235</v>
      </c>
      <c r="I22" s="449">
        <f>244936-244936</f>
        <v>0</v>
      </c>
      <c r="J22" s="449"/>
      <c r="K22" s="449">
        <f t="shared" si="1"/>
        <v>0</v>
      </c>
      <c r="L22" s="449">
        <f t="shared" si="2"/>
        <v>64235</v>
      </c>
      <c r="M22" s="450">
        <f>P22+S22-190000-395765</f>
        <v>0</v>
      </c>
      <c r="N22" s="449">
        <f>190000-190000</f>
        <v>0</v>
      </c>
      <c r="O22" s="449">
        <f t="shared" si="3"/>
        <v>0</v>
      </c>
      <c r="P22" s="449">
        <f t="shared" si="4"/>
        <v>585765</v>
      </c>
      <c r="Q22" s="451"/>
      <c r="R22" s="449"/>
      <c r="S22" s="449">
        <f t="shared" si="5"/>
        <v>0</v>
      </c>
      <c r="T22" s="450">
        <f t="shared" si="6"/>
        <v>585765</v>
      </c>
      <c r="U22" s="449">
        <f t="shared" si="7"/>
        <v>-585765</v>
      </c>
      <c r="V22" s="449">
        <f t="shared" si="8"/>
        <v>-585765</v>
      </c>
      <c r="W22" s="449"/>
      <c r="X22" s="449"/>
      <c r="Y22" s="449"/>
      <c r="Z22" s="449"/>
      <c r="AA22" s="448"/>
      <c r="AB22" s="448" t="s">
        <v>1380</v>
      </c>
      <c r="AC22" s="448">
        <v>732000</v>
      </c>
      <c r="AD22" s="422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22"/>
      <c r="AP22" s="422"/>
      <c r="AQ22" s="422"/>
      <c r="AR22" s="422"/>
      <c r="AS22" s="422"/>
      <c r="AT22" s="422"/>
      <c r="AU22" s="422"/>
      <c r="AV22" s="422"/>
      <c r="AW22" s="422"/>
      <c r="AX22" s="422"/>
      <c r="AY22" s="456"/>
      <c r="AZ22" s="456"/>
      <c r="BA22" s="456"/>
      <c r="BB22" s="456"/>
      <c r="BC22" s="456"/>
      <c r="BD22" s="456"/>
      <c r="BE22" s="456"/>
      <c r="BF22" s="456"/>
    </row>
    <row r="23" spans="1:58" s="452" customFormat="1" ht="27.6">
      <c r="A23" s="448">
        <f t="shared" si="9"/>
        <v>18</v>
      </c>
      <c r="B23" s="448">
        <v>2112</v>
      </c>
      <c r="C23" s="448" t="s">
        <v>364</v>
      </c>
      <c r="D23" s="449">
        <v>7650000</v>
      </c>
      <c r="E23" s="449">
        <v>7650000</v>
      </c>
      <c r="F23" s="449">
        <f t="shared" si="0"/>
        <v>0</v>
      </c>
      <c r="G23" s="449">
        <v>1230000</v>
      </c>
      <c r="H23" s="449">
        <v>508427</v>
      </c>
      <c r="I23" s="449"/>
      <c r="J23" s="449"/>
      <c r="K23" s="449">
        <f t="shared" si="1"/>
        <v>0</v>
      </c>
      <c r="L23" s="449">
        <f t="shared" si="2"/>
        <v>508427</v>
      </c>
      <c r="M23" s="450">
        <f>P23+S23-500000-220000</f>
        <v>1573</v>
      </c>
      <c r="N23" s="449">
        <v>50000</v>
      </c>
      <c r="O23" s="449">
        <f t="shared" si="3"/>
        <v>7090000</v>
      </c>
      <c r="P23" s="449">
        <f t="shared" si="4"/>
        <v>721573</v>
      </c>
      <c r="Q23" s="451"/>
      <c r="R23" s="449"/>
      <c r="S23" s="449">
        <f t="shared" si="5"/>
        <v>0</v>
      </c>
      <c r="T23" s="450">
        <f t="shared" si="6"/>
        <v>720000</v>
      </c>
      <c r="U23" s="449">
        <f t="shared" si="7"/>
        <v>-670000</v>
      </c>
      <c r="V23" s="449">
        <f t="shared" si="8"/>
        <v>0</v>
      </c>
      <c r="W23" s="449">
        <v>-670000</v>
      </c>
      <c r="X23" s="449"/>
      <c r="Y23" s="449"/>
      <c r="Z23" s="449"/>
      <c r="AA23" s="448"/>
      <c r="AB23" s="458" t="s">
        <v>1381</v>
      </c>
      <c r="AC23" s="448">
        <v>732000</v>
      </c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</row>
    <row r="24" spans="1:58" s="452" customFormat="1" ht="45" customHeight="1">
      <c r="A24" s="448">
        <f t="shared" si="9"/>
        <v>19</v>
      </c>
      <c r="B24" s="448">
        <v>2113</v>
      </c>
      <c r="C24" s="448" t="s">
        <v>251</v>
      </c>
      <c r="D24" s="449">
        <v>2550000</v>
      </c>
      <c r="E24" s="449">
        <v>2550000</v>
      </c>
      <c r="F24" s="449">
        <f t="shared" si="0"/>
        <v>0</v>
      </c>
      <c r="G24" s="449">
        <v>200000</v>
      </c>
      <c r="H24" s="449">
        <v>116513</v>
      </c>
      <c r="I24" s="449"/>
      <c r="J24" s="449"/>
      <c r="K24" s="449">
        <f t="shared" si="1"/>
        <v>0</v>
      </c>
      <c r="L24" s="449">
        <f t="shared" si="2"/>
        <v>116513</v>
      </c>
      <c r="M24" s="450">
        <f>P24+S24-150000-30000</f>
        <v>3487</v>
      </c>
      <c r="N24" s="449">
        <f>250000+150000-250000-50000</f>
        <v>100000</v>
      </c>
      <c r="O24" s="449">
        <f t="shared" si="3"/>
        <v>2330000</v>
      </c>
      <c r="P24" s="449">
        <f t="shared" si="4"/>
        <v>83487</v>
      </c>
      <c r="Q24" s="451">
        <v>100000</v>
      </c>
      <c r="R24" s="449"/>
      <c r="S24" s="449">
        <f t="shared" si="5"/>
        <v>100000</v>
      </c>
      <c r="T24" s="450">
        <f t="shared" si="6"/>
        <v>180000</v>
      </c>
      <c r="U24" s="449">
        <f t="shared" si="7"/>
        <v>-80000</v>
      </c>
      <c r="V24" s="449">
        <f t="shared" si="8"/>
        <v>0</v>
      </c>
      <c r="W24" s="449">
        <v>-80000</v>
      </c>
      <c r="X24" s="449"/>
      <c r="Y24" s="449"/>
      <c r="Z24" s="449"/>
      <c r="AA24" s="448"/>
      <c r="AB24" s="458" t="s">
        <v>543</v>
      </c>
      <c r="AC24" s="448">
        <v>732000</v>
      </c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56"/>
      <c r="AZ24" s="456"/>
      <c r="BA24" s="456"/>
      <c r="BB24" s="456"/>
      <c r="BC24" s="456"/>
      <c r="BD24" s="456"/>
      <c r="BE24" s="456"/>
      <c r="BF24" s="456"/>
    </row>
    <row r="25" spans="1:58" s="456" customFormat="1" ht="45.6" customHeight="1">
      <c r="A25" s="448">
        <f t="shared" si="9"/>
        <v>20</v>
      </c>
      <c r="B25" s="448">
        <v>2114</v>
      </c>
      <c r="C25" s="448" t="s">
        <v>304</v>
      </c>
      <c r="D25" s="449">
        <f>1450000-1366000-44500-7471</f>
        <v>32029</v>
      </c>
      <c r="E25" s="449">
        <v>1450000</v>
      </c>
      <c r="F25" s="449">
        <f t="shared" si="0"/>
        <v>-1417971</v>
      </c>
      <c r="G25" s="449">
        <v>84000</v>
      </c>
      <c r="H25" s="449">
        <v>32029</v>
      </c>
      <c r="I25" s="449"/>
      <c r="J25" s="449"/>
      <c r="K25" s="449">
        <f t="shared" si="1"/>
        <v>0</v>
      </c>
      <c r="L25" s="449">
        <f t="shared" si="2"/>
        <v>32029</v>
      </c>
      <c r="M25" s="450">
        <f>P25+S25-44500-7471</f>
        <v>0</v>
      </c>
      <c r="N25" s="449"/>
      <c r="O25" s="449">
        <f t="shared" si="3"/>
        <v>0</v>
      </c>
      <c r="P25" s="449">
        <f t="shared" si="4"/>
        <v>51971</v>
      </c>
      <c r="Q25" s="451"/>
      <c r="R25" s="449"/>
      <c r="S25" s="449">
        <f t="shared" si="5"/>
        <v>0</v>
      </c>
      <c r="T25" s="450">
        <f t="shared" si="6"/>
        <v>51971</v>
      </c>
      <c r="U25" s="449">
        <f t="shared" si="7"/>
        <v>-51971</v>
      </c>
      <c r="V25" s="449">
        <f t="shared" si="8"/>
        <v>-51971</v>
      </c>
      <c r="W25" s="449"/>
      <c r="X25" s="449"/>
      <c r="Y25" s="449"/>
      <c r="Z25" s="449"/>
      <c r="AA25" s="448"/>
      <c r="AB25" s="448" t="s">
        <v>1368</v>
      </c>
      <c r="AC25" s="448">
        <v>732000</v>
      </c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</row>
    <row r="26" spans="1:58" s="452" customFormat="1" ht="29.4" customHeight="1">
      <c r="A26" s="448">
        <f t="shared" si="9"/>
        <v>21</v>
      </c>
      <c r="B26" s="448">
        <v>2117</v>
      </c>
      <c r="C26" s="448" t="s">
        <v>486</v>
      </c>
      <c r="D26" s="449">
        <v>750000</v>
      </c>
      <c r="E26" s="449">
        <v>750000</v>
      </c>
      <c r="F26" s="449">
        <f t="shared" si="0"/>
        <v>0</v>
      </c>
      <c r="G26" s="449">
        <v>350000</v>
      </c>
      <c r="H26" s="449">
        <v>80553</v>
      </c>
      <c r="I26" s="449"/>
      <c r="J26" s="449">
        <v>131985</v>
      </c>
      <c r="K26" s="449">
        <f t="shared" si="1"/>
        <v>131985</v>
      </c>
      <c r="L26" s="449">
        <f t="shared" si="2"/>
        <v>212538</v>
      </c>
      <c r="M26" s="450">
        <f>P26+S26-130000</f>
        <v>7462</v>
      </c>
      <c r="N26" s="449">
        <f>130000-80000</f>
        <v>50000</v>
      </c>
      <c r="O26" s="449">
        <f t="shared" si="3"/>
        <v>480000</v>
      </c>
      <c r="P26" s="449">
        <f t="shared" si="4"/>
        <v>137462</v>
      </c>
      <c r="Q26" s="451"/>
      <c r="R26" s="449"/>
      <c r="S26" s="449">
        <f t="shared" si="5"/>
        <v>0</v>
      </c>
      <c r="T26" s="450">
        <f t="shared" si="6"/>
        <v>130000</v>
      </c>
      <c r="U26" s="449">
        <f t="shared" si="7"/>
        <v>-80000</v>
      </c>
      <c r="V26" s="449">
        <f t="shared" si="8"/>
        <v>-80000</v>
      </c>
      <c r="W26" s="449"/>
      <c r="X26" s="449"/>
      <c r="Y26" s="449"/>
      <c r="Z26" s="449"/>
      <c r="AA26" s="448"/>
      <c r="AB26" s="448" t="s">
        <v>487</v>
      </c>
      <c r="AC26" s="448">
        <v>732000</v>
      </c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  <c r="AY26" s="456"/>
      <c r="AZ26" s="456"/>
      <c r="BA26" s="456"/>
      <c r="BB26" s="456"/>
      <c r="BC26" s="456"/>
      <c r="BD26" s="456"/>
      <c r="BE26" s="456"/>
      <c r="BF26" s="456"/>
    </row>
    <row r="27" spans="1:58" s="456" customFormat="1" ht="59.4" customHeight="1">
      <c r="A27" s="448">
        <f t="shared" si="9"/>
        <v>22</v>
      </c>
      <c r="B27" s="455">
        <v>2143</v>
      </c>
      <c r="C27" s="448" t="s">
        <v>406</v>
      </c>
      <c r="D27" s="449">
        <v>850000</v>
      </c>
      <c r="E27" s="449">
        <v>850000</v>
      </c>
      <c r="F27" s="449">
        <f t="shared" si="0"/>
        <v>0</v>
      </c>
      <c r="G27" s="449">
        <v>650000</v>
      </c>
      <c r="H27" s="449">
        <v>642993</v>
      </c>
      <c r="I27" s="449"/>
      <c r="J27" s="449">
        <v>5270</v>
      </c>
      <c r="K27" s="449">
        <f t="shared" si="1"/>
        <v>5270</v>
      </c>
      <c r="L27" s="449">
        <f t="shared" si="2"/>
        <v>648263</v>
      </c>
      <c r="M27" s="449">
        <f>P27+S27</f>
        <v>1737</v>
      </c>
      <c r="N27" s="449">
        <v>200000</v>
      </c>
      <c r="O27" s="449">
        <f t="shared" si="3"/>
        <v>0</v>
      </c>
      <c r="P27" s="449">
        <f t="shared" si="4"/>
        <v>1737</v>
      </c>
      <c r="Q27" s="451"/>
      <c r="R27" s="449"/>
      <c r="S27" s="449">
        <f t="shared" si="5"/>
        <v>0</v>
      </c>
      <c r="T27" s="450">
        <f t="shared" si="6"/>
        <v>0</v>
      </c>
      <c r="U27" s="449">
        <f t="shared" si="7"/>
        <v>200000</v>
      </c>
      <c r="V27" s="449">
        <f t="shared" si="8"/>
        <v>200000</v>
      </c>
      <c r="W27" s="449"/>
      <c r="X27" s="449"/>
      <c r="Y27" s="449"/>
      <c r="Z27" s="449"/>
      <c r="AA27" s="448"/>
      <c r="AB27" s="448" t="s">
        <v>970</v>
      </c>
      <c r="AC27" s="448">
        <v>732000</v>
      </c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  <c r="AY27" s="452"/>
      <c r="AZ27" s="452"/>
      <c r="BA27" s="452"/>
      <c r="BB27" s="452"/>
      <c r="BC27" s="452"/>
      <c r="BD27" s="452"/>
      <c r="BE27" s="452"/>
      <c r="BF27" s="452"/>
    </row>
    <row r="28" spans="1:58" s="452" customFormat="1" ht="27.6">
      <c r="A28" s="448">
        <f t="shared" si="9"/>
        <v>23</v>
      </c>
      <c r="B28" s="455">
        <v>2199</v>
      </c>
      <c r="C28" s="448" t="s">
        <v>499</v>
      </c>
      <c r="D28" s="449">
        <v>1000000</v>
      </c>
      <c r="E28" s="449">
        <v>1000000</v>
      </c>
      <c r="F28" s="449">
        <f t="shared" si="0"/>
        <v>0</v>
      </c>
      <c r="G28" s="449">
        <v>150000</v>
      </c>
      <c r="H28" s="449">
        <v>58970</v>
      </c>
      <c r="I28" s="449"/>
      <c r="J28" s="449"/>
      <c r="K28" s="449">
        <f t="shared" si="1"/>
        <v>0</v>
      </c>
      <c r="L28" s="449">
        <f t="shared" si="2"/>
        <v>58970</v>
      </c>
      <c r="M28" s="450">
        <f>P28+S28-135000+44000</f>
        <v>30</v>
      </c>
      <c r="N28" s="449">
        <f>135000-35000-50000</f>
        <v>50000</v>
      </c>
      <c r="O28" s="449">
        <f t="shared" si="3"/>
        <v>891000</v>
      </c>
      <c r="P28" s="449">
        <f t="shared" si="4"/>
        <v>91030</v>
      </c>
      <c r="Q28" s="451"/>
      <c r="R28" s="449"/>
      <c r="S28" s="449">
        <f t="shared" si="5"/>
        <v>0</v>
      </c>
      <c r="T28" s="450">
        <f t="shared" si="6"/>
        <v>91000</v>
      </c>
      <c r="U28" s="449">
        <f t="shared" si="7"/>
        <v>-41000</v>
      </c>
      <c r="V28" s="449">
        <f t="shared" si="8"/>
        <v>-41000</v>
      </c>
      <c r="W28" s="449"/>
      <c r="X28" s="449"/>
      <c r="Y28" s="449"/>
      <c r="Z28" s="449"/>
      <c r="AA28" s="448"/>
      <c r="AB28" s="448" t="s">
        <v>669</v>
      </c>
      <c r="AC28" s="448">
        <v>732000</v>
      </c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2"/>
      <c r="AR28" s="422"/>
      <c r="AS28" s="422"/>
      <c r="AT28" s="422"/>
      <c r="AU28" s="422"/>
      <c r="AV28" s="422"/>
      <c r="AW28" s="422"/>
      <c r="AX28" s="422"/>
    </row>
    <row r="29" spans="1:58" s="452" customFormat="1" ht="66" customHeight="1">
      <c r="A29" s="448">
        <f t="shared" si="9"/>
        <v>24</v>
      </c>
      <c r="B29" s="455">
        <v>2200</v>
      </c>
      <c r="C29" s="448" t="s">
        <v>500</v>
      </c>
      <c r="D29" s="449">
        <v>1700000</v>
      </c>
      <c r="E29" s="449">
        <v>1700000</v>
      </c>
      <c r="F29" s="449">
        <f t="shared" si="0"/>
        <v>0</v>
      </c>
      <c r="G29" s="449">
        <v>150000</v>
      </c>
      <c r="H29" s="449">
        <v>19086</v>
      </c>
      <c r="I29" s="449"/>
      <c r="J29" s="449">
        <v>53381</v>
      </c>
      <c r="K29" s="449">
        <f t="shared" si="1"/>
        <v>53381</v>
      </c>
      <c r="L29" s="449">
        <f t="shared" si="2"/>
        <v>72467</v>
      </c>
      <c r="M29" s="450">
        <f>P29+S29-50000-55000+28000</f>
        <v>533</v>
      </c>
      <c r="N29" s="449">
        <f>400000-200000-100000</f>
        <v>100000</v>
      </c>
      <c r="O29" s="449">
        <f t="shared" si="3"/>
        <v>1527000</v>
      </c>
      <c r="P29" s="449">
        <f t="shared" si="4"/>
        <v>77533</v>
      </c>
      <c r="Q29" s="451"/>
      <c r="R29" s="449"/>
      <c r="S29" s="449">
        <f t="shared" si="5"/>
        <v>0</v>
      </c>
      <c r="T29" s="450">
        <f t="shared" si="6"/>
        <v>77000</v>
      </c>
      <c r="U29" s="449">
        <f t="shared" si="7"/>
        <v>23000</v>
      </c>
      <c r="V29" s="449">
        <f t="shared" si="8"/>
        <v>23000</v>
      </c>
      <c r="W29" s="449"/>
      <c r="X29" s="449"/>
      <c r="Y29" s="449"/>
      <c r="Z29" s="449"/>
      <c r="AA29" s="448"/>
      <c r="AB29" s="448" t="s">
        <v>1362</v>
      </c>
      <c r="AC29" s="448">
        <v>732000</v>
      </c>
      <c r="AD29" s="422"/>
      <c r="AE29" s="422"/>
      <c r="AF29" s="422"/>
      <c r="AG29" s="422"/>
      <c r="AH29" s="422"/>
      <c r="AI29" s="422"/>
      <c r="AJ29" s="422"/>
      <c r="AK29" s="422"/>
      <c r="AL29" s="422"/>
      <c r="AM29" s="422"/>
      <c r="AN29" s="422"/>
      <c r="AO29" s="422"/>
      <c r="AP29" s="422"/>
      <c r="AQ29" s="422"/>
      <c r="AR29" s="422"/>
      <c r="AS29" s="422"/>
      <c r="AT29" s="422"/>
      <c r="AU29" s="422"/>
      <c r="AV29" s="422"/>
      <c r="AW29" s="422"/>
      <c r="AX29" s="422"/>
    </row>
    <row r="30" spans="1:58" s="452" customFormat="1" ht="42.6" customHeight="1">
      <c r="A30" s="448">
        <f t="shared" si="9"/>
        <v>25</v>
      </c>
      <c r="B30" s="455">
        <v>20000</v>
      </c>
      <c r="C30" s="448" t="s">
        <v>587</v>
      </c>
      <c r="D30" s="449">
        <v>2500000</v>
      </c>
      <c r="E30" s="449">
        <v>2500000</v>
      </c>
      <c r="F30" s="449">
        <f t="shared" si="0"/>
        <v>0</v>
      </c>
      <c r="G30" s="449">
        <v>0</v>
      </c>
      <c r="H30" s="449"/>
      <c r="I30" s="449"/>
      <c r="J30" s="449"/>
      <c r="K30" s="449">
        <f t="shared" si="1"/>
        <v>0</v>
      </c>
      <c r="L30" s="449">
        <f t="shared" si="2"/>
        <v>0</v>
      </c>
      <c r="M30" s="450">
        <f>P30+S30</f>
        <v>0</v>
      </c>
      <c r="N30" s="449">
        <f>400000-150000-150000</f>
        <v>100000</v>
      </c>
      <c r="O30" s="449">
        <f t="shared" si="3"/>
        <v>2400000</v>
      </c>
      <c r="P30" s="449">
        <f t="shared" si="4"/>
        <v>0</v>
      </c>
      <c r="Q30" s="451"/>
      <c r="R30" s="449"/>
      <c r="S30" s="449">
        <f t="shared" si="5"/>
        <v>0</v>
      </c>
      <c r="T30" s="450">
        <f t="shared" si="6"/>
        <v>0</v>
      </c>
      <c r="U30" s="449">
        <f t="shared" si="7"/>
        <v>100000</v>
      </c>
      <c r="V30" s="449">
        <f t="shared" si="8"/>
        <v>100000</v>
      </c>
      <c r="W30" s="449"/>
      <c r="X30" s="449"/>
      <c r="Y30" s="449"/>
      <c r="Z30" s="449"/>
      <c r="AA30" s="448"/>
      <c r="AB30" s="448" t="s">
        <v>1369</v>
      </c>
      <c r="AC30" s="448">
        <v>732000</v>
      </c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</row>
    <row r="31" spans="1:58" s="456" customFormat="1" ht="43.2" customHeight="1">
      <c r="A31" s="448">
        <f t="shared" si="9"/>
        <v>26</v>
      </c>
      <c r="B31" s="455">
        <v>20008</v>
      </c>
      <c r="C31" s="448" t="s">
        <v>596</v>
      </c>
      <c r="D31" s="449">
        <v>1900000</v>
      </c>
      <c r="E31" s="449">
        <v>1900000</v>
      </c>
      <c r="F31" s="449">
        <f t="shared" si="0"/>
        <v>0</v>
      </c>
      <c r="G31" s="449">
        <v>0</v>
      </c>
      <c r="H31" s="449"/>
      <c r="I31" s="449"/>
      <c r="J31" s="449"/>
      <c r="K31" s="449">
        <f t="shared" si="1"/>
        <v>0</v>
      </c>
      <c r="L31" s="449">
        <f t="shared" si="2"/>
        <v>0</v>
      </c>
      <c r="M31" s="450">
        <f>P31+S31</f>
        <v>0</v>
      </c>
      <c r="N31" s="449">
        <f>400000-400000</f>
        <v>0</v>
      </c>
      <c r="O31" s="449">
        <f t="shared" si="3"/>
        <v>1900000</v>
      </c>
      <c r="P31" s="449">
        <f t="shared" si="4"/>
        <v>0</v>
      </c>
      <c r="Q31" s="451"/>
      <c r="R31" s="449"/>
      <c r="S31" s="449">
        <f t="shared" si="5"/>
        <v>0</v>
      </c>
      <c r="T31" s="450">
        <f t="shared" si="6"/>
        <v>0</v>
      </c>
      <c r="U31" s="449">
        <f t="shared" si="7"/>
        <v>0</v>
      </c>
      <c r="V31" s="449">
        <f t="shared" si="8"/>
        <v>0</v>
      </c>
      <c r="W31" s="449"/>
      <c r="X31" s="449"/>
      <c r="Y31" s="449"/>
      <c r="Z31" s="449"/>
      <c r="AA31" s="448"/>
      <c r="AB31" s="448" t="s">
        <v>597</v>
      </c>
      <c r="AC31" s="448">
        <v>732000</v>
      </c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  <c r="AY31" s="452"/>
      <c r="AZ31" s="452"/>
      <c r="BA31" s="452"/>
      <c r="BB31" s="452"/>
      <c r="BC31" s="452"/>
      <c r="BD31" s="452"/>
      <c r="BE31" s="452"/>
      <c r="BF31" s="452"/>
    </row>
    <row r="32" spans="1:58" s="452" customFormat="1" ht="52.95" customHeight="1">
      <c r="A32" s="448">
        <f t="shared" si="9"/>
        <v>27</v>
      </c>
      <c r="B32" s="455">
        <v>20058</v>
      </c>
      <c r="C32" s="448" t="s">
        <v>729</v>
      </c>
      <c r="D32" s="449">
        <v>800000</v>
      </c>
      <c r="E32" s="449">
        <v>800000</v>
      </c>
      <c r="F32" s="449">
        <f t="shared" si="0"/>
        <v>0</v>
      </c>
      <c r="G32" s="449">
        <v>60000</v>
      </c>
      <c r="H32" s="449">
        <v>35252</v>
      </c>
      <c r="I32" s="449"/>
      <c r="J32" s="449">
        <v>29396</v>
      </c>
      <c r="K32" s="449">
        <f t="shared" si="1"/>
        <v>29396</v>
      </c>
      <c r="L32" s="449">
        <f t="shared" si="2"/>
        <v>64648</v>
      </c>
      <c r="M32" s="450">
        <f>P32+S32-16500-18000</f>
        <v>852</v>
      </c>
      <c r="N32" s="449">
        <f>500000+60000-260000-150000-50000</f>
        <v>100000</v>
      </c>
      <c r="O32" s="449">
        <f t="shared" si="3"/>
        <v>634500</v>
      </c>
      <c r="P32" s="449">
        <f t="shared" si="4"/>
        <v>-4648</v>
      </c>
      <c r="Q32" s="451">
        <v>40000</v>
      </c>
      <c r="R32" s="449"/>
      <c r="S32" s="449">
        <f t="shared" si="5"/>
        <v>40000</v>
      </c>
      <c r="T32" s="450">
        <f t="shared" si="6"/>
        <v>34500</v>
      </c>
      <c r="U32" s="449">
        <f t="shared" si="7"/>
        <v>65500</v>
      </c>
      <c r="V32" s="449">
        <f t="shared" si="8"/>
        <v>65500</v>
      </c>
      <c r="W32" s="449"/>
      <c r="X32" s="449"/>
      <c r="Y32" s="449"/>
      <c r="Z32" s="449"/>
      <c r="AA32" s="448"/>
      <c r="AB32" s="448" t="s">
        <v>1425</v>
      </c>
      <c r="AC32" s="448">
        <v>732000</v>
      </c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</row>
    <row r="33" spans="1:58" s="457" customFormat="1" ht="67.2" customHeight="1">
      <c r="A33" s="448">
        <f t="shared" si="9"/>
        <v>28</v>
      </c>
      <c r="B33" s="455">
        <v>20060</v>
      </c>
      <c r="C33" s="448" t="s">
        <v>732</v>
      </c>
      <c r="D33" s="449">
        <v>640000</v>
      </c>
      <c r="E33" s="449">
        <v>640000</v>
      </c>
      <c r="F33" s="449">
        <f t="shared" si="0"/>
        <v>0</v>
      </c>
      <c r="G33" s="449">
        <v>0</v>
      </c>
      <c r="H33" s="449"/>
      <c r="I33" s="449"/>
      <c r="J33" s="449"/>
      <c r="K33" s="449">
        <f t="shared" si="1"/>
        <v>0</v>
      </c>
      <c r="L33" s="449">
        <f t="shared" si="2"/>
        <v>0</v>
      </c>
      <c r="M33" s="450">
        <f>P33+S33</f>
        <v>0</v>
      </c>
      <c r="N33" s="449">
        <f>250000-150000</f>
        <v>100000</v>
      </c>
      <c r="O33" s="449">
        <f t="shared" si="3"/>
        <v>540000</v>
      </c>
      <c r="P33" s="449">
        <f t="shared" si="4"/>
        <v>0</v>
      </c>
      <c r="Q33" s="451"/>
      <c r="R33" s="449"/>
      <c r="S33" s="449">
        <f t="shared" si="5"/>
        <v>0</v>
      </c>
      <c r="T33" s="450">
        <f t="shared" si="6"/>
        <v>0</v>
      </c>
      <c r="U33" s="449">
        <f t="shared" si="7"/>
        <v>100000</v>
      </c>
      <c r="V33" s="449">
        <f t="shared" si="8"/>
        <v>100000</v>
      </c>
      <c r="W33" s="449"/>
      <c r="X33" s="449"/>
      <c r="Y33" s="449"/>
      <c r="Z33" s="449"/>
      <c r="AA33" s="449"/>
      <c r="AB33" s="448" t="s">
        <v>879</v>
      </c>
      <c r="AC33" s="448">
        <v>732000</v>
      </c>
      <c r="AD33" s="422"/>
      <c r="AE33" s="422"/>
      <c r="AF33" s="422"/>
      <c r="AG33" s="422"/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  <c r="AY33" s="452"/>
      <c r="AZ33" s="452"/>
      <c r="BA33" s="452"/>
      <c r="BB33" s="452"/>
      <c r="BC33" s="452"/>
      <c r="BD33" s="452"/>
      <c r="BE33" s="452"/>
      <c r="BF33" s="452"/>
    </row>
    <row r="34" spans="1:58" s="456" customFormat="1" ht="57" customHeight="1">
      <c r="A34" s="448">
        <f t="shared" si="9"/>
        <v>29</v>
      </c>
      <c r="B34" s="455">
        <v>20061</v>
      </c>
      <c r="C34" s="448" t="s">
        <v>782</v>
      </c>
      <c r="D34" s="449">
        <v>700000</v>
      </c>
      <c r="E34" s="449">
        <v>700000</v>
      </c>
      <c r="F34" s="449">
        <f t="shared" si="0"/>
        <v>0</v>
      </c>
      <c r="G34" s="449">
        <v>0</v>
      </c>
      <c r="H34" s="449"/>
      <c r="I34" s="449"/>
      <c r="J34" s="449"/>
      <c r="K34" s="449">
        <f t="shared" si="1"/>
        <v>0</v>
      </c>
      <c r="L34" s="449">
        <f t="shared" si="2"/>
        <v>0</v>
      </c>
      <c r="M34" s="450">
        <f>P34+S34</f>
        <v>0</v>
      </c>
      <c r="N34" s="449">
        <f>500000-250000-150000-50000</f>
        <v>50000</v>
      </c>
      <c r="O34" s="449">
        <f t="shared" si="3"/>
        <v>650000</v>
      </c>
      <c r="P34" s="449">
        <f t="shared" si="4"/>
        <v>0</v>
      </c>
      <c r="Q34" s="451"/>
      <c r="R34" s="449"/>
      <c r="S34" s="449">
        <f t="shared" si="5"/>
        <v>0</v>
      </c>
      <c r="T34" s="450">
        <f t="shared" si="6"/>
        <v>0</v>
      </c>
      <c r="U34" s="449">
        <f t="shared" si="7"/>
        <v>50000</v>
      </c>
      <c r="V34" s="449">
        <f t="shared" si="8"/>
        <v>50000</v>
      </c>
      <c r="W34" s="449"/>
      <c r="X34" s="449"/>
      <c r="Y34" s="449"/>
      <c r="Z34" s="449"/>
      <c r="AA34" s="449"/>
      <c r="AB34" s="455" t="s">
        <v>880</v>
      </c>
      <c r="AC34" s="448">
        <v>732000</v>
      </c>
      <c r="AD34" s="422"/>
      <c r="AE34" s="422"/>
      <c r="AF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  <c r="AY34" s="452"/>
      <c r="AZ34" s="452"/>
      <c r="BA34" s="452"/>
      <c r="BB34" s="452"/>
      <c r="BC34" s="452"/>
      <c r="BD34" s="452"/>
      <c r="BE34" s="452"/>
      <c r="BF34" s="452"/>
    </row>
    <row r="35" spans="1:58" s="456" customFormat="1" ht="52.2" customHeight="1">
      <c r="A35" s="448">
        <f t="shared" si="9"/>
        <v>30</v>
      </c>
      <c r="B35" s="455">
        <v>20062</v>
      </c>
      <c r="C35" s="448" t="s">
        <v>28</v>
      </c>
      <c r="D35" s="449">
        <f>50000+250000</f>
        <v>300000</v>
      </c>
      <c r="E35" s="449">
        <v>50000</v>
      </c>
      <c r="F35" s="449">
        <f t="shared" si="0"/>
        <v>250000</v>
      </c>
      <c r="G35" s="449">
        <v>0</v>
      </c>
      <c r="H35" s="449"/>
      <c r="I35" s="449"/>
      <c r="J35" s="449"/>
      <c r="K35" s="449">
        <f t="shared" si="1"/>
        <v>0</v>
      </c>
      <c r="L35" s="449">
        <f t="shared" si="2"/>
        <v>0</v>
      </c>
      <c r="M35" s="450">
        <f>P35+S35</f>
        <v>0</v>
      </c>
      <c r="N35" s="449">
        <f>100000-30000-30000</f>
        <v>40000</v>
      </c>
      <c r="O35" s="449">
        <f t="shared" si="3"/>
        <v>260000</v>
      </c>
      <c r="P35" s="449">
        <f t="shared" si="4"/>
        <v>0</v>
      </c>
      <c r="Q35" s="451"/>
      <c r="R35" s="449"/>
      <c r="S35" s="449">
        <f t="shared" si="5"/>
        <v>0</v>
      </c>
      <c r="T35" s="450">
        <f t="shared" si="6"/>
        <v>0</v>
      </c>
      <c r="U35" s="449">
        <f t="shared" si="7"/>
        <v>40000</v>
      </c>
      <c r="V35" s="449">
        <f t="shared" si="8"/>
        <v>40000</v>
      </c>
      <c r="W35" s="449"/>
      <c r="X35" s="449"/>
      <c r="Y35" s="449"/>
      <c r="Z35" s="449"/>
      <c r="AA35" s="449"/>
      <c r="AB35" s="448" t="s">
        <v>811</v>
      </c>
      <c r="AC35" s="448">
        <v>732000</v>
      </c>
      <c r="AD35" s="422"/>
      <c r="AE35" s="422"/>
      <c r="AF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  <c r="AY35" s="452"/>
      <c r="AZ35" s="452"/>
      <c r="BA35" s="452"/>
      <c r="BB35" s="452"/>
      <c r="BC35" s="452"/>
      <c r="BD35" s="452"/>
      <c r="BE35" s="452"/>
      <c r="BF35" s="452"/>
    </row>
    <row r="36" spans="1:58" s="452" customFormat="1" ht="27.6">
      <c r="A36" s="448">
        <f t="shared" si="9"/>
        <v>31</v>
      </c>
      <c r="B36" s="455">
        <v>20108</v>
      </c>
      <c r="C36" s="469" t="s">
        <v>975</v>
      </c>
      <c r="D36" s="419">
        <f>4800000-1300000</f>
        <v>3500000</v>
      </c>
      <c r="E36" s="419"/>
      <c r="F36" s="120">
        <f t="shared" si="0"/>
        <v>3500000</v>
      </c>
      <c r="G36" s="419">
        <v>0</v>
      </c>
      <c r="H36" s="419"/>
      <c r="I36" s="419"/>
      <c r="J36" s="419"/>
      <c r="K36" s="120">
        <f>I36+J36</f>
        <v>0</v>
      </c>
      <c r="L36" s="120">
        <f t="shared" si="2"/>
        <v>0</v>
      </c>
      <c r="M36" s="273">
        <f>P36+S36</f>
        <v>0</v>
      </c>
      <c r="N36" s="419">
        <f>1600000-1100000-150000</f>
        <v>350000</v>
      </c>
      <c r="O36" s="120">
        <f t="shared" si="3"/>
        <v>3150000</v>
      </c>
      <c r="P36" s="120">
        <f t="shared" si="4"/>
        <v>0</v>
      </c>
      <c r="Q36" s="120"/>
      <c r="R36" s="120"/>
      <c r="S36" s="120">
        <f t="shared" si="5"/>
        <v>0</v>
      </c>
      <c r="T36" s="273">
        <f t="shared" si="6"/>
        <v>0</v>
      </c>
      <c r="U36" s="120">
        <f t="shared" si="7"/>
        <v>350000</v>
      </c>
      <c r="V36" s="120">
        <f>U36-W36-Z36-AA36</f>
        <v>350000</v>
      </c>
      <c r="W36" s="120"/>
      <c r="X36" s="120"/>
      <c r="Y36" s="120"/>
      <c r="Z36" s="120"/>
      <c r="AA36" s="120"/>
      <c r="AB36" s="471" t="s">
        <v>1505</v>
      </c>
      <c r="AC36" s="448">
        <v>732000</v>
      </c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65"/>
      <c r="AQ36" s="465"/>
      <c r="AR36" s="465"/>
      <c r="AS36" s="465"/>
      <c r="AT36" s="465"/>
      <c r="AU36" s="465"/>
      <c r="AV36" s="465"/>
      <c r="AW36" s="465"/>
      <c r="AX36" s="272"/>
      <c r="AY36" s="272"/>
      <c r="AZ36" s="272"/>
      <c r="BA36" s="272"/>
      <c r="BB36" s="272"/>
      <c r="BC36" s="272"/>
      <c r="BD36" s="272"/>
      <c r="BE36" s="272"/>
      <c r="BF36" s="272"/>
    </row>
    <row r="37" spans="1:58" s="473" customFormat="1">
      <c r="A37" s="454"/>
      <c r="B37" s="454"/>
      <c r="C37" s="808" t="s">
        <v>1557</v>
      </c>
      <c r="D37" s="809">
        <f>SUM(D6:D36)</f>
        <v>105501754</v>
      </c>
      <c r="E37" s="809">
        <f t="shared" ref="E37:AA37" si="10">SUM(E6:E36)</f>
        <v>104155490</v>
      </c>
      <c r="F37" s="809">
        <f t="shared" si="10"/>
        <v>1346264</v>
      </c>
      <c r="G37" s="809">
        <f t="shared" si="10"/>
        <v>59844897</v>
      </c>
      <c r="H37" s="809">
        <f t="shared" si="10"/>
        <v>47105167</v>
      </c>
      <c r="I37" s="809">
        <f t="shared" si="10"/>
        <v>1749428</v>
      </c>
      <c r="J37" s="809">
        <f t="shared" si="10"/>
        <v>5204847</v>
      </c>
      <c r="K37" s="809">
        <f t="shared" si="10"/>
        <v>6954275</v>
      </c>
      <c r="L37" s="809">
        <f t="shared" si="10"/>
        <v>54059442</v>
      </c>
      <c r="M37" s="809">
        <f t="shared" si="10"/>
        <v>59419</v>
      </c>
      <c r="N37" s="809">
        <f t="shared" si="10"/>
        <v>4933800</v>
      </c>
      <c r="O37" s="809">
        <f t="shared" si="10"/>
        <v>46449093</v>
      </c>
      <c r="P37" s="809">
        <f t="shared" si="10"/>
        <v>5785455</v>
      </c>
      <c r="Q37" s="809">
        <f t="shared" si="10"/>
        <v>1140000</v>
      </c>
      <c r="R37" s="809">
        <f t="shared" si="10"/>
        <v>0</v>
      </c>
      <c r="S37" s="809">
        <f t="shared" si="10"/>
        <v>1140000</v>
      </c>
      <c r="T37" s="809">
        <f t="shared" si="10"/>
        <v>6866036</v>
      </c>
      <c r="U37" s="809">
        <f t="shared" si="10"/>
        <v>-1932236</v>
      </c>
      <c r="V37" s="809">
        <f t="shared" si="10"/>
        <v>-1182236</v>
      </c>
      <c r="W37" s="809">
        <f t="shared" si="10"/>
        <v>-750000</v>
      </c>
      <c r="X37" s="809">
        <f t="shared" si="10"/>
        <v>0</v>
      </c>
      <c r="Y37" s="809">
        <f t="shared" si="10"/>
        <v>0</v>
      </c>
      <c r="Z37" s="809">
        <f t="shared" si="10"/>
        <v>0</v>
      </c>
      <c r="AA37" s="809">
        <f t="shared" si="10"/>
        <v>0</v>
      </c>
      <c r="AB37" s="810"/>
      <c r="AC37" s="454"/>
      <c r="AD37" s="811"/>
      <c r="AE37" s="811"/>
      <c r="AF37" s="811"/>
      <c r="AG37" s="811"/>
      <c r="AH37" s="811"/>
      <c r="AI37" s="811"/>
      <c r="AJ37" s="811"/>
      <c r="AK37" s="811"/>
      <c r="AL37" s="811"/>
      <c r="AM37" s="811"/>
      <c r="AN37" s="811"/>
      <c r="AO37" s="811"/>
      <c r="AP37" s="472"/>
      <c r="AQ37" s="472"/>
      <c r="AR37" s="472"/>
      <c r="AS37" s="472"/>
      <c r="AT37" s="472"/>
      <c r="AU37" s="472"/>
      <c r="AV37" s="472"/>
      <c r="AW37" s="472"/>
      <c r="AX37" s="359"/>
      <c r="AY37" s="359"/>
      <c r="AZ37" s="359"/>
      <c r="BA37" s="359"/>
      <c r="BB37" s="359"/>
      <c r="BC37" s="359"/>
      <c r="BD37" s="359"/>
      <c r="BE37" s="359"/>
      <c r="BF37" s="359"/>
    </row>
    <row r="38" spans="1:58" s="473" customFormat="1">
      <c r="A38" s="454"/>
      <c r="B38" s="454"/>
      <c r="C38" s="808">
        <v>74</v>
      </c>
      <c r="D38" s="809"/>
      <c r="E38" s="809"/>
      <c r="F38" s="249"/>
      <c r="G38" s="809"/>
      <c r="H38" s="809"/>
      <c r="I38" s="809"/>
      <c r="J38" s="809"/>
      <c r="K38" s="249"/>
      <c r="L38" s="249"/>
      <c r="M38" s="249"/>
      <c r="N38" s="80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810"/>
      <c r="AC38" s="454"/>
      <c r="AD38" s="811"/>
      <c r="AE38" s="811"/>
      <c r="AF38" s="811"/>
      <c r="AG38" s="811"/>
      <c r="AH38" s="811"/>
      <c r="AI38" s="811"/>
      <c r="AJ38" s="811"/>
      <c r="AK38" s="811"/>
      <c r="AL38" s="811"/>
      <c r="AM38" s="811"/>
      <c r="AN38" s="811"/>
      <c r="AO38" s="811"/>
      <c r="AP38" s="472"/>
      <c r="AQ38" s="472"/>
      <c r="AR38" s="472"/>
      <c r="AS38" s="472"/>
      <c r="AT38" s="472"/>
      <c r="AU38" s="472"/>
      <c r="AV38" s="472"/>
      <c r="AW38" s="472"/>
      <c r="AX38" s="359"/>
      <c r="AY38" s="359"/>
      <c r="AZ38" s="359"/>
      <c r="BA38" s="359"/>
      <c r="BB38" s="359"/>
      <c r="BC38" s="359"/>
      <c r="BD38" s="359"/>
      <c r="BE38" s="359"/>
      <c r="BF38" s="359"/>
    </row>
    <row r="39" spans="1:58" s="456" customFormat="1" ht="46.2" customHeight="1">
      <c r="A39" s="448">
        <f>A36+1</f>
        <v>32</v>
      </c>
      <c r="B39" s="448">
        <v>507</v>
      </c>
      <c r="C39" s="448" t="s">
        <v>38</v>
      </c>
      <c r="D39" s="449">
        <f>1965000+1500000-1300000-200000</f>
        <v>1965000</v>
      </c>
      <c r="E39" s="449">
        <v>1965000</v>
      </c>
      <c r="F39" s="449">
        <f t="shared" ref="F39:F65" si="11">D39-E39</f>
        <v>0</v>
      </c>
      <c r="G39" s="449">
        <v>1965000</v>
      </c>
      <c r="H39" s="449">
        <v>1701725</v>
      </c>
      <c r="I39" s="449"/>
      <c r="J39" s="449">
        <v>62055</v>
      </c>
      <c r="K39" s="449">
        <f t="shared" ref="K39:K58" si="12">SUM(I39:J39)</f>
        <v>62055</v>
      </c>
      <c r="L39" s="449">
        <f t="shared" ref="L39:L65" si="13">H39+K39</f>
        <v>1763780</v>
      </c>
      <c r="M39" s="450">
        <f>P39+S39-200000</f>
        <v>1220</v>
      </c>
      <c r="N39" s="449">
        <f>200000+60000-260000</f>
        <v>0</v>
      </c>
      <c r="O39" s="449">
        <f t="shared" ref="O39:O65" si="14">D39-L39-M39-N39</f>
        <v>200000</v>
      </c>
      <c r="P39" s="449">
        <f t="shared" ref="P39:P65" si="15">G39-L39</f>
        <v>201220</v>
      </c>
      <c r="Q39" s="451"/>
      <c r="R39" s="449"/>
      <c r="S39" s="449">
        <f t="shared" ref="S39:S65" si="16">SUM(Q39:R39)</f>
        <v>0</v>
      </c>
      <c r="T39" s="450">
        <f t="shared" ref="T39:T65" si="17">P39-M39+S39</f>
        <v>200000</v>
      </c>
      <c r="U39" s="449">
        <f t="shared" ref="U39:U65" si="18">N39-T39</f>
        <v>-200000</v>
      </c>
      <c r="V39" s="449">
        <f t="shared" ref="V39:V58" si="19">U39-AA39-W39-Z39-Y39-X39</f>
        <v>-200000</v>
      </c>
      <c r="W39" s="449"/>
      <c r="X39" s="449"/>
      <c r="Y39" s="449"/>
      <c r="Z39" s="449"/>
      <c r="AA39" s="448"/>
      <c r="AB39" s="448" t="s">
        <v>380</v>
      </c>
      <c r="AC39" s="448">
        <v>742000</v>
      </c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  <c r="AY39" s="452"/>
      <c r="AZ39" s="452"/>
      <c r="BA39" s="452"/>
      <c r="BB39" s="452"/>
      <c r="BC39" s="452"/>
      <c r="BD39" s="452"/>
      <c r="BE39" s="452"/>
      <c r="BF39" s="452"/>
    </row>
    <row r="40" spans="1:58" s="456" customFormat="1" ht="47.4" customHeight="1">
      <c r="A40" s="448">
        <f t="shared" ref="A40:A65" si="20">A39+1</f>
        <v>33</v>
      </c>
      <c r="B40" s="448">
        <v>592</v>
      </c>
      <c r="C40" s="448" t="s">
        <v>22</v>
      </c>
      <c r="D40" s="449">
        <v>54893000</v>
      </c>
      <c r="E40" s="449">
        <v>54893000</v>
      </c>
      <c r="F40" s="449">
        <f t="shared" si="11"/>
        <v>0</v>
      </c>
      <c r="G40" s="449">
        <v>21420000</v>
      </c>
      <c r="H40" s="449">
        <v>19882849</v>
      </c>
      <c r="I40" s="449"/>
      <c r="J40" s="449">
        <f>1170012-1170012</f>
        <v>0</v>
      </c>
      <c r="K40" s="449">
        <f t="shared" si="12"/>
        <v>0</v>
      </c>
      <c r="L40" s="449">
        <f t="shared" si="13"/>
        <v>19882849</v>
      </c>
      <c r="M40" s="450">
        <f>P40+S40-1500000</f>
        <v>37151</v>
      </c>
      <c r="N40" s="449">
        <f>500000+1400000-1900000</f>
        <v>0</v>
      </c>
      <c r="O40" s="449">
        <f t="shared" si="14"/>
        <v>34973000</v>
      </c>
      <c r="P40" s="449">
        <f t="shared" si="15"/>
        <v>1537151</v>
      </c>
      <c r="Q40" s="451"/>
      <c r="R40" s="449"/>
      <c r="S40" s="449">
        <f t="shared" si="16"/>
        <v>0</v>
      </c>
      <c r="T40" s="450">
        <f t="shared" si="17"/>
        <v>1500000</v>
      </c>
      <c r="U40" s="449">
        <f t="shared" si="18"/>
        <v>-1500000</v>
      </c>
      <c r="V40" s="449">
        <f t="shared" si="19"/>
        <v>-1500000</v>
      </c>
      <c r="W40" s="449"/>
      <c r="X40" s="449"/>
      <c r="Y40" s="449"/>
      <c r="Z40" s="449"/>
      <c r="AA40" s="448"/>
      <c r="AB40" s="448" t="s">
        <v>818</v>
      </c>
      <c r="AC40" s="448">
        <v>742000</v>
      </c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52"/>
      <c r="AZ40" s="452"/>
      <c r="BA40" s="452"/>
      <c r="BB40" s="452"/>
      <c r="BC40" s="452"/>
      <c r="BD40" s="452"/>
      <c r="BE40" s="452"/>
      <c r="BF40" s="452"/>
    </row>
    <row r="41" spans="1:58" s="456" customFormat="1" ht="50.4" customHeight="1">
      <c r="A41" s="448">
        <f t="shared" si="20"/>
        <v>34</v>
      </c>
      <c r="B41" s="448">
        <v>638</v>
      </c>
      <c r="C41" s="448" t="s">
        <v>360</v>
      </c>
      <c r="D41" s="449">
        <v>4436000</v>
      </c>
      <c r="E41" s="449">
        <v>4436000</v>
      </c>
      <c r="F41" s="449">
        <f t="shared" si="11"/>
        <v>0</v>
      </c>
      <c r="G41" s="449">
        <v>4436000</v>
      </c>
      <c r="H41" s="449">
        <v>4253645</v>
      </c>
      <c r="I41" s="449"/>
      <c r="J41" s="449"/>
      <c r="K41" s="449">
        <f t="shared" si="12"/>
        <v>0</v>
      </c>
      <c r="L41" s="449">
        <f t="shared" si="13"/>
        <v>4253645</v>
      </c>
      <c r="M41" s="450">
        <f>P41+S41-182355</f>
        <v>0</v>
      </c>
      <c r="N41" s="449"/>
      <c r="O41" s="449">
        <f t="shared" si="14"/>
        <v>182355</v>
      </c>
      <c r="P41" s="449">
        <f t="shared" si="15"/>
        <v>182355</v>
      </c>
      <c r="Q41" s="451"/>
      <c r="R41" s="449"/>
      <c r="S41" s="449">
        <f t="shared" si="16"/>
        <v>0</v>
      </c>
      <c r="T41" s="450">
        <f t="shared" si="17"/>
        <v>182355</v>
      </c>
      <c r="U41" s="449">
        <f t="shared" si="18"/>
        <v>-182355</v>
      </c>
      <c r="V41" s="449">
        <f t="shared" si="19"/>
        <v>-182355</v>
      </c>
      <c r="W41" s="449"/>
      <c r="X41" s="449"/>
      <c r="Y41" s="449"/>
      <c r="Z41" s="449"/>
      <c r="AA41" s="448"/>
      <c r="AB41" s="448" t="s">
        <v>1318</v>
      </c>
      <c r="AC41" s="448">
        <v>742000</v>
      </c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52"/>
      <c r="AZ41" s="452"/>
      <c r="BA41" s="452"/>
      <c r="BB41" s="452"/>
      <c r="BC41" s="452"/>
      <c r="BD41" s="452"/>
      <c r="BE41" s="452"/>
      <c r="BF41" s="452"/>
    </row>
    <row r="42" spans="1:58" s="452" customFormat="1" ht="40.950000000000003" customHeight="1">
      <c r="A42" s="448">
        <f t="shared" si="20"/>
        <v>35</v>
      </c>
      <c r="B42" s="448">
        <v>1018</v>
      </c>
      <c r="C42" s="448" t="s">
        <v>23</v>
      </c>
      <c r="D42" s="449">
        <v>31900000</v>
      </c>
      <c r="E42" s="449">
        <v>31900000</v>
      </c>
      <c r="F42" s="449">
        <f t="shared" si="11"/>
        <v>0</v>
      </c>
      <c r="G42" s="449">
        <v>3150000</v>
      </c>
      <c r="H42" s="449">
        <v>3059671</v>
      </c>
      <c r="I42" s="449">
        <v>84193</v>
      </c>
      <c r="J42" s="449"/>
      <c r="K42" s="449">
        <f t="shared" si="12"/>
        <v>84193</v>
      </c>
      <c r="L42" s="449">
        <f t="shared" si="13"/>
        <v>3143864</v>
      </c>
      <c r="M42" s="450">
        <f>P42+S42</f>
        <v>6136</v>
      </c>
      <c r="N42" s="449"/>
      <c r="O42" s="449">
        <f t="shared" si="14"/>
        <v>28750000</v>
      </c>
      <c r="P42" s="449">
        <f t="shared" si="15"/>
        <v>6136</v>
      </c>
      <c r="Q42" s="451"/>
      <c r="R42" s="449"/>
      <c r="S42" s="449">
        <f t="shared" si="16"/>
        <v>0</v>
      </c>
      <c r="T42" s="450">
        <f t="shared" si="17"/>
        <v>0</v>
      </c>
      <c r="U42" s="449">
        <f t="shared" si="18"/>
        <v>0</v>
      </c>
      <c r="V42" s="449">
        <f t="shared" si="19"/>
        <v>0</v>
      </c>
      <c r="W42" s="449"/>
      <c r="X42" s="449"/>
      <c r="Y42" s="449"/>
      <c r="Z42" s="449"/>
      <c r="AA42" s="448"/>
      <c r="AB42" s="448" t="s">
        <v>1379</v>
      </c>
      <c r="AC42" s="448">
        <v>742000</v>
      </c>
      <c r="AD42" s="422"/>
      <c r="AE42" s="422"/>
      <c r="AF42" s="422"/>
      <c r="AG42" s="422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</row>
    <row r="43" spans="1:58" s="452" customFormat="1" ht="37.200000000000003" customHeight="1">
      <c r="A43" s="448">
        <f t="shared" si="20"/>
        <v>36</v>
      </c>
      <c r="B43" s="448">
        <v>1129</v>
      </c>
      <c r="C43" s="448" t="s">
        <v>30</v>
      </c>
      <c r="D43" s="449">
        <f>7000000+3000000-2500000</f>
        <v>7500000</v>
      </c>
      <c r="E43" s="449">
        <v>7000000</v>
      </c>
      <c r="F43" s="449">
        <f t="shared" si="11"/>
        <v>500000</v>
      </c>
      <c r="G43" s="449">
        <v>6891771</v>
      </c>
      <c r="H43" s="449">
        <v>6201031</v>
      </c>
      <c r="I43" s="449"/>
      <c r="J43" s="449">
        <f>674374-397800</f>
        <v>276574</v>
      </c>
      <c r="K43" s="449">
        <f t="shared" si="12"/>
        <v>276574</v>
      </c>
      <c r="L43" s="449">
        <f t="shared" si="13"/>
        <v>6477605</v>
      </c>
      <c r="M43" s="450">
        <f>P43+S43-230000-180000</f>
        <v>4166</v>
      </c>
      <c r="N43" s="449">
        <f>500000-300000</f>
        <v>200000</v>
      </c>
      <c r="O43" s="449">
        <f t="shared" si="14"/>
        <v>818229</v>
      </c>
      <c r="P43" s="449">
        <f t="shared" si="15"/>
        <v>414166</v>
      </c>
      <c r="Q43" s="451"/>
      <c r="R43" s="449"/>
      <c r="S43" s="449">
        <f t="shared" si="16"/>
        <v>0</v>
      </c>
      <c r="T43" s="450">
        <f t="shared" si="17"/>
        <v>410000</v>
      </c>
      <c r="U43" s="449">
        <f t="shared" si="18"/>
        <v>-210000</v>
      </c>
      <c r="V43" s="449">
        <f t="shared" si="19"/>
        <v>-210000</v>
      </c>
      <c r="W43" s="449"/>
      <c r="X43" s="449"/>
      <c r="Y43" s="449"/>
      <c r="Z43" s="449"/>
      <c r="AA43" s="448"/>
      <c r="AB43" s="448" t="s">
        <v>318</v>
      </c>
      <c r="AC43" s="448">
        <v>742000</v>
      </c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  <c r="AY43" s="456"/>
      <c r="AZ43" s="456"/>
      <c r="BA43" s="456"/>
      <c r="BB43" s="456"/>
      <c r="BC43" s="456"/>
      <c r="BD43" s="456"/>
      <c r="BE43" s="456"/>
      <c r="BF43" s="456"/>
    </row>
    <row r="44" spans="1:58" s="452" customFormat="1" ht="38.4" customHeight="1">
      <c r="A44" s="448">
        <f t="shared" si="20"/>
        <v>37</v>
      </c>
      <c r="B44" s="448">
        <v>1366</v>
      </c>
      <c r="C44" s="448" t="s">
        <v>34</v>
      </c>
      <c r="D44" s="449">
        <f>1500000+76000</f>
        <v>1576000</v>
      </c>
      <c r="E44" s="449">
        <v>1500000</v>
      </c>
      <c r="F44" s="449">
        <f t="shared" si="11"/>
        <v>76000</v>
      </c>
      <c r="G44" s="449">
        <v>1376000</v>
      </c>
      <c r="H44" s="449">
        <v>1044273</v>
      </c>
      <c r="I44" s="449"/>
      <c r="J44" s="449">
        <v>131715</v>
      </c>
      <c r="K44" s="449">
        <f t="shared" si="12"/>
        <v>131715</v>
      </c>
      <c r="L44" s="449">
        <f t="shared" si="13"/>
        <v>1175988</v>
      </c>
      <c r="M44" s="450">
        <f>P44+S44-200000-20000+20000</f>
        <v>12</v>
      </c>
      <c r="N44" s="449">
        <f>200000+200000-200000+20000-20000</f>
        <v>200000</v>
      </c>
      <c r="O44" s="449">
        <f t="shared" si="14"/>
        <v>200000</v>
      </c>
      <c r="P44" s="449">
        <f t="shared" si="15"/>
        <v>200012</v>
      </c>
      <c r="Q44" s="451"/>
      <c r="R44" s="449"/>
      <c r="S44" s="449">
        <f t="shared" si="16"/>
        <v>0</v>
      </c>
      <c r="T44" s="450">
        <f t="shared" si="17"/>
        <v>200000</v>
      </c>
      <c r="U44" s="449">
        <f t="shared" si="18"/>
        <v>0</v>
      </c>
      <c r="V44" s="449">
        <f t="shared" si="19"/>
        <v>0</v>
      </c>
      <c r="W44" s="449"/>
      <c r="X44" s="449"/>
      <c r="Y44" s="449"/>
      <c r="Z44" s="449"/>
      <c r="AA44" s="448"/>
      <c r="AB44" s="448" t="s">
        <v>481</v>
      </c>
      <c r="AC44" s="448">
        <v>742000</v>
      </c>
      <c r="AD44" s="422"/>
      <c r="AE44" s="422"/>
      <c r="AF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  <c r="AY44" s="456"/>
      <c r="AZ44" s="456"/>
      <c r="BA44" s="456"/>
      <c r="BB44" s="456"/>
      <c r="BC44" s="456"/>
      <c r="BD44" s="456"/>
      <c r="BE44" s="456"/>
      <c r="BF44" s="456"/>
    </row>
    <row r="45" spans="1:58" s="452" customFormat="1" ht="46.95" customHeight="1">
      <c r="A45" s="448">
        <f t="shared" si="20"/>
        <v>38</v>
      </c>
      <c r="B45" s="448">
        <v>1587</v>
      </c>
      <c r="C45" s="448" t="s">
        <v>89</v>
      </c>
      <c r="D45" s="449">
        <v>34200000</v>
      </c>
      <c r="E45" s="449">
        <v>34200000</v>
      </c>
      <c r="F45" s="449">
        <f t="shared" si="11"/>
        <v>0</v>
      </c>
      <c r="G45" s="449">
        <v>15110000</v>
      </c>
      <c r="H45" s="449">
        <v>10204546</v>
      </c>
      <c r="I45" s="449">
        <v>1002050</v>
      </c>
      <c r="J45" s="449">
        <v>2328138</v>
      </c>
      <c r="K45" s="449">
        <f t="shared" si="12"/>
        <v>3330188</v>
      </c>
      <c r="L45" s="449">
        <f t="shared" si="13"/>
        <v>13534734</v>
      </c>
      <c r="M45" s="449">
        <f>P45+S45-1500000</f>
        <v>75266</v>
      </c>
      <c r="N45" s="449">
        <f>4500000+8800000+1500000-7400000-4400000-500000</f>
        <v>2500000</v>
      </c>
      <c r="O45" s="449">
        <f t="shared" si="14"/>
        <v>18090000</v>
      </c>
      <c r="P45" s="449">
        <f t="shared" si="15"/>
        <v>1575266</v>
      </c>
      <c r="Q45" s="451"/>
      <c r="R45" s="449"/>
      <c r="S45" s="449">
        <f t="shared" si="16"/>
        <v>0</v>
      </c>
      <c r="T45" s="450">
        <f t="shared" si="17"/>
        <v>1500000</v>
      </c>
      <c r="U45" s="449">
        <f t="shared" si="18"/>
        <v>1000000</v>
      </c>
      <c r="V45" s="449">
        <f t="shared" si="19"/>
        <v>1000000</v>
      </c>
      <c r="W45" s="449"/>
      <c r="X45" s="449"/>
      <c r="Y45" s="449"/>
      <c r="Z45" s="449"/>
      <c r="AA45" s="448"/>
      <c r="AB45" s="448" t="s">
        <v>1337</v>
      </c>
      <c r="AC45" s="448">
        <v>742000</v>
      </c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56"/>
      <c r="AZ45" s="456"/>
      <c r="BA45" s="456"/>
      <c r="BB45" s="456"/>
      <c r="BC45" s="456"/>
      <c r="BD45" s="456"/>
      <c r="BE45" s="456"/>
      <c r="BF45" s="456"/>
    </row>
    <row r="46" spans="1:58" s="452" customFormat="1" ht="45" customHeight="1">
      <c r="A46" s="448">
        <f t="shared" si="20"/>
        <v>39</v>
      </c>
      <c r="B46" s="448">
        <v>1601</v>
      </c>
      <c r="C46" s="448" t="s">
        <v>35</v>
      </c>
      <c r="D46" s="449">
        <v>700000</v>
      </c>
      <c r="E46" s="449">
        <v>700000</v>
      </c>
      <c r="F46" s="449">
        <f t="shared" si="11"/>
        <v>0</v>
      </c>
      <c r="G46" s="449">
        <v>600000</v>
      </c>
      <c r="H46" s="449">
        <v>563211</v>
      </c>
      <c r="I46" s="449"/>
      <c r="J46" s="449"/>
      <c r="K46" s="449">
        <f t="shared" si="12"/>
        <v>0</v>
      </c>
      <c r="L46" s="449">
        <f t="shared" si="13"/>
        <v>563211</v>
      </c>
      <c r="M46" s="450">
        <f>P46+S46-30000</f>
        <v>6789</v>
      </c>
      <c r="N46" s="449">
        <v>50000</v>
      </c>
      <c r="O46" s="449">
        <f t="shared" si="14"/>
        <v>80000</v>
      </c>
      <c r="P46" s="449">
        <f t="shared" si="15"/>
        <v>36789</v>
      </c>
      <c r="Q46" s="451"/>
      <c r="R46" s="449"/>
      <c r="S46" s="449">
        <f t="shared" si="16"/>
        <v>0</v>
      </c>
      <c r="T46" s="450">
        <f t="shared" si="17"/>
        <v>30000</v>
      </c>
      <c r="U46" s="449">
        <f t="shared" si="18"/>
        <v>20000</v>
      </c>
      <c r="V46" s="449">
        <f t="shared" si="19"/>
        <v>20000</v>
      </c>
      <c r="W46" s="449"/>
      <c r="X46" s="449"/>
      <c r="Y46" s="449"/>
      <c r="Z46" s="449"/>
      <c r="AA46" s="448"/>
      <c r="AB46" s="448" t="s">
        <v>540</v>
      </c>
      <c r="AC46" s="448">
        <v>742000</v>
      </c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</row>
    <row r="47" spans="1:58" s="452" customFormat="1" ht="45" customHeight="1">
      <c r="A47" s="448">
        <f t="shared" si="20"/>
        <v>40</v>
      </c>
      <c r="B47" s="448">
        <v>1722</v>
      </c>
      <c r="C47" s="448" t="s">
        <v>36</v>
      </c>
      <c r="D47" s="449">
        <f>2400000-2239000-2000</f>
        <v>159000</v>
      </c>
      <c r="E47" s="449">
        <v>2400000</v>
      </c>
      <c r="F47" s="449">
        <f t="shared" si="11"/>
        <v>-2241000</v>
      </c>
      <c r="G47" s="449">
        <v>300000</v>
      </c>
      <c r="H47" s="449">
        <v>108736</v>
      </c>
      <c r="I47" s="449">
        <f>67053-67053</f>
        <v>0</v>
      </c>
      <c r="J47" s="449"/>
      <c r="K47" s="449">
        <f t="shared" si="12"/>
        <v>0</v>
      </c>
      <c r="L47" s="449">
        <f t="shared" si="13"/>
        <v>108736</v>
      </c>
      <c r="M47" s="450">
        <f>P47+S47-120000-69000-2000</f>
        <v>264</v>
      </c>
      <c r="N47" s="449">
        <f>120000-70000</f>
        <v>50000</v>
      </c>
      <c r="O47" s="449">
        <f t="shared" si="14"/>
        <v>0</v>
      </c>
      <c r="P47" s="449">
        <f t="shared" si="15"/>
        <v>191264</v>
      </c>
      <c r="Q47" s="451"/>
      <c r="R47" s="449"/>
      <c r="S47" s="449">
        <f t="shared" si="16"/>
        <v>0</v>
      </c>
      <c r="T47" s="450">
        <f t="shared" si="17"/>
        <v>191000</v>
      </c>
      <c r="U47" s="449">
        <f t="shared" si="18"/>
        <v>-141000</v>
      </c>
      <c r="V47" s="449">
        <f t="shared" si="19"/>
        <v>-141000</v>
      </c>
      <c r="W47" s="449"/>
      <c r="X47" s="449"/>
      <c r="Y47" s="449"/>
      <c r="Z47" s="449"/>
      <c r="AA47" s="448"/>
      <c r="AB47" s="448" t="s">
        <v>245</v>
      </c>
      <c r="AC47" s="448">
        <v>742000</v>
      </c>
      <c r="AD47" s="422"/>
      <c r="AE47" s="422"/>
      <c r="AF47" s="422"/>
      <c r="AG47" s="422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422"/>
      <c r="AX47" s="422"/>
    </row>
    <row r="48" spans="1:58" s="452" customFormat="1" ht="41.4" customHeight="1">
      <c r="A48" s="448">
        <f t="shared" si="20"/>
        <v>41</v>
      </c>
      <c r="B48" s="448">
        <v>1744</v>
      </c>
      <c r="C48" s="448" t="s">
        <v>37</v>
      </c>
      <c r="D48" s="449">
        <v>13000000</v>
      </c>
      <c r="E48" s="449">
        <v>13000000</v>
      </c>
      <c r="F48" s="449">
        <f t="shared" si="11"/>
        <v>0</v>
      </c>
      <c r="G48" s="449">
        <v>7200000</v>
      </c>
      <c r="H48" s="449">
        <v>6067198</v>
      </c>
      <c r="I48" s="449"/>
      <c r="J48" s="449">
        <v>674849</v>
      </c>
      <c r="K48" s="449">
        <f t="shared" si="12"/>
        <v>674849</v>
      </c>
      <c r="L48" s="449">
        <f t="shared" si="13"/>
        <v>6742047</v>
      </c>
      <c r="M48" s="450">
        <f>P48+S48-450000</f>
        <v>7953</v>
      </c>
      <c r="N48" s="449">
        <f>450000-250000</f>
        <v>200000</v>
      </c>
      <c r="O48" s="449">
        <f t="shared" si="14"/>
        <v>6050000</v>
      </c>
      <c r="P48" s="449">
        <f t="shared" si="15"/>
        <v>457953</v>
      </c>
      <c r="Q48" s="451"/>
      <c r="R48" s="449"/>
      <c r="S48" s="449">
        <f t="shared" si="16"/>
        <v>0</v>
      </c>
      <c r="T48" s="450">
        <f t="shared" si="17"/>
        <v>450000</v>
      </c>
      <c r="U48" s="449">
        <f t="shared" si="18"/>
        <v>-250000</v>
      </c>
      <c r="V48" s="449">
        <f t="shared" si="19"/>
        <v>-250000</v>
      </c>
      <c r="W48" s="449"/>
      <c r="X48" s="449"/>
      <c r="Y48" s="449"/>
      <c r="Z48" s="449"/>
      <c r="AA48" s="448"/>
      <c r="AB48" s="448" t="s">
        <v>787</v>
      </c>
      <c r="AC48" s="448">
        <v>742000</v>
      </c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  <c r="AY48" s="456"/>
      <c r="AZ48" s="456"/>
      <c r="BA48" s="456"/>
      <c r="BB48" s="456"/>
      <c r="BC48" s="456"/>
      <c r="BD48" s="456"/>
      <c r="BE48" s="456"/>
      <c r="BF48" s="456"/>
    </row>
    <row r="49" spans="1:58" s="452" customFormat="1" ht="50.4" customHeight="1">
      <c r="A49" s="448">
        <f t="shared" si="20"/>
        <v>42</v>
      </c>
      <c r="B49" s="455">
        <v>2105</v>
      </c>
      <c r="C49" s="448" t="s">
        <v>321</v>
      </c>
      <c r="D49" s="449">
        <v>60000000</v>
      </c>
      <c r="E49" s="449">
        <v>60000000</v>
      </c>
      <c r="F49" s="449">
        <f t="shared" si="11"/>
        <v>0</v>
      </c>
      <c r="G49" s="449">
        <v>400000</v>
      </c>
      <c r="H49" s="449">
        <v>49428</v>
      </c>
      <c r="I49" s="449"/>
      <c r="J49" s="449">
        <v>217768</v>
      </c>
      <c r="K49" s="449">
        <f t="shared" si="12"/>
        <v>217768</v>
      </c>
      <c r="L49" s="449">
        <f t="shared" si="13"/>
        <v>267196</v>
      </c>
      <c r="M49" s="450">
        <f>P49+S49-100000-140000+108000</f>
        <v>804</v>
      </c>
      <c r="N49" s="449">
        <f>5000000-1500000+200000-2600000-1100000</f>
        <v>0</v>
      </c>
      <c r="O49" s="449">
        <f t="shared" si="14"/>
        <v>59732000</v>
      </c>
      <c r="P49" s="449">
        <f t="shared" si="15"/>
        <v>132804</v>
      </c>
      <c r="Q49" s="451"/>
      <c r="R49" s="449"/>
      <c r="S49" s="449">
        <f t="shared" si="16"/>
        <v>0</v>
      </c>
      <c r="T49" s="450">
        <f t="shared" si="17"/>
        <v>132000</v>
      </c>
      <c r="U49" s="449">
        <f t="shared" si="18"/>
        <v>-132000</v>
      </c>
      <c r="V49" s="449">
        <f t="shared" si="19"/>
        <v>-132000</v>
      </c>
      <c r="W49" s="449"/>
      <c r="X49" s="449"/>
      <c r="Y49" s="449"/>
      <c r="Z49" s="449"/>
      <c r="AA49" s="448"/>
      <c r="AB49" s="455" t="s">
        <v>1405</v>
      </c>
      <c r="AC49" s="448">
        <v>742000</v>
      </c>
      <c r="AD49" s="422"/>
      <c r="AE49" s="422"/>
      <c r="AF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  <c r="AY49" s="456"/>
      <c r="AZ49" s="456"/>
      <c r="BA49" s="456"/>
      <c r="BB49" s="456"/>
      <c r="BC49" s="456"/>
      <c r="BD49" s="456"/>
      <c r="BE49" s="456"/>
      <c r="BF49" s="456"/>
    </row>
    <row r="50" spans="1:58" s="452" customFormat="1" ht="50.4" customHeight="1">
      <c r="A50" s="448">
        <f t="shared" si="20"/>
        <v>43</v>
      </c>
      <c r="B50" s="455">
        <v>2121</v>
      </c>
      <c r="C50" s="448" t="s">
        <v>322</v>
      </c>
      <c r="D50" s="449">
        <v>1290000</v>
      </c>
      <c r="E50" s="449">
        <v>1290000</v>
      </c>
      <c r="F50" s="449">
        <f t="shared" si="11"/>
        <v>0</v>
      </c>
      <c r="G50" s="449">
        <v>1100000</v>
      </c>
      <c r="H50" s="449">
        <v>158135</v>
      </c>
      <c r="I50" s="449"/>
      <c r="J50" s="449">
        <v>147859</v>
      </c>
      <c r="K50" s="449">
        <f t="shared" si="12"/>
        <v>147859</v>
      </c>
      <c r="L50" s="449">
        <f t="shared" si="13"/>
        <v>305994</v>
      </c>
      <c r="M50" s="450">
        <f>P50+S50-790000</f>
        <v>4006</v>
      </c>
      <c r="N50" s="449">
        <f>790000+190000-100000</f>
        <v>880000</v>
      </c>
      <c r="O50" s="449">
        <f t="shared" si="14"/>
        <v>100000</v>
      </c>
      <c r="P50" s="449">
        <f t="shared" si="15"/>
        <v>794006</v>
      </c>
      <c r="Q50" s="451"/>
      <c r="R50" s="449"/>
      <c r="S50" s="449">
        <f t="shared" si="16"/>
        <v>0</v>
      </c>
      <c r="T50" s="450">
        <f t="shared" si="17"/>
        <v>790000</v>
      </c>
      <c r="U50" s="449">
        <f t="shared" si="18"/>
        <v>90000</v>
      </c>
      <c r="V50" s="449">
        <f t="shared" si="19"/>
        <v>90000</v>
      </c>
      <c r="W50" s="449"/>
      <c r="X50" s="449"/>
      <c r="Y50" s="449"/>
      <c r="Z50" s="449"/>
      <c r="AA50" s="450"/>
      <c r="AB50" s="448" t="s">
        <v>1414</v>
      </c>
      <c r="AC50" s="448">
        <v>742000</v>
      </c>
      <c r="AD50" s="422"/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</row>
    <row r="51" spans="1:58" s="452" customFormat="1" ht="31.2" customHeight="1">
      <c r="A51" s="448">
        <f t="shared" si="20"/>
        <v>44</v>
      </c>
      <c r="B51" s="448">
        <v>2142</v>
      </c>
      <c r="C51" s="448" t="s">
        <v>405</v>
      </c>
      <c r="D51" s="449">
        <f>2250000-269000</f>
        <v>1981000</v>
      </c>
      <c r="E51" s="449">
        <v>2250000</v>
      </c>
      <c r="F51" s="449">
        <f t="shared" si="11"/>
        <v>-269000</v>
      </c>
      <c r="G51" s="449">
        <v>2250000</v>
      </c>
      <c r="H51" s="449">
        <v>1975860</v>
      </c>
      <c r="I51" s="449"/>
      <c r="J51" s="449">
        <v>1475</v>
      </c>
      <c r="K51" s="449">
        <f t="shared" si="12"/>
        <v>1475</v>
      </c>
      <c r="L51" s="449">
        <f t="shared" si="13"/>
        <v>1977335</v>
      </c>
      <c r="M51" s="450">
        <f>P51+S51-265000-4000</f>
        <v>3665</v>
      </c>
      <c r="N51" s="449"/>
      <c r="O51" s="449">
        <f t="shared" si="14"/>
        <v>0</v>
      </c>
      <c r="P51" s="449">
        <f t="shared" si="15"/>
        <v>272665</v>
      </c>
      <c r="Q51" s="451"/>
      <c r="R51" s="449"/>
      <c r="S51" s="449">
        <f t="shared" si="16"/>
        <v>0</v>
      </c>
      <c r="T51" s="450">
        <f t="shared" si="17"/>
        <v>269000</v>
      </c>
      <c r="U51" s="449">
        <f t="shared" si="18"/>
        <v>-269000</v>
      </c>
      <c r="V51" s="449">
        <f t="shared" si="19"/>
        <v>-269000</v>
      </c>
      <c r="W51" s="449"/>
      <c r="X51" s="449"/>
      <c r="Y51" s="449"/>
      <c r="Z51" s="449"/>
      <c r="AA51" s="448"/>
      <c r="AB51" s="448" t="s">
        <v>1338</v>
      </c>
      <c r="AC51" s="448">
        <v>742000</v>
      </c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</row>
    <row r="52" spans="1:58" s="452" customFormat="1" ht="40.200000000000003" customHeight="1">
      <c r="A52" s="448">
        <f t="shared" si="20"/>
        <v>45</v>
      </c>
      <c r="B52" s="455">
        <v>2190</v>
      </c>
      <c r="C52" s="448" t="s">
        <v>489</v>
      </c>
      <c r="D52" s="449">
        <f>250000-207382</f>
        <v>42618</v>
      </c>
      <c r="E52" s="449">
        <v>250000</v>
      </c>
      <c r="F52" s="449">
        <f t="shared" si="11"/>
        <v>-207382</v>
      </c>
      <c r="G52" s="449">
        <v>250000</v>
      </c>
      <c r="H52" s="449">
        <v>42618</v>
      </c>
      <c r="I52" s="449"/>
      <c r="J52" s="449"/>
      <c r="K52" s="449">
        <f t="shared" si="12"/>
        <v>0</v>
      </c>
      <c r="L52" s="449">
        <f t="shared" si="13"/>
        <v>42618</v>
      </c>
      <c r="M52" s="450">
        <f>P52+S52-207382</f>
        <v>0</v>
      </c>
      <c r="N52" s="449"/>
      <c r="O52" s="449">
        <f t="shared" si="14"/>
        <v>0</v>
      </c>
      <c r="P52" s="449">
        <f t="shared" si="15"/>
        <v>207382</v>
      </c>
      <c r="Q52" s="451"/>
      <c r="R52" s="449"/>
      <c r="S52" s="449">
        <f t="shared" si="16"/>
        <v>0</v>
      </c>
      <c r="T52" s="450">
        <f t="shared" si="17"/>
        <v>207382</v>
      </c>
      <c r="U52" s="449">
        <f t="shared" si="18"/>
        <v>-207382</v>
      </c>
      <c r="V52" s="449">
        <f t="shared" si="19"/>
        <v>-62215</v>
      </c>
      <c r="W52" s="449"/>
      <c r="X52" s="449"/>
      <c r="Y52" s="449"/>
      <c r="Z52" s="449"/>
      <c r="AA52" s="449">
        <v>-145167</v>
      </c>
      <c r="AB52" s="448" t="s">
        <v>1423</v>
      </c>
      <c r="AC52" s="448">
        <v>742000</v>
      </c>
      <c r="AD52" s="422"/>
      <c r="AE52" s="422"/>
      <c r="AF52" s="422"/>
      <c r="AG52" s="422"/>
      <c r="AH52" s="422"/>
      <c r="AI52" s="422"/>
      <c r="AJ52" s="422"/>
      <c r="AK52" s="422"/>
      <c r="AL52" s="422"/>
      <c r="AM52" s="422"/>
      <c r="AN52" s="422"/>
      <c r="AO52" s="422"/>
      <c r="AP52" s="422"/>
      <c r="AQ52" s="422"/>
      <c r="AR52" s="422"/>
      <c r="AS52" s="422"/>
      <c r="AT52" s="422"/>
      <c r="AU52" s="422"/>
      <c r="AV52" s="422"/>
      <c r="AW52" s="422"/>
      <c r="AX52" s="422"/>
    </row>
    <row r="53" spans="1:58" s="452" customFormat="1" ht="58.95" customHeight="1">
      <c r="A53" s="448">
        <f t="shared" si="20"/>
        <v>46</v>
      </c>
      <c r="B53" s="455">
        <v>2192</v>
      </c>
      <c r="C53" s="448" t="s">
        <v>492</v>
      </c>
      <c r="D53" s="449">
        <v>20400000</v>
      </c>
      <c r="E53" s="449">
        <v>20400000</v>
      </c>
      <c r="F53" s="449">
        <f t="shared" si="11"/>
        <v>0</v>
      </c>
      <c r="G53" s="449">
        <v>100000</v>
      </c>
      <c r="H53" s="449"/>
      <c r="I53" s="449"/>
      <c r="J53" s="449"/>
      <c r="K53" s="449">
        <f t="shared" si="12"/>
        <v>0</v>
      </c>
      <c r="L53" s="449">
        <f t="shared" si="13"/>
        <v>0</v>
      </c>
      <c r="M53" s="449">
        <f>P53+S53-100000</f>
        <v>0</v>
      </c>
      <c r="N53" s="449">
        <f>100000-50000</f>
        <v>50000</v>
      </c>
      <c r="O53" s="449">
        <f t="shared" si="14"/>
        <v>20350000</v>
      </c>
      <c r="P53" s="449">
        <f t="shared" si="15"/>
        <v>100000</v>
      </c>
      <c r="Q53" s="451"/>
      <c r="R53" s="449"/>
      <c r="S53" s="449">
        <f t="shared" si="16"/>
        <v>0</v>
      </c>
      <c r="T53" s="450">
        <f t="shared" si="17"/>
        <v>100000</v>
      </c>
      <c r="U53" s="449">
        <f t="shared" si="18"/>
        <v>-50000</v>
      </c>
      <c r="V53" s="449">
        <f t="shared" si="19"/>
        <v>-50000</v>
      </c>
      <c r="W53" s="449"/>
      <c r="X53" s="449"/>
      <c r="Y53" s="449"/>
      <c r="Z53" s="449"/>
      <c r="AA53" s="448"/>
      <c r="AB53" s="448" t="s">
        <v>506</v>
      </c>
      <c r="AC53" s="448">
        <v>742000</v>
      </c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</row>
    <row r="54" spans="1:58" s="452" customFormat="1" ht="54.6" customHeight="1">
      <c r="A54" s="448">
        <f t="shared" si="20"/>
        <v>47</v>
      </c>
      <c r="B54" s="455">
        <v>2193</v>
      </c>
      <c r="C54" s="448" t="s">
        <v>493</v>
      </c>
      <c r="D54" s="449">
        <v>500000</v>
      </c>
      <c r="E54" s="449">
        <v>500000</v>
      </c>
      <c r="F54" s="449">
        <f t="shared" si="11"/>
        <v>0</v>
      </c>
      <c r="G54" s="449">
        <v>200000</v>
      </c>
      <c r="H54" s="449">
        <v>10489</v>
      </c>
      <c r="I54" s="449"/>
      <c r="J54" s="449">
        <v>75007</v>
      </c>
      <c r="K54" s="449">
        <f t="shared" si="12"/>
        <v>75007</v>
      </c>
      <c r="L54" s="449">
        <f t="shared" si="13"/>
        <v>85496</v>
      </c>
      <c r="M54" s="450">
        <f>P54+S54-100000</f>
        <v>14504</v>
      </c>
      <c r="N54" s="449">
        <f>200000+100000-100000-50000</f>
        <v>150000</v>
      </c>
      <c r="O54" s="449">
        <f t="shared" si="14"/>
        <v>250000</v>
      </c>
      <c r="P54" s="449">
        <f t="shared" si="15"/>
        <v>114504</v>
      </c>
      <c r="Q54" s="451"/>
      <c r="R54" s="449"/>
      <c r="S54" s="449">
        <f t="shared" si="16"/>
        <v>0</v>
      </c>
      <c r="T54" s="450">
        <f t="shared" si="17"/>
        <v>100000</v>
      </c>
      <c r="U54" s="449">
        <f t="shared" si="18"/>
        <v>50000</v>
      </c>
      <c r="V54" s="449">
        <f t="shared" si="19"/>
        <v>50000</v>
      </c>
      <c r="W54" s="449"/>
      <c r="X54" s="449"/>
      <c r="Y54" s="449"/>
      <c r="Z54" s="449"/>
      <c r="AA54" s="448"/>
      <c r="AB54" s="448" t="s">
        <v>1424</v>
      </c>
      <c r="AC54" s="448">
        <v>742000</v>
      </c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2"/>
      <c r="AR54" s="422"/>
      <c r="AS54" s="422"/>
      <c r="AT54" s="422"/>
      <c r="AU54" s="422"/>
      <c r="AV54" s="422"/>
      <c r="AW54" s="422"/>
      <c r="AX54" s="422"/>
    </row>
    <row r="55" spans="1:58" s="452" customFormat="1" ht="45" customHeight="1">
      <c r="A55" s="448">
        <f t="shared" si="20"/>
        <v>48</v>
      </c>
      <c r="B55" s="455">
        <v>20001</v>
      </c>
      <c r="C55" s="448" t="s">
        <v>653</v>
      </c>
      <c r="D55" s="449">
        <v>3200000</v>
      </c>
      <c r="E55" s="449">
        <v>3200000</v>
      </c>
      <c r="F55" s="449">
        <f t="shared" si="11"/>
        <v>0</v>
      </c>
      <c r="G55" s="449">
        <v>150000</v>
      </c>
      <c r="H55" s="449">
        <v>7728</v>
      </c>
      <c r="I55" s="449"/>
      <c r="J55" s="449">
        <v>101040</v>
      </c>
      <c r="K55" s="449">
        <f t="shared" si="12"/>
        <v>101040</v>
      </c>
      <c r="L55" s="449">
        <f t="shared" si="13"/>
        <v>108768</v>
      </c>
      <c r="M55" s="450">
        <f>P55+S55</f>
        <v>41232</v>
      </c>
      <c r="N55" s="449">
        <f>3050000-3050000</f>
        <v>0</v>
      </c>
      <c r="O55" s="449">
        <f t="shared" si="14"/>
        <v>3050000</v>
      </c>
      <c r="P55" s="449">
        <f t="shared" si="15"/>
        <v>41232</v>
      </c>
      <c r="Q55" s="451"/>
      <c r="R55" s="449"/>
      <c r="S55" s="449">
        <f t="shared" si="16"/>
        <v>0</v>
      </c>
      <c r="T55" s="450">
        <f t="shared" si="17"/>
        <v>0</v>
      </c>
      <c r="U55" s="449">
        <f t="shared" si="18"/>
        <v>0</v>
      </c>
      <c r="V55" s="449">
        <f t="shared" si="19"/>
        <v>0</v>
      </c>
      <c r="W55" s="449"/>
      <c r="X55" s="449"/>
      <c r="Y55" s="449"/>
      <c r="Z55" s="449"/>
      <c r="AA55" s="448"/>
      <c r="AB55" s="448" t="s">
        <v>971</v>
      </c>
      <c r="AC55" s="448">
        <v>742000</v>
      </c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</row>
    <row r="56" spans="1:58" s="452" customFormat="1" ht="45" customHeight="1">
      <c r="A56" s="448">
        <f t="shared" si="20"/>
        <v>49</v>
      </c>
      <c r="B56" s="455">
        <v>20002</v>
      </c>
      <c r="C56" s="448" t="s">
        <v>588</v>
      </c>
      <c r="D56" s="449">
        <v>5800000</v>
      </c>
      <c r="E56" s="449">
        <v>5800000</v>
      </c>
      <c r="F56" s="449">
        <f t="shared" si="11"/>
        <v>0</v>
      </c>
      <c r="G56" s="449">
        <f>500000+2500000</f>
        <v>3000000</v>
      </c>
      <c r="H56" s="449">
        <v>2653536</v>
      </c>
      <c r="I56" s="449"/>
      <c r="J56" s="449">
        <f>341657-46800</f>
        <v>294857</v>
      </c>
      <c r="K56" s="449">
        <f t="shared" si="12"/>
        <v>294857</v>
      </c>
      <c r="L56" s="449">
        <f t="shared" si="13"/>
        <v>2948393</v>
      </c>
      <c r="M56" s="450">
        <f>P56+S56-50000</f>
        <v>1607</v>
      </c>
      <c r="N56" s="449">
        <f>5000000-2200000-800000</f>
        <v>2000000</v>
      </c>
      <c r="O56" s="449">
        <f t="shared" si="14"/>
        <v>850000</v>
      </c>
      <c r="P56" s="449">
        <f t="shared" si="15"/>
        <v>51607</v>
      </c>
      <c r="Q56" s="451"/>
      <c r="R56" s="449"/>
      <c r="S56" s="449">
        <f t="shared" si="16"/>
        <v>0</v>
      </c>
      <c r="T56" s="450">
        <f t="shared" si="17"/>
        <v>50000</v>
      </c>
      <c r="U56" s="449">
        <f t="shared" si="18"/>
        <v>1950000</v>
      </c>
      <c r="V56" s="449">
        <f t="shared" si="19"/>
        <v>1950000</v>
      </c>
      <c r="W56" s="449"/>
      <c r="X56" s="449"/>
      <c r="Y56" s="449"/>
      <c r="Z56" s="449"/>
      <c r="AA56" s="448"/>
      <c r="AB56" s="448" t="s">
        <v>654</v>
      </c>
      <c r="AC56" s="448">
        <v>742000</v>
      </c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2"/>
      <c r="AO56" s="422"/>
      <c r="AP56" s="422"/>
      <c r="AQ56" s="422"/>
      <c r="AR56" s="422"/>
      <c r="AS56" s="422"/>
      <c r="AT56" s="422"/>
      <c r="AU56" s="422"/>
      <c r="AV56" s="422"/>
      <c r="AW56" s="422"/>
      <c r="AX56" s="422"/>
    </row>
    <row r="57" spans="1:58" s="452" customFormat="1" ht="27.6">
      <c r="A57" s="448">
        <f t="shared" si="20"/>
        <v>50</v>
      </c>
      <c r="B57" s="455">
        <v>20056</v>
      </c>
      <c r="C57" s="448" t="s">
        <v>727</v>
      </c>
      <c r="D57" s="449">
        <v>1500000</v>
      </c>
      <c r="E57" s="449">
        <v>1500000</v>
      </c>
      <c r="F57" s="449">
        <f t="shared" si="11"/>
        <v>0</v>
      </c>
      <c r="G57" s="449">
        <v>140000</v>
      </c>
      <c r="H57" s="449">
        <v>2749</v>
      </c>
      <c r="I57" s="449"/>
      <c r="J57" s="449">
        <v>81811</v>
      </c>
      <c r="K57" s="449">
        <f t="shared" si="12"/>
        <v>81811</v>
      </c>
      <c r="L57" s="449">
        <f t="shared" si="13"/>
        <v>84560</v>
      </c>
      <c r="M57" s="450">
        <f>P57+S57-55000</f>
        <v>440</v>
      </c>
      <c r="N57" s="449">
        <f>100000+10000+55000</f>
        <v>165000</v>
      </c>
      <c r="O57" s="449">
        <f t="shared" si="14"/>
        <v>1250000</v>
      </c>
      <c r="P57" s="449">
        <f t="shared" si="15"/>
        <v>55440</v>
      </c>
      <c r="Q57" s="451"/>
      <c r="R57" s="449"/>
      <c r="S57" s="449">
        <f t="shared" si="16"/>
        <v>0</v>
      </c>
      <c r="T57" s="450">
        <f t="shared" si="17"/>
        <v>55000</v>
      </c>
      <c r="U57" s="449">
        <f t="shared" si="18"/>
        <v>110000</v>
      </c>
      <c r="V57" s="449">
        <f t="shared" si="19"/>
        <v>-65000</v>
      </c>
      <c r="W57" s="449"/>
      <c r="X57" s="449"/>
      <c r="Y57" s="449"/>
      <c r="Z57" s="449"/>
      <c r="AA57" s="449">
        <v>175000</v>
      </c>
      <c r="AB57" s="448" t="s">
        <v>1415</v>
      </c>
      <c r="AC57" s="448">
        <v>742000</v>
      </c>
      <c r="AD57" s="422"/>
      <c r="AE57" s="422"/>
      <c r="AF57" s="422"/>
      <c r="AG57" s="422"/>
      <c r="AH57" s="422"/>
      <c r="AI57" s="422"/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</row>
    <row r="58" spans="1:58" s="452" customFormat="1" ht="58.2" customHeight="1">
      <c r="A58" s="448">
        <f t="shared" si="20"/>
        <v>51</v>
      </c>
      <c r="B58" s="455">
        <v>20059</v>
      </c>
      <c r="C58" s="448" t="s">
        <v>730</v>
      </c>
      <c r="D58" s="449">
        <v>530000</v>
      </c>
      <c r="E58" s="449">
        <v>530000</v>
      </c>
      <c r="F58" s="449">
        <f t="shared" si="11"/>
        <v>0</v>
      </c>
      <c r="G58" s="449">
        <v>0</v>
      </c>
      <c r="H58" s="449"/>
      <c r="I58" s="449"/>
      <c r="J58" s="449"/>
      <c r="K58" s="449">
        <f t="shared" si="12"/>
        <v>0</v>
      </c>
      <c r="L58" s="449">
        <f t="shared" si="13"/>
        <v>0</v>
      </c>
      <c r="M58" s="450">
        <f>P58+S58</f>
        <v>0</v>
      </c>
      <c r="N58" s="449"/>
      <c r="O58" s="449">
        <f t="shared" si="14"/>
        <v>530000</v>
      </c>
      <c r="P58" s="449">
        <f t="shared" si="15"/>
        <v>0</v>
      </c>
      <c r="Q58" s="451"/>
      <c r="R58" s="449"/>
      <c r="S58" s="449">
        <f t="shared" si="16"/>
        <v>0</v>
      </c>
      <c r="T58" s="450">
        <f t="shared" si="17"/>
        <v>0</v>
      </c>
      <c r="U58" s="449">
        <f t="shared" si="18"/>
        <v>0</v>
      </c>
      <c r="V58" s="449">
        <f t="shared" si="19"/>
        <v>0</v>
      </c>
      <c r="W58" s="449"/>
      <c r="X58" s="449"/>
      <c r="Y58" s="449"/>
      <c r="Z58" s="449"/>
      <c r="AA58" s="448"/>
      <c r="AB58" s="448" t="s">
        <v>731</v>
      </c>
      <c r="AC58" s="448">
        <v>742000</v>
      </c>
      <c r="AD58" s="422"/>
      <c r="AE58" s="422"/>
      <c r="AF58" s="422"/>
      <c r="AG58" s="422"/>
      <c r="AH58" s="422"/>
      <c r="AI58" s="422"/>
      <c r="AJ58" s="422"/>
      <c r="AK58" s="422"/>
      <c r="AL58" s="422"/>
      <c r="AM58" s="422"/>
      <c r="AN58" s="422"/>
      <c r="AO58" s="422"/>
      <c r="AP58" s="422"/>
      <c r="AQ58" s="422"/>
      <c r="AR58" s="422"/>
      <c r="AS58" s="422"/>
      <c r="AT58" s="422"/>
      <c r="AU58" s="422"/>
      <c r="AV58" s="422"/>
      <c r="AW58" s="422"/>
      <c r="AX58" s="422"/>
    </row>
    <row r="59" spans="1:58" s="452" customFormat="1" ht="45" customHeight="1">
      <c r="A59" s="448">
        <f t="shared" si="20"/>
        <v>52</v>
      </c>
      <c r="B59" s="455">
        <v>20105</v>
      </c>
      <c r="C59" s="469" t="s">
        <v>972</v>
      </c>
      <c r="D59" s="419">
        <f>3510901-10901</f>
        <v>3500000</v>
      </c>
      <c r="E59" s="120"/>
      <c r="F59" s="120">
        <f t="shared" si="11"/>
        <v>3500000</v>
      </c>
      <c r="G59" s="120">
        <v>0</v>
      </c>
      <c r="H59" s="120"/>
      <c r="I59" s="120"/>
      <c r="J59" s="120"/>
      <c r="K59" s="120">
        <f>I59+J59</f>
        <v>0</v>
      </c>
      <c r="L59" s="120">
        <f t="shared" si="13"/>
        <v>0</v>
      </c>
      <c r="M59" s="273">
        <f>P59+S59</f>
        <v>0</v>
      </c>
      <c r="N59" s="120">
        <f>350000-150000</f>
        <v>200000</v>
      </c>
      <c r="O59" s="120">
        <f t="shared" si="14"/>
        <v>3300000</v>
      </c>
      <c r="P59" s="120">
        <f t="shared" si="15"/>
        <v>0</v>
      </c>
      <c r="Q59" s="120"/>
      <c r="R59" s="120"/>
      <c r="S59" s="120">
        <f t="shared" si="16"/>
        <v>0</v>
      </c>
      <c r="T59" s="273">
        <f t="shared" si="17"/>
        <v>0</v>
      </c>
      <c r="U59" s="120">
        <f t="shared" si="18"/>
        <v>200000</v>
      </c>
      <c r="V59" s="120">
        <f>U59-W59-Z59-AA59</f>
        <v>200000</v>
      </c>
      <c r="W59" s="120"/>
      <c r="X59" s="120"/>
      <c r="Y59" s="120"/>
      <c r="Z59" s="120"/>
      <c r="AA59" s="120"/>
      <c r="AB59" s="448" t="s">
        <v>1416</v>
      </c>
      <c r="AC59" s="448">
        <v>742000</v>
      </c>
      <c r="AD59" s="422"/>
      <c r="AE59" s="422"/>
      <c r="AF59" s="422"/>
      <c r="AG59" s="422"/>
      <c r="AH59" s="422"/>
      <c r="AI59" s="422"/>
      <c r="AJ59" s="422"/>
      <c r="AK59" s="422"/>
      <c r="AL59" s="422"/>
      <c r="AM59" s="422"/>
      <c r="AN59" s="422"/>
      <c r="AO59" s="422"/>
      <c r="AP59" s="465"/>
      <c r="AQ59" s="465"/>
      <c r="AR59" s="465"/>
      <c r="AS59" s="465"/>
      <c r="AT59" s="465"/>
      <c r="AU59" s="465"/>
      <c r="AV59" s="465"/>
      <c r="AW59" s="465"/>
      <c r="AX59" s="272"/>
      <c r="AY59" s="272"/>
      <c r="AZ59" s="272"/>
      <c r="BA59" s="272"/>
      <c r="BB59" s="272"/>
      <c r="BC59" s="272"/>
      <c r="BD59" s="272"/>
      <c r="BE59" s="272"/>
      <c r="BF59" s="272"/>
    </row>
    <row r="60" spans="1:58" s="452" customFormat="1" ht="45" customHeight="1">
      <c r="A60" s="448">
        <f t="shared" si="20"/>
        <v>53</v>
      </c>
      <c r="B60" s="455">
        <v>20106</v>
      </c>
      <c r="C60" s="469" t="s">
        <v>973</v>
      </c>
      <c r="D60" s="419">
        <f>6917471-17471</f>
        <v>6900000</v>
      </c>
      <c r="E60" s="120"/>
      <c r="F60" s="120">
        <f t="shared" si="11"/>
        <v>6900000</v>
      </c>
      <c r="G60" s="120">
        <v>0</v>
      </c>
      <c r="H60" s="120"/>
      <c r="I60" s="120"/>
      <c r="J60" s="120"/>
      <c r="K60" s="120">
        <f>I60+J60</f>
        <v>0</v>
      </c>
      <c r="L60" s="120">
        <f t="shared" si="13"/>
        <v>0</v>
      </c>
      <c r="M60" s="273">
        <f>P60+S60</f>
        <v>0</v>
      </c>
      <c r="N60" s="120">
        <f>600000-300000</f>
        <v>300000</v>
      </c>
      <c r="O60" s="120">
        <f t="shared" si="14"/>
        <v>6600000</v>
      </c>
      <c r="P60" s="120">
        <f t="shared" si="15"/>
        <v>0</v>
      </c>
      <c r="Q60" s="120"/>
      <c r="R60" s="120"/>
      <c r="S60" s="120">
        <f t="shared" si="16"/>
        <v>0</v>
      </c>
      <c r="T60" s="273">
        <f t="shared" si="17"/>
        <v>0</v>
      </c>
      <c r="U60" s="120">
        <f t="shared" si="18"/>
        <v>300000</v>
      </c>
      <c r="V60" s="120">
        <f>U60-W60-Z60-AA60</f>
        <v>300000</v>
      </c>
      <c r="W60" s="120"/>
      <c r="X60" s="120"/>
      <c r="Y60" s="120"/>
      <c r="Z60" s="120"/>
      <c r="AA60" s="120"/>
      <c r="AB60" s="448" t="s">
        <v>1417</v>
      </c>
      <c r="AC60" s="448">
        <v>742000</v>
      </c>
      <c r="AD60" s="422"/>
      <c r="AE60" s="422"/>
      <c r="AF60" s="422"/>
      <c r="AG60" s="422"/>
      <c r="AH60" s="422"/>
      <c r="AI60" s="422"/>
      <c r="AJ60" s="422"/>
      <c r="AK60" s="422"/>
      <c r="AL60" s="422"/>
      <c r="AM60" s="422"/>
      <c r="AN60" s="422"/>
      <c r="AO60" s="422"/>
      <c r="AP60" s="465"/>
      <c r="AQ60" s="465"/>
      <c r="AR60" s="465"/>
      <c r="AS60" s="465"/>
      <c r="AT60" s="465"/>
      <c r="AU60" s="465"/>
      <c r="AV60" s="465"/>
      <c r="AW60" s="465"/>
      <c r="AX60" s="272"/>
      <c r="AY60" s="272"/>
      <c r="AZ60" s="272"/>
      <c r="BA60" s="272"/>
      <c r="BB60" s="272"/>
      <c r="BC60" s="272"/>
      <c r="BD60" s="272"/>
      <c r="BE60" s="272"/>
      <c r="BF60" s="272"/>
    </row>
    <row r="61" spans="1:58" s="452" customFormat="1" ht="42" customHeight="1">
      <c r="A61" s="448">
        <f t="shared" si="20"/>
        <v>54</v>
      </c>
      <c r="B61" s="455">
        <v>20107</v>
      </c>
      <c r="C61" s="135" t="s">
        <v>974</v>
      </c>
      <c r="D61" s="120">
        <f>4425349-25349</f>
        <v>4400000</v>
      </c>
      <c r="E61" s="120"/>
      <c r="F61" s="120">
        <f t="shared" si="11"/>
        <v>4400000</v>
      </c>
      <c r="G61" s="120">
        <v>0</v>
      </c>
      <c r="H61" s="120"/>
      <c r="I61" s="120"/>
      <c r="J61" s="120"/>
      <c r="K61" s="120">
        <f>I61+J61</f>
        <v>0</v>
      </c>
      <c r="L61" s="120">
        <f t="shared" si="13"/>
        <v>0</v>
      </c>
      <c r="M61" s="273">
        <f>P61+S61</f>
        <v>0</v>
      </c>
      <c r="N61" s="120">
        <f>440000-140000</f>
        <v>300000</v>
      </c>
      <c r="O61" s="120">
        <f t="shared" si="14"/>
        <v>4100000</v>
      </c>
      <c r="P61" s="120">
        <f t="shared" si="15"/>
        <v>0</v>
      </c>
      <c r="Q61" s="120"/>
      <c r="R61" s="120"/>
      <c r="S61" s="120">
        <f t="shared" si="16"/>
        <v>0</v>
      </c>
      <c r="T61" s="273">
        <f t="shared" si="17"/>
        <v>0</v>
      </c>
      <c r="U61" s="120">
        <f t="shared" si="18"/>
        <v>300000</v>
      </c>
      <c r="V61" s="120">
        <f>U61-W61-Z61-AA61</f>
        <v>300000</v>
      </c>
      <c r="W61" s="120"/>
      <c r="X61" s="120"/>
      <c r="Y61" s="120"/>
      <c r="Z61" s="120"/>
      <c r="AA61" s="120"/>
      <c r="AB61" s="448" t="s">
        <v>1361</v>
      </c>
      <c r="AC61" s="448">
        <v>742000</v>
      </c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65"/>
      <c r="AQ61" s="465"/>
      <c r="AR61" s="465"/>
      <c r="AS61" s="465"/>
      <c r="AT61" s="465"/>
      <c r="AU61" s="465"/>
      <c r="AV61" s="465"/>
      <c r="AW61" s="465"/>
      <c r="AX61" s="272"/>
      <c r="AY61" s="272"/>
      <c r="AZ61" s="272"/>
      <c r="BA61" s="272"/>
      <c r="BB61" s="272"/>
      <c r="BC61" s="272"/>
      <c r="BD61" s="272"/>
      <c r="BE61" s="272"/>
      <c r="BF61" s="272"/>
    </row>
    <row r="62" spans="1:58" s="452" customFormat="1" ht="38.4" customHeight="1">
      <c r="A62" s="448">
        <f t="shared" si="20"/>
        <v>55</v>
      </c>
      <c r="B62" s="448">
        <v>608</v>
      </c>
      <c r="C62" s="448" t="s">
        <v>29</v>
      </c>
      <c r="D62" s="449">
        <f>8300000+4700000-4350000-140000</f>
        <v>8510000</v>
      </c>
      <c r="E62" s="449">
        <v>8300000</v>
      </c>
      <c r="F62" s="449">
        <f t="shared" si="11"/>
        <v>210000</v>
      </c>
      <c r="G62" s="449">
        <v>7650000</v>
      </c>
      <c r="H62" s="449">
        <v>7352657</v>
      </c>
      <c r="I62" s="449"/>
      <c r="J62" s="449">
        <f>287586-31449-117000-18720-2340-56137</f>
        <v>61940</v>
      </c>
      <c r="K62" s="449">
        <f>SUM(I62:J62)</f>
        <v>61940</v>
      </c>
      <c r="L62" s="449">
        <f t="shared" si="13"/>
        <v>7414597</v>
      </c>
      <c r="M62" s="450">
        <f>P62+S62-150000-140000+55000</f>
        <v>403</v>
      </c>
      <c r="N62" s="449">
        <f>1000000+150000-300000</f>
        <v>850000</v>
      </c>
      <c r="O62" s="449">
        <f t="shared" si="14"/>
        <v>245000</v>
      </c>
      <c r="P62" s="449">
        <f t="shared" si="15"/>
        <v>235403</v>
      </c>
      <c r="Q62" s="451"/>
      <c r="R62" s="449"/>
      <c r="S62" s="449">
        <f t="shared" si="16"/>
        <v>0</v>
      </c>
      <c r="T62" s="450">
        <f t="shared" si="17"/>
        <v>235000</v>
      </c>
      <c r="U62" s="449">
        <f t="shared" si="18"/>
        <v>615000</v>
      </c>
      <c r="V62" s="449">
        <f>U62-AA62-W62-Z62-Y62-X62</f>
        <v>615000</v>
      </c>
      <c r="W62" s="449"/>
      <c r="X62" s="449"/>
      <c r="Y62" s="449"/>
      <c r="Z62" s="449"/>
      <c r="AA62" s="448"/>
      <c r="AB62" s="448" t="s">
        <v>243</v>
      </c>
      <c r="AC62" s="448">
        <v>745000</v>
      </c>
      <c r="AD62" s="422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22"/>
      <c r="AQ62" s="422"/>
      <c r="AR62" s="422"/>
      <c r="AS62" s="422"/>
      <c r="AT62" s="422"/>
      <c r="AU62" s="422"/>
      <c r="AV62" s="422"/>
      <c r="AW62" s="422"/>
      <c r="AX62" s="422"/>
    </row>
    <row r="63" spans="1:58" s="452" customFormat="1" ht="58.2" customHeight="1">
      <c r="A63" s="448">
        <f t="shared" si="20"/>
        <v>56</v>
      </c>
      <c r="B63" s="455">
        <v>20005</v>
      </c>
      <c r="C63" s="448" t="s">
        <v>590</v>
      </c>
      <c r="D63" s="449">
        <v>1685000</v>
      </c>
      <c r="E63" s="449">
        <v>1685000</v>
      </c>
      <c r="F63" s="449">
        <f t="shared" si="11"/>
        <v>0</v>
      </c>
      <c r="G63" s="449">
        <v>0</v>
      </c>
      <c r="H63" s="449"/>
      <c r="I63" s="449"/>
      <c r="J63" s="449"/>
      <c r="K63" s="449">
        <f>SUM(I63:J63)</f>
        <v>0</v>
      </c>
      <c r="L63" s="449">
        <f t="shared" si="13"/>
        <v>0</v>
      </c>
      <c r="M63" s="450">
        <f>P63+S63</f>
        <v>0</v>
      </c>
      <c r="N63" s="449"/>
      <c r="O63" s="449">
        <f t="shared" si="14"/>
        <v>1685000</v>
      </c>
      <c r="P63" s="449">
        <f t="shared" si="15"/>
        <v>0</v>
      </c>
      <c r="Q63" s="451"/>
      <c r="R63" s="449"/>
      <c r="S63" s="449">
        <f t="shared" si="16"/>
        <v>0</v>
      </c>
      <c r="T63" s="450">
        <f t="shared" si="17"/>
        <v>0</v>
      </c>
      <c r="U63" s="449">
        <f t="shared" si="18"/>
        <v>0</v>
      </c>
      <c r="V63" s="449">
        <f>U63-AA63-W63-Z63-Y63-X63</f>
        <v>0</v>
      </c>
      <c r="W63" s="449"/>
      <c r="X63" s="449"/>
      <c r="Y63" s="449"/>
      <c r="Z63" s="449"/>
      <c r="AA63" s="448"/>
      <c r="AB63" s="448" t="s">
        <v>591</v>
      </c>
      <c r="AC63" s="448">
        <v>746000</v>
      </c>
      <c r="AD63" s="422"/>
      <c r="AE63" s="422"/>
      <c r="AF63" s="422"/>
      <c r="AG63" s="422"/>
      <c r="AH63" s="422"/>
      <c r="AI63" s="422"/>
      <c r="AJ63" s="422"/>
      <c r="AK63" s="422"/>
      <c r="AL63" s="422"/>
      <c r="AM63" s="422"/>
      <c r="AN63" s="422"/>
      <c r="AO63" s="422"/>
      <c r="AP63" s="422"/>
      <c r="AQ63" s="422"/>
      <c r="AR63" s="422"/>
      <c r="AS63" s="422"/>
      <c r="AT63" s="422"/>
      <c r="AU63" s="422"/>
      <c r="AV63" s="422"/>
      <c r="AW63" s="422"/>
      <c r="AX63" s="422"/>
    </row>
    <row r="64" spans="1:58" s="452" customFormat="1" ht="30.6" customHeight="1">
      <c r="A64" s="448">
        <f t="shared" si="20"/>
        <v>57</v>
      </c>
      <c r="B64" s="455">
        <v>20006</v>
      </c>
      <c r="C64" s="448" t="s">
        <v>592</v>
      </c>
      <c r="D64" s="449">
        <v>4000000</v>
      </c>
      <c r="E64" s="449">
        <v>4000000</v>
      </c>
      <c r="F64" s="449">
        <f t="shared" si="11"/>
        <v>0</v>
      </c>
      <c r="G64" s="449">
        <v>0</v>
      </c>
      <c r="H64" s="449"/>
      <c r="I64" s="449"/>
      <c r="J64" s="449"/>
      <c r="K64" s="449">
        <f>SUM(I64:J64)</f>
        <v>0</v>
      </c>
      <c r="L64" s="449">
        <f t="shared" si="13"/>
        <v>0</v>
      </c>
      <c r="M64" s="450">
        <f>P64+S64</f>
        <v>0</v>
      </c>
      <c r="N64" s="449"/>
      <c r="O64" s="449">
        <f t="shared" si="14"/>
        <v>4000000</v>
      </c>
      <c r="P64" s="449">
        <f t="shared" si="15"/>
        <v>0</v>
      </c>
      <c r="Q64" s="451"/>
      <c r="R64" s="449"/>
      <c r="S64" s="449">
        <f t="shared" si="16"/>
        <v>0</v>
      </c>
      <c r="T64" s="450">
        <f t="shared" si="17"/>
        <v>0</v>
      </c>
      <c r="U64" s="449">
        <f t="shared" si="18"/>
        <v>0</v>
      </c>
      <c r="V64" s="449">
        <f>U64-AA64-W64-Z64-Y64-X64</f>
        <v>0</v>
      </c>
      <c r="W64" s="449"/>
      <c r="X64" s="449"/>
      <c r="Y64" s="449"/>
      <c r="Z64" s="449"/>
      <c r="AA64" s="448"/>
      <c r="AB64" s="448" t="s">
        <v>593</v>
      </c>
      <c r="AC64" s="448">
        <v>746000</v>
      </c>
      <c r="AD64" s="422"/>
      <c r="AE64" s="422"/>
      <c r="AF64" s="422"/>
      <c r="AG64" s="422"/>
      <c r="AH64" s="422"/>
      <c r="AI64" s="422"/>
      <c r="AJ64" s="422"/>
      <c r="AK64" s="422"/>
      <c r="AL64" s="422"/>
      <c r="AM64" s="422"/>
      <c r="AN64" s="422"/>
      <c r="AO64" s="422"/>
      <c r="AP64" s="422"/>
      <c r="AQ64" s="422"/>
      <c r="AR64" s="422"/>
      <c r="AS64" s="422"/>
      <c r="AT64" s="422"/>
      <c r="AU64" s="422"/>
      <c r="AV64" s="422"/>
      <c r="AW64" s="422"/>
      <c r="AX64" s="422"/>
    </row>
    <row r="65" spans="1:58" s="452" customFormat="1" ht="42" customHeight="1">
      <c r="A65" s="448">
        <f t="shared" si="20"/>
        <v>58</v>
      </c>
      <c r="B65" s="455">
        <v>20007</v>
      </c>
      <c r="C65" s="448" t="s">
        <v>594</v>
      </c>
      <c r="D65" s="449">
        <v>700000</v>
      </c>
      <c r="E65" s="449">
        <v>700000</v>
      </c>
      <c r="F65" s="449">
        <f t="shared" si="11"/>
        <v>0</v>
      </c>
      <c r="G65" s="449">
        <v>0</v>
      </c>
      <c r="H65" s="449"/>
      <c r="I65" s="449"/>
      <c r="J65" s="449"/>
      <c r="K65" s="449">
        <f>SUM(I65:J65)</f>
        <v>0</v>
      </c>
      <c r="L65" s="449">
        <f t="shared" si="13"/>
        <v>0</v>
      </c>
      <c r="M65" s="450">
        <f>P65+S65</f>
        <v>0</v>
      </c>
      <c r="N65" s="449"/>
      <c r="O65" s="449">
        <f t="shared" si="14"/>
        <v>700000</v>
      </c>
      <c r="P65" s="449">
        <f t="shared" si="15"/>
        <v>0</v>
      </c>
      <c r="Q65" s="451"/>
      <c r="R65" s="449"/>
      <c r="S65" s="449">
        <f t="shared" si="16"/>
        <v>0</v>
      </c>
      <c r="T65" s="450">
        <f t="shared" si="17"/>
        <v>0</v>
      </c>
      <c r="U65" s="449">
        <f t="shared" si="18"/>
        <v>0</v>
      </c>
      <c r="V65" s="449">
        <f>U65-AA65-W65-Z65-Y65-X65</f>
        <v>0</v>
      </c>
      <c r="W65" s="449"/>
      <c r="X65" s="449"/>
      <c r="Y65" s="449"/>
      <c r="Z65" s="449"/>
      <c r="AA65" s="448"/>
      <c r="AB65" s="448" t="s">
        <v>595</v>
      </c>
      <c r="AC65" s="448">
        <v>746000</v>
      </c>
      <c r="AD65" s="422"/>
      <c r="AE65" s="422"/>
      <c r="AF65" s="422"/>
      <c r="AG65" s="422"/>
      <c r="AH65" s="422"/>
      <c r="AI65" s="422"/>
      <c r="AJ65" s="422"/>
      <c r="AK65" s="422"/>
      <c r="AL65" s="422"/>
      <c r="AM65" s="422"/>
      <c r="AN65" s="422"/>
      <c r="AO65" s="422"/>
      <c r="AP65" s="422"/>
      <c r="AQ65" s="422"/>
      <c r="AR65" s="422"/>
      <c r="AS65" s="422"/>
      <c r="AT65" s="422"/>
      <c r="AU65" s="422"/>
      <c r="AV65" s="422"/>
      <c r="AW65" s="422"/>
      <c r="AX65" s="422"/>
    </row>
    <row r="66" spans="1:58" s="473" customFormat="1" ht="42" customHeight="1">
      <c r="A66" s="454"/>
      <c r="B66" s="454"/>
      <c r="C66" s="454" t="s">
        <v>1558</v>
      </c>
      <c r="D66" s="459">
        <f>SUM(D39:D65)</f>
        <v>275267618</v>
      </c>
      <c r="E66" s="459">
        <f t="shared" ref="E66:AA66" si="21">SUM(E39:E65)</f>
        <v>262399000</v>
      </c>
      <c r="F66" s="459">
        <f t="shared" si="21"/>
        <v>12868618</v>
      </c>
      <c r="G66" s="459">
        <f t="shared" si="21"/>
        <v>77688771</v>
      </c>
      <c r="H66" s="459">
        <f t="shared" si="21"/>
        <v>65340085</v>
      </c>
      <c r="I66" s="459">
        <f t="shared" si="21"/>
        <v>1086243</v>
      </c>
      <c r="J66" s="459">
        <f t="shared" si="21"/>
        <v>4455088</v>
      </c>
      <c r="K66" s="459">
        <f t="shared" si="21"/>
        <v>5541331</v>
      </c>
      <c r="L66" s="459">
        <f t="shared" si="21"/>
        <v>70881416</v>
      </c>
      <c r="M66" s="459">
        <f t="shared" si="21"/>
        <v>205618</v>
      </c>
      <c r="N66" s="459">
        <f t="shared" si="21"/>
        <v>8095000</v>
      </c>
      <c r="O66" s="459">
        <f t="shared" si="21"/>
        <v>196085584</v>
      </c>
      <c r="P66" s="459">
        <f t="shared" si="21"/>
        <v>6807355</v>
      </c>
      <c r="Q66" s="459">
        <f t="shared" si="21"/>
        <v>0</v>
      </c>
      <c r="R66" s="459">
        <f t="shared" si="21"/>
        <v>0</v>
      </c>
      <c r="S66" s="459">
        <f t="shared" si="21"/>
        <v>0</v>
      </c>
      <c r="T66" s="459">
        <f t="shared" si="21"/>
        <v>6601737</v>
      </c>
      <c r="U66" s="459">
        <f t="shared" si="21"/>
        <v>1493263</v>
      </c>
      <c r="V66" s="459">
        <f t="shared" si="21"/>
        <v>1463430</v>
      </c>
      <c r="W66" s="459">
        <f t="shared" si="21"/>
        <v>0</v>
      </c>
      <c r="X66" s="459">
        <f t="shared" si="21"/>
        <v>0</v>
      </c>
      <c r="Y66" s="459">
        <f t="shared" si="21"/>
        <v>0</v>
      </c>
      <c r="Z66" s="459">
        <f t="shared" si="21"/>
        <v>0</v>
      </c>
      <c r="AA66" s="459">
        <f t="shared" si="21"/>
        <v>29833</v>
      </c>
      <c r="AB66" s="454"/>
      <c r="AC66" s="454"/>
      <c r="AD66" s="811"/>
      <c r="AE66" s="811"/>
      <c r="AF66" s="811"/>
      <c r="AG66" s="811"/>
      <c r="AH66" s="811"/>
      <c r="AI66" s="811"/>
      <c r="AJ66" s="811"/>
      <c r="AK66" s="811"/>
      <c r="AL66" s="811"/>
      <c r="AM66" s="811"/>
      <c r="AN66" s="811"/>
      <c r="AO66" s="811"/>
      <c r="AP66" s="811"/>
      <c r="AQ66" s="811"/>
      <c r="AR66" s="811"/>
      <c r="AS66" s="811"/>
      <c r="AT66" s="811"/>
      <c r="AU66" s="811"/>
      <c r="AV66" s="811"/>
      <c r="AW66" s="811"/>
      <c r="AX66" s="811"/>
    </row>
    <row r="67" spans="1:58" s="473" customFormat="1" ht="42" customHeight="1">
      <c r="A67" s="454"/>
      <c r="B67" s="454"/>
      <c r="C67" s="454">
        <v>76</v>
      </c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812"/>
      <c r="R67" s="459"/>
      <c r="S67" s="459"/>
      <c r="T67" s="459"/>
      <c r="U67" s="459"/>
      <c r="V67" s="459"/>
      <c r="W67" s="459"/>
      <c r="X67" s="459"/>
      <c r="Y67" s="459"/>
      <c r="Z67" s="459"/>
      <c r="AA67" s="454"/>
      <c r="AB67" s="454"/>
      <c r="AC67" s="454"/>
      <c r="AD67" s="811"/>
      <c r="AE67" s="811"/>
      <c r="AF67" s="811"/>
      <c r="AG67" s="811"/>
      <c r="AH67" s="811"/>
      <c r="AI67" s="811"/>
      <c r="AJ67" s="811"/>
      <c r="AK67" s="811"/>
      <c r="AL67" s="811"/>
      <c r="AM67" s="811"/>
      <c r="AN67" s="811"/>
      <c r="AO67" s="811"/>
      <c r="AP67" s="811"/>
      <c r="AQ67" s="811"/>
      <c r="AR67" s="811"/>
      <c r="AS67" s="811"/>
      <c r="AT67" s="811"/>
      <c r="AU67" s="811"/>
      <c r="AV67" s="811"/>
      <c r="AW67" s="811"/>
      <c r="AX67" s="811"/>
    </row>
    <row r="68" spans="1:58" s="452" customFormat="1" ht="49.2" customHeight="1">
      <c r="A68" s="448">
        <f>A65+1</f>
        <v>59</v>
      </c>
      <c r="B68" s="448">
        <v>1529</v>
      </c>
      <c r="C68" s="448" t="s">
        <v>41</v>
      </c>
      <c r="D68" s="449">
        <v>700000</v>
      </c>
      <c r="E68" s="449">
        <v>700000</v>
      </c>
      <c r="F68" s="449">
        <f>D68-E68</f>
        <v>0</v>
      </c>
      <c r="G68" s="449">
        <v>500000</v>
      </c>
      <c r="H68" s="449">
        <v>417794</v>
      </c>
      <c r="I68" s="449"/>
      <c r="J68" s="449"/>
      <c r="K68" s="449">
        <f>SUM(I68:J68)</f>
        <v>0</v>
      </c>
      <c r="L68" s="449">
        <f>H68+K68</f>
        <v>417794</v>
      </c>
      <c r="M68" s="450">
        <f>P68+S68-70000-10000</f>
        <v>2206</v>
      </c>
      <c r="N68" s="449">
        <f>70000-30000</f>
        <v>40000</v>
      </c>
      <c r="O68" s="449">
        <f>D68-L68-M68-N68</f>
        <v>240000</v>
      </c>
      <c r="P68" s="449">
        <f>G68-L68</f>
        <v>82206</v>
      </c>
      <c r="Q68" s="451"/>
      <c r="R68" s="449"/>
      <c r="S68" s="449">
        <f>SUM(Q68:R68)</f>
        <v>0</v>
      </c>
      <c r="T68" s="450">
        <f>P68-M68+S68</f>
        <v>80000</v>
      </c>
      <c r="U68" s="449">
        <f>N68-T68</f>
        <v>-40000</v>
      </c>
      <c r="V68" s="449">
        <f>U68-AA68-W68-Z68-Y68-X68</f>
        <v>-40000</v>
      </c>
      <c r="W68" s="449"/>
      <c r="X68" s="449"/>
      <c r="Y68" s="449"/>
      <c r="Z68" s="449"/>
      <c r="AA68" s="448"/>
      <c r="AB68" s="448" t="s">
        <v>303</v>
      </c>
      <c r="AC68" s="448">
        <v>760000</v>
      </c>
      <c r="AD68" s="422"/>
      <c r="AE68" s="422"/>
      <c r="AF68" s="422"/>
      <c r="AG68" s="422"/>
      <c r="AH68" s="422"/>
      <c r="AI68" s="422"/>
      <c r="AJ68" s="422"/>
      <c r="AK68" s="422"/>
      <c r="AL68" s="422"/>
      <c r="AM68" s="422"/>
      <c r="AN68" s="422"/>
      <c r="AO68" s="422"/>
      <c r="AP68" s="422"/>
      <c r="AQ68" s="422"/>
      <c r="AR68" s="422"/>
      <c r="AS68" s="422"/>
      <c r="AT68" s="422"/>
      <c r="AU68" s="422"/>
      <c r="AV68" s="422"/>
      <c r="AW68" s="422"/>
      <c r="AX68" s="422"/>
    </row>
    <row r="69" spans="1:58" s="473" customFormat="1" ht="49.2" customHeight="1">
      <c r="A69" s="454"/>
      <c r="B69" s="454"/>
      <c r="C69" s="454" t="s">
        <v>1559</v>
      </c>
      <c r="D69" s="459">
        <f>SUM(D68)</f>
        <v>700000</v>
      </c>
      <c r="E69" s="459">
        <f t="shared" ref="E69:AA69" si="22">SUM(E68)</f>
        <v>700000</v>
      </c>
      <c r="F69" s="459">
        <f t="shared" si="22"/>
        <v>0</v>
      </c>
      <c r="G69" s="459">
        <f t="shared" si="22"/>
        <v>500000</v>
      </c>
      <c r="H69" s="459">
        <f t="shared" si="22"/>
        <v>417794</v>
      </c>
      <c r="I69" s="459">
        <f t="shared" si="22"/>
        <v>0</v>
      </c>
      <c r="J69" s="459">
        <f t="shared" si="22"/>
        <v>0</v>
      </c>
      <c r="K69" s="459">
        <f t="shared" si="22"/>
        <v>0</v>
      </c>
      <c r="L69" s="459">
        <f t="shared" si="22"/>
        <v>417794</v>
      </c>
      <c r="M69" s="459">
        <f t="shared" si="22"/>
        <v>2206</v>
      </c>
      <c r="N69" s="459">
        <f t="shared" si="22"/>
        <v>40000</v>
      </c>
      <c r="O69" s="459">
        <f t="shared" si="22"/>
        <v>240000</v>
      </c>
      <c r="P69" s="459">
        <f t="shared" si="22"/>
        <v>82206</v>
      </c>
      <c r="Q69" s="459">
        <f t="shared" si="22"/>
        <v>0</v>
      </c>
      <c r="R69" s="459">
        <f t="shared" si="22"/>
        <v>0</v>
      </c>
      <c r="S69" s="459">
        <f t="shared" si="22"/>
        <v>0</v>
      </c>
      <c r="T69" s="459">
        <f t="shared" si="22"/>
        <v>80000</v>
      </c>
      <c r="U69" s="459">
        <f t="shared" si="22"/>
        <v>-40000</v>
      </c>
      <c r="V69" s="459">
        <f t="shared" si="22"/>
        <v>-40000</v>
      </c>
      <c r="W69" s="459">
        <f t="shared" si="22"/>
        <v>0</v>
      </c>
      <c r="X69" s="459">
        <f t="shared" si="22"/>
        <v>0</v>
      </c>
      <c r="Y69" s="459">
        <f t="shared" si="22"/>
        <v>0</v>
      </c>
      <c r="Z69" s="459">
        <f t="shared" si="22"/>
        <v>0</v>
      </c>
      <c r="AA69" s="459">
        <f t="shared" si="22"/>
        <v>0</v>
      </c>
      <c r="AB69" s="454"/>
      <c r="AC69" s="454"/>
      <c r="AD69" s="811"/>
      <c r="AE69" s="811"/>
      <c r="AF69" s="811"/>
      <c r="AG69" s="811"/>
      <c r="AH69" s="811"/>
      <c r="AI69" s="811"/>
      <c r="AJ69" s="811"/>
      <c r="AK69" s="811"/>
      <c r="AL69" s="811"/>
      <c r="AM69" s="811"/>
      <c r="AN69" s="811"/>
      <c r="AO69" s="811"/>
      <c r="AP69" s="811"/>
      <c r="AQ69" s="811"/>
      <c r="AR69" s="811"/>
      <c r="AS69" s="811"/>
      <c r="AT69" s="811"/>
      <c r="AU69" s="811"/>
      <c r="AV69" s="811"/>
      <c r="AW69" s="811"/>
      <c r="AX69" s="811"/>
    </row>
    <row r="70" spans="1:58" s="473" customFormat="1" ht="49.2" customHeight="1">
      <c r="A70" s="454"/>
      <c r="B70" s="454"/>
      <c r="C70" s="454">
        <v>87</v>
      </c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4"/>
      <c r="AB70" s="454"/>
      <c r="AC70" s="454"/>
      <c r="AD70" s="811"/>
      <c r="AE70" s="811"/>
      <c r="AF70" s="811"/>
      <c r="AG70" s="811"/>
      <c r="AH70" s="811"/>
      <c r="AI70" s="811"/>
      <c r="AJ70" s="811"/>
      <c r="AK70" s="811"/>
      <c r="AL70" s="811"/>
      <c r="AM70" s="811"/>
      <c r="AN70" s="811"/>
      <c r="AO70" s="811"/>
      <c r="AP70" s="811"/>
      <c r="AQ70" s="811"/>
      <c r="AR70" s="811"/>
      <c r="AS70" s="811"/>
      <c r="AT70" s="811"/>
      <c r="AU70" s="811"/>
      <c r="AV70" s="811"/>
      <c r="AW70" s="811"/>
      <c r="AX70" s="811"/>
    </row>
    <row r="71" spans="1:58" s="452" customFormat="1" ht="39.6" customHeight="1">
      <c r="A71" s="448">
        <f>A68+1</f>
        <v>60</v>
      </c>
      <c r="B71" s="455">
        <v>20102</v>
      </c>
      <c r="C71" s="448" t="s">
        <v>1287</v>
      </c>
      <c r="D71" s="449">
        <v>1000000</v>
      </c>
      <c r="E71" s="449">
        <v>1000000</v>
      </c>
      <c r="F71" s="449">
        <f>D71-E71</f>
        <v>0</v>
      </c>
      <c r="G71" s="449">
        <v>0</v>
      </c>
      <c r="H71" s="449"/>
      <c r="I71" s="449"/>
      <c r="J71" s="449"/>
      <c r="K71" s="449">
        <f>SUM(I71:J71)</f>
        <v>0</v>
      </c>
      <c r="L71" s="449">
        <f>H71+K71</f>
        <v>0</v>
      </c>
      <c r="M71" s="450">
        <f>P71+S71</f>
        <v>0</v>
      </c>
      <c r="N71" s="449">
        <v>1000000</v>
      </c>
      <c r="O71" s="449">
        <f>D71-L71-M71-N71</f>
        <v>0</v>
      </c>
      <c r="P71" s="449">
        <f>G71-L71</f>
        <v>0</v>
      </c>
      <c r="Q71" s="451"/>
      <c r="R71" s="449"/>
      <c r="S71" s="449">
        <f>SUM(Q71:R71)</f>
        <v>0</v>
      </c>
      <c r="T71" s="450">
        <f>P71-M71+S71</f>
        <v>0</v>
      </c>
      <c r="U71" s="449">
        <f>N71-T71</f>
        <v>1000000</v>
      </c>
      <c r="V71" s="449">
        <f>U71-AA71-W71-Z71-Y71-X71</f>
        <v>550000</v>
      </c>
      <c r="W71" s="449"/>
      <c r="X71" s="449"/>
      <c r="Y71" s="449"/>
      <c r="Z71" s="449"/>
      <c r="AA71" s="449">
        <v>450000</v>
      </c>
      <c r="AB71" s="448" t="s">
        <v>1294</v>
      </c>
      <c r="AC71" s="448">
        <v>870000</v>
      </c>
      <c r="AD71" s="422"/>
      <c r="AE71" s="422"/>
      <c r="AF71" s="422"/>
      <c r="AG71" s="422"/>
      <c r="AH71" s="422"/>
      <c r="AI71" s="422"/>
      <c r="AJ71" s="422"/>
      <c r="AK71" s="422"/>
      <c r="AL71" s="422"/>
      <c r="AM71" s="422"/>
      <c r="AN71" s="422"/>
      <c r="AO71" s="422"/>
      <c r="AP71" s="422"/>
      <c r="AQ71" s="422"/>
      <c r="AR71" s="422"/>
      <c r="AS71" s="422"/>
      <c r="AT71" s="422"/>
      <c r="AU71" s="422"/>
      <c r="AV71" s="422"/>
      <c r="AW71" s="422"/>
      <c r="AX71" s="422"/>
    </row>
    <row r="72" spans="1:58" s="473" customFormat="1" ht="39.6" customHeight="1">
      <c r="A72" s="454"/>
      <c r="B72" s="454"/>
      <c r="C72" s="454" t="s">
        <v>1560</v>
      </c>
      <c r="D72" s="459">
        <f>SUM(D71)</f>
        <v>1000000</v>
      </c>
      <c r="E72" s="459">
        <f t="shared" ref="E72:AA72" si="23">SUM(E71)</f>
        <v>1000000</v>
      </c>
      <c r="F72" s="459">
        <f t="shared" si="23"/>
        <v>0</v>
      </c>
      <c r="G72" s="459">
        <f t="shared" si="23"/>
        <v>0</v>
      </c>
      <c r="H72" s="459">
        <f t="shared" si="23"/>
        <v>0</v>
      </c>
      <c r="I72" s="459">
        <f t="shared" si="23"/>
        <v>0</v>
      </c>
      <c r="J72" s="459">
        <f t="shared" si="23"/>
        <v>0</v>
      </c>
      <c r="K72" s="459">
        <f t="shared" si="23"/>
        <v>0</v>
      </c>
      <c r="L72" s="459">
        <f t="shared" si="23"/>
        <v>0</v>
      </c>
      <c r="M72" s="459">
        <f t="shared" si="23"/>
        <v>0</v>
      </c>
      <c r="N72" s="459">
        <f t="shared" si="23"/>
        <v>1000000</v>
      </c>
      <c r="O72" s="459">
        <f t="shared" si="23"/>
        <v>0</v>
      </c>
      <c r="P72" s="459">
        <f t="shared" si="23"/>
        <v>0</v>
      </c>
      <c r="Q72" s="459">
        <f t="shared" si="23"/>
        <v>0</v>
      </c>
      <c r="R72" s="459">
        <f t="shared" si="23"/>
        <v>0</v>
      </c>
      <c r="S72" s="459">
        <f t="shared" si="23"/>
        <v>0</v>
      </c>
      <c r="T72" s="459">
        <f t="shared" si="23"/>
        <v>0</v>
      </c>
      <c r="U72" s="459">
        <f t="shared" si="23"/>
        <v>1000000</v>
      </c>
      <c r="V72" s="459">
        <f t="shared" si="23"/>
        <v>550000</v>
      </c>
      <c r="W72" s="459">
        <f t="shared" si="23"/>
        <v>0</v>
      </c>
      <c r="X72" s="459">
        <f t="shared" si="23"/>
        <v>0</v>
      </c>
      <c r="Y72" s="459">
        <f t="shared" si="23"/>
        <v>0</v>
      </c>
      <c r="Z72" s="459">
        <f t="shared" si="23"/>
        <v>0</v>
      </c>
      <c r="AA72" s="459">
        <f t="shared" si="23"/>
        <v>450000</v>
      </c>
      <c r="AB72" s="454"/>
      <c r="AC72" s="454"/>
      <c r="AD72" s="811"/>
      <c r="AE72" s="811"/>
      <c r="AF72" s="811"/>
      <c r="AG72" s="811"/>
      <c r="AH72" s="811"/>
      <c r="AI72" s="811"/>
      <c r="AJ72" s="811"/>
      <c r="AK72" s="811"/>
      <c r="AL72" s="811"/>
      <c r="AM72" s="811"/>
      <c r="AN72" s="811"/>
      <c r="AO72" s="811"/>
      <c r="AP72" s="811"/>
      <c r="AQ72" s="811"/>
      <c r="AR72" s="811"/>
      <c r="AS72" s="811"/>
      <c r="AT72" s="811"/>
      <c r="AU72" s="811"/>
      <c r="AV72" s="811"/>
      <c r="AW72" s="811"/>
      <c r="AX72" s="811"/>
    </row>
    <row r="73" spans="1:58" s="473" customFormat="1" ht="34.950000000000003" customHeight="1">
      <c r="A73" s="249">
        <f>COUNT(A6:A71)</f>
        <v>60</v>
      </c>
      <c r="B73" s="454"/>
      <c r="C73" s="219" t="s">
        <v>315</v>
      </c>
      <c r="D73" s="249">
        <f>D72+D69+D66+D37</f>
        <v>382469372</v>
      </c>
      <c r="E73" s="249">
        <f t="shared" ref="E73:AA73" si="24">E72+E69+E66+E37</f>
        <v>368254490</v>
      </c>
      <c r="F73" s="249">
        <f t="shared" si="24"/>
        <v>14214882</v>
      </c>
      <c r="G73" s="249">
        <f t="shared" si="24"/>
        <v>138033668</v>
      </c>
      <c r="H73" s="249">
        <f t="shared" si="24"/>
        <v>112863046</v>
      </c>
      <c r="I73" s="249">
        <f t="shared" si="24"/>
        <v>2835671</v>
      </c>
      <c r="J73" s="249">
        <f t="shared" si="24"/>
        <v>9659935</v>
      </c>
      <c r="K73" s="249">
        <f t="shared" si="24"/>
        <v>12495606</v>
      </c>
      <c r="L73" s="249">
        <f t="shared" si="24"/>
        <v>125358652</v>
      </c>
      <c r="M73" s="249">
        <f t="shared" si="24"/>
        <v>267243</v>
      </c>
      <c r="N73" s="249">
        <f t="shared" si="24"/>
        <v>14068800</v>
      </c>
      <c r="O73" s="249">
        <f t="shared" si="24"/>
        <v>242774677</v>
      </c>
      <c r="P73" s="249">
        <f t="shared" si="24"/>
        <v>12675016</v>
      </c>
      <c r="Q73" s="249">
        <f t="shared" si="24"/>
        <v>1140000</v>
      </c>
      <c r="R73" s="249">
        <f t="shared" si="24"/>
        <v>0</v>
      </c>
      <c r="S73" s="249">
        <f t="shared" si="24"/>
        <v>1140000</v>
      </c>
      <c r="T73" s="249">
        <f t="shared" si="24"/>
        <v>13547773</v>
      </c>
      <c r="U73" s="249">
        <f t="shared" si="24"/>
        <v>521027</v>
      </c>
      <c r="V73" s="249">
        <f t="shared" si="24"/>
        <v>791194</v>
      </c>
      <c r="W73" s="249">
        <f t="shared" si="24"/>
        <v>-750000</v>
      </c>
      <c r="X73" s="249">
        <f t="shared" si="24"/>
        <v>0</v>
      </c>
      <c r="Y73" s="249">
        <f t="shared" si="24"/>
        <v>0</v>
      </c>
      <c r="Z73" s="249">
        <f t="shared" si="24"/>
        <v>0</v>
      </c>
      <c r="AA73" s="249">
        <f t="shared" si="24"/>
        <v>479833</v>
      </c>
      <c r="AB73" s="454"/>
      <c r="AC73" s="454"/>
      <c r="AD73" s="422"/>
      <c r="AE73" s="422"/>
      <c r="AF73" s="422"/>
      <c r="AG73" s="422"/>
      <c r="AH73" s="422"/>
      <c r="AI73" s="422"/>
      <c r="AJ73" s="422"/>
      <c r="AK73" s="422"/>
      <c r="AL73" s="422"/>
      <c r="AM73" s="422"/>
      <c r="AN73" s="422"/>
      <c r="AO73" s="422"/>
      <c r="AP73" s="472"/>
      <c r="AQ73" s="472"/>
      <c r="AR73" s="472"/>
      <c r="AS73" s="472"/>
      <c r="AT73" s="472"/>
      <c r="AU73" s="472"/>
      <c r="AV73" s="472"/>
      <c r="AW73" s="472"/>
      <c r="AX73" s="359"/>
      <c r="AY73" s="359"/>
      <c r="AZ73" s="359"/>
      <c r="BA73" s="359"/>
      <c r="BB73" s="359"/>
      <c r="BC73" s="359"/>
      <c r="BD73" s="359"/>
      <c r="BE73" s="359"/>
      <c r="BF73" s="359"/>
    </row>
    <row r="74" spans="1:58" s="473" customFormat="1" ht="18.600000000000001" customHeight="1">
      <c r="A74" s="428"/>
      <c r="B74" s="561"/>
      <c r="C74" s="427"/>
      <c r="D74" s="461">
        <f>SUM(L73:O73)</f>
        <v>382469372</v>
      </c>
      <c r="E74" s="423"/>
      <c r="F74" s="461">
        <f>D73-E73</f>
        <v>14214882</v>
      </c>
      <c r="G74" s="423"/>
      <c r="H74" s="423"/>
      <c r="I74" s="423"/>
      <c r="J74" s="423"/>
      <c r="K74" s="423"/>
      <c r="L74" s="461">
        <f>H73+K73</f>
        <v>125358652</v>
      </c>
      <c r="M74" s="462"/>
      <c r="N74" s="423"/>
      <c r="O74" s="423"/>
      <c r="P74" s="461">
        <f>G73-L74</f>
        <v>12675016</v>
      </c>
      <c r="Q74" s="423"/>
      <c r="R74" s="423"/>
      <c r="S74" s="423"/>
      <c r="T74" s="463">
        <f>P74+S73-M73</f>
        <v>13547773</v>
      </c>
      <c r="U74" s="461">
        <f>N73-T74</f>
        <v>521027</v>
      </c>
      <c r="V74" s="428"/>
      <c r="W74" s="428"/>
      <c r="X74" s="428"/>
      <c r="Y74" s="428"/>
      <c r="Z74" s="428"/>
      <c r="AA74" s="428"/>
      <c r="AB74" s="561"/>
      <c r="AC74" s="561"/>
      <c r="AD74" s="422"/>
      <c r="AE74" s="422"/>
      <c r="AF74" s="422"/>
      <c r="AG74" s="422"/>
      <c r="AH74" s="422"/>
      <c r="AI74" s="422"/>
      <c r="AJ74" s="422"/>
      <c r="AK74" s="422"/>
      <c r="AL74" s="422"/>
      <c r="AM74" s="422"/>
      <c r="AN74" s="422"/>
      <c r="AO74" s="422"/>
      <c r="AP74" s="472"/>
      <c r="AQ74" s="472"/>
      <c r="AR74" s="472"/>
      <c r="AS74" s="472"/>
      <c r="AT74" s="472"/>
      <c r="AU74" s="472"/>
      <c r="AV74" s="472"/>
      <c r="AW74" s="472"/>
      <c r="AX74" s="359"/>
      <c r="AY74" s="359"/>
      <c r="AZ74" s="359"/>
      <c r="BA74" s="359"/>
      <c r="BB74" s="359"/>
      <c r="BC74" s="359"/>
      <c r="BD74" s="359"/>
      <c r="BE74" s="359"/>
      <c r="BF74" s="359"/>
    </row>
    <row r="75" spans="1:58" s="473" customFormat="1" ht="18.600000000000001" customHeight="1">
      <c r="A75" s="428"/>
      <c r="B75" s="561"/>
      <c r="C75" s="427"/>
      <c r="D75" s="461">
        <f>D73-D74</f>
        <v>0</v>
      </c>
      <c r="E75" s="423"/>
      <c r="F75" s="423"/>
      <c r="G75" s="423"/>
      <c r="H75" s="423"/>
      <c r="I75" s="423"/>
      <c r="J75" s="423"/>
      <c r="K75" s="423"/>
      <c r="L75" s="461">
        <f>L73-L74</f>
        <v>0</v>
      </c>
      <c r="M75" s="462"/>
      <c r="N75" s="423"/>
      <c r="O75" s="423"/>
      <c r="P75" s="461">
        <f>P73-P74</f>
        <v>0</v>
      </c>
      <c r="Q75" s="423"/>
      <c r="R75" s="423"/>
      <c r="S75" s="423"/>
      <c r="T75" s="463">
        <f>T73-T74</f>
        <v>0</v>
      </c>
      <c r="U75" s="461">
        <f>U73-U74</f>
        <v>0</v>
      </c>
      <c r="V75" s="428"/>
      <c r="W75" s="428"/>
      <c r="X75" s="428"/>
      <c r="Y75" s="428"/>
      <c r="Z75" s="428"/>
      <c r="AA75" s="428"/>
      <c r="AB75" s="561"/>
      <c r="AC75" s="561"/>
      <c r="AD75" s="422"/>
      <c r="AE75" s="422"/>
      <c r="AF75" s="422"/>
      <c r="AG75" s="422"/>
      <c r="AH75" s="422"/>
      <c r="AI75" s="422"/>
      <c r="AJ75" s="422"/>
      <c r="AK75" s="422"/>
      <c r="AL75" s="422"/>
      <c r="AM75" s="422"/>
      <c r="AN75" s="422"/>
      <c r="AO75" s="422"/>
      <c r="AP75" s="472"/>
      <c r="AQ75" s="472"/>
      <c r="AR75" s="472"/>
      <c r="AS75" s="472"/>
      <c r="AT75" s="472"/>
      <c r="AU75" s="472"/>
      <c r="AV75" s="472"/>
      <c r="AW75" s="472"/>
      <c r="AX75" s="359"/>
      <c r="AY75" s="359"/>
      <c r="AZ75" s="359"/>
      <c r="BA75" s="359"/>
      <c r="BB75" s="359"/>
      <c r="BC75" s="359"/>
      <c r="BD75" s="359"/>
      <c r="BE75" s="359"/>
      <c r="BF75" s="359"/>
    </row>
    <row r="76" spans="1:58" s="473" customFormat="1" ht="18.600000000000001" customHeight="1">
      <c r="A76" s="428"/>
      <c r="B76" s="561"/>
      <c r="C76" s="427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8"/>
      <c r="AA76" s="428"/>
      <c r="AB76" s="561"/>
      <c r="AC76" s="561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72"/>
      <c r="AQ76" s="472"/>
      <c r="AR76" s="472"/>
      <c r="AS76" s="472"/>
      <c r="AT76" s="472"/>
      <c r="AU76" s="472"/>
      <c r="AV76" s="472"/>
      <c r="AW76" s="472"/>
      <c r="AX76" s="359"/>
      <c r="AY76" s="359"/>
      <c r="AZ76" s="359"/>
      <c r="BA76" s="359"/>
      <c r="BB76" s="359"/>
      <c r="BC76" s="359"/>
      <c r="BD76" s="359"/>
      <c r="BE76" s="359"/>
      <c r="BF76" s="359"/>
    </row>
    <row r="77" spans="1:58" s="473" customFormat="1" ht="18.600000000000001" customHeight="1">
      <c r="A77" s="428"/>
      <c r="B77" s="561"/>
      <c r="C77" s="427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8"/>
      <c r="AA77" s="428"/>
      <c r="AB77" s="561"/>
      <c r="AC77" s="561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72"/>
      <c r="AQ77" s="472"/>
      <c r="AR77" s="472"/>
      <c r="AS77" s="472"/>
      <c r="AT77" s="472"/>
      <c r="AU77" s="472"/>
      <c r="AV77" s="472"/>
      <c r="AW77" s="472"/>
      <c r="AX77" s="359"/>
      <c r="AY77" s="359"/>
      <c r="AZ77" s="359"/>
      <c r="BA77" s="359"/>
      <c r="BB77" s="359"/>
      <c r="BC77" s="359"/>
      <c r="BD77" s="359"/>
      <c r="BE77" s="359"/>
      <c r="BF77" s="359"/>
    </row>
    <row r="79" spans="1:58" ht="15.6">
      <c r="A79" s="429"/>
      <c r="O79" s="424"/>
      <c r="P79" s="424"/>
      <c r="Q79" s="424"/>
      <c r="R79" s="424"/>
      <c r="S79" s="424"/>
      <c r="T79" s="424"/>
      <c r="AB79" s="424"/>
    </row>
    <row r="80" spans="1:58" ht="15.6">
      <c r="A80" s="429"/>
      <c r="O80" s="424"/>
      <c r="P80" s="424"/>
      <c r="Q80" s="424"/>
      <c r="R80" s="424"/>
      <c r="S80" s="424"/>
      <c r="T80" s="424"/>
      <c r="AB80" s="424"/>
    </row>
    <row r="81" spans="1:58" ht="15.6">
      <c r="A81" s="429"/>
      <c r="O81" s="424"/>
      <c r="P81" s="424"/>
      <c r="Q81" s="424"/>
      <c r="R81" s="424"/>
      <c r="S81" s="424"/>
      <c r="T81" s="424"/>
      <c r="AB81" s="424"/>
    </row>
    <row r="82" spans="1:58">
      <c r="O82" s="424"/>
      <c r="P82" s="424"/>
      <c r="Q82" s="424"/>
      <c r="R82" s="424"/>
      <c r="S82" s="424"/>
      <c r="T82" s="424"/>
      <c r="AB82" s="424"/>
    </row>
    <row r="83" spans="1:58">
      <c r="O83" s="424"/>
      <c r="P83" s="424"/>
      <c r="Q83" s="424"/>
      <c r="R83" s="424"/>
      <c r="S83" s="424"/>
      <c r="T83" s="424"/>
      <c r="AB83" s="424"/>
    </row>
    <row r="84" spans="1:58">
      <c r="O84" s="424"/>
      <c r="P84" s="424"/>
      <c r="Q84" s="424"/>
      <c r="R84" s="424"/>
      <c r="S84" s="424"/>
      <c r="T84" s="424"/>
      <c r="AB84" s="424"/>
    </row>
    <row r="85" spans="1:58">
      <c r="A85" s="749"/>
      <c r="O85" s="424"/>
      <c r="P85" s="424"/>
      <c r="Q85" s="424"/>
      <c r="R85" s="424"/>
      <c r="S85" s="424"/>
      <c r="T85" s="424"/>
      <c r="AB85" s="424"/>
    </row>
    <row r="86" spans="1:58">
      <c r="O86" s="424"/>
      <c r="P86" s="424"/>
      <c r="Q86" s="424"/>
      <c r="R86" s="424"/>
      <c r="S86" s="424"/>
      <c r="T86" s="424"/>
      <c r="AB86" s="424"/>
    </row>
    <row r="87" spans="1:58">
      <c r="O87" s="424"/>
      <c r="P87" s="424"/>
      <c r="Q87" s="424"/>
      <c r="R87" s="424"/>
      <c r="S87" s="424"/>
      <c r="T87" s="424"/>
      <c r="AB87" s="424"/>
    </row>
    <row r="88" spans="1:58">
      <c r="O88" s="424"/>
      <c r="P88" s="424"/>
      <c r="Q88" s="424"/>
      <c r="R88" s="424"/>
      <c r="S88" s="424"/>
      <c r="T88" s="424"/>
      <c r="AB88" s="424"/>
    </row>
    <row r="89" spans="1:58">
      <c r="O89" s="424"/>
      <c r="P89" s="424"/>
      <c r="Q89" s="424"/>
      <c r="R89" s="424"/>
      <c r="S89" s="424"/>
      <c r="T89" s="424"/>
      <c r="AB89" s="424"/>
    </row>
    <row r="90" spans="1:58">
      <c r="O90" s="424"/>
      <c r="P90" s="424"/>
      <c r="Q90" s="424"/>
      <c r="R90" s="424"/>
      <c r="S90" s="424"/>
      <c r="T90" s="424"/>
      <c r="AB90" s="424"/>
    </row>
    <row r="91" spans="1:58">
      <c r="O91" s="424"/>
      <c r="P91" s="424"/>
      <c r="Q91" s="424"/>
      <c r="R91" s="424"/>
      <c r="S91" s="424"/>
      <c r="T91" s="424"/>
      <c r="AB91" s="424"/>
    </row>
    <row r="92" spans="1:58" s="422" customFormat="1">
      <c r="A92" s="424"/>
      <c r="B92" s="424"/>
      <c r="C92" s="440"/>
      <c r="D92" s="423"/>
      <c r="E92" s="423"/>
      <c r="F92" s="423"/>
      <c r="G92" s="423"/>
      <c r="H92" s="423"/>
      <c r="I92" s="423"/>
      <c r="J92" s="423"/>
      <c r="K92" s="423"/>
      <c r="L92" s="423"/>
      <c r="M92" s="462"/>
      <c r="N92" s="423"/>
      <c r="O92" s="424"/>
      <c r="P92" s="424"/>
      <c r="Q92" s="424"/>
      <c r="R92" s="424"/>
      <c r="S92" s="424"/>
      <c r="T92" s="424"/>
      <c r="U92" s="424"/>
      <c r="V92" s="424"/>
      <c r="W92" s="424"/>
      <c r="X92" s="424"/>
      <c r="Y92" s="424"/>
      <c r="Z92" s="424"/>
      <c r="AA92" s="424"/>
      <c r="AB92" s="424"/>
      <c r="AC92" s="424"/>
      <c r="AY92" s="424"/>
      <c r="AZ92" s="424"/>
      <c r="BA92" s="424"/>
      <c r="BB92" s="424"/>
      <c r="BC92" s="424"/>
      <c r="BD92" s="424"/>
      <c r="BE92" s="424"/>
      <c r="BF92" s="424"/>
    </row>
    <row r="93" spans="1:58" s="422" customFormat="1">
      <c r="A93" s="424"/>
      <c r="B93" s="424"/>
      <c r="C93" s="440"/>
      <c r="D93" s="423"/>
      <c r="E93" s="423"/>
      <c r="F93" s="423"/>
      <c r="G93" s="423"/>
      <c r="H93" s="423"/>
      <c r="I93" s="423"/>
      <c r="J93" s="423"/>
      <c r="K93" s="423"/>
      <c r="L93" s="423"/>
      <c r="M93" s="462"/>
      <c r="N93" s="423"/>
      <c r="O93" s="424"/>
      <c r="P93" s="424"/>
      <c r="Q93" s="424"/>
      <c r="R93" s="424"/>
      <c r="S93" s="424"/>
      <c r="T93" s="424"/>
      <c r="U93" s="424"/>
      <c r="V93" s="424"/>
      <c r="W93" s="424"/>
      <c r="X93" s="424"/>
      <c r="Y93" s="424"/>
      <c r="Z93" s="424"/>
      <c r="AA93" s="424"/>
      <c r="AB93" s="424"/>
      <c r="AC93" s="424"/>
      <c r="AY93" s="424"/>
      <c r="AZ93" s="424"/>
      <c r="BA93" s="424"/>
      <c r="BB93" s="424"/>
      <c r="BC93" s="424"/>
      <c r="BD93" s="424"/>
      <c r="BE93" s="424"/>
      <c r="BF93" s="424"/>
    </row>
    <row r="94" spans="1:58" s="422" customFormat="1">
      <c r="A94" s="424"/>
      <c r="B94" s="424"/>
      <c r="C94" s="440"/>
      <c r="D94" s="423"/>
      <c r="E94" s="423"/>
      <c r="F94" s="423"/>
      <c r="G94" s="423"/>
      <c r="H94" s="423"/>
      <c r="I94" s="423"/>
      <c r="J94" s="423"/>
      <c r="K94" s="423"/>
      <c r="L94" s="423"/>
      <c r="M94" s="462"/>
      <c r="N94" s="423"/>
      <c r="O94" s="424"/>
      <c r="P94" s="424"/>
      <c r="Q94" s="424"/>
      <c r="R94" s="424"/>
      <c r="S94" s="424"/>
      <c r="T94" s="424"/>
      <c r="U94" s="424"/>
      <c r="V94" s="424"/>
      <c r="W94" s="424"/>
      <c r="X94" s="424"/>
      <c r="Y94" s="424"/>
      <c r="Z94" s="424"/>
      <c r="AA94" s="424"/>
      <c r="AB94" s="424"/>
      <c r="AC94" s="424"/>
      <c r="AY94" s="424"/>
      <c r="AZ94" s="424"/>
      <c r="BA94" s="424"/>
      <c r="BB94" s="424"/>
      <c r="BC94" s="424"/>
      <c r="BD94" s="424"/>
      <c r="BE94" s="424"/>
      <c r="BF94" s="424"/>
    </row>
    <row r="95" spans="1:58" s="422" customFormat="1">
      <c r="A95" s="424"/>
      <c r="B95" s="424"/>
      <c r="C95" s="440"/>
      <c r="D95" s="423"/>
      <c r="E95" s="423"/>
      <c r="F95" s="423"/>
      <c r="G95" s="423"/>
      <c r="H95" s="423"/>
      <c r="I95" s="423"/>
      <c r="J95" s="423"/>
      <c r="K95" s="423"/>
      <c r="L95" s="423"/>
      <c r="M95" s="462"/>
      <c r="N95" s="423"/>
      <c r="O95" s="423"/>
      <c r="P95" s="423"/>
      <c r="Q95" s="424"/>
      <c r="R95" s="424"/>
      <c r="S95" s="424"/>
      <c r="T95" s="424"/>
      <c r="U95" s="424"/>
      <c r="V95" s="424"/>
      <c r="W95" s="424"/>
      <c r="X95" s="424"/>
      <c r="Y95" s="424"/>
      <c r="Z95" s="424"/>
      <c r="AA95" s="424"/>
      <c r="AB95" s="440"/>
      <c r="AC95" s="424"/>
      <c r="AY95" s="424"/>
      <c r="AZ95" s="424"/>
      <c r="BA95" s="424"/>
      <c r="BB95" s="424"/>
      <c r="BC95" s="424"/>
      <c r="BD95" s="424"/>
      <c r="BE95" s="424"/>
      <c r="BF95" s="424"/>
    </row>
    <row r="96" spans="1:58" s="422" customFormat="1">
      <c r="A96" s="424"/>
      <c r="B96" s="424"/>
      <c r="C96" s="440"/>
      <c r="D96" s="423"/>
      <c r="E96" s="423"/>
      <c r="F96" s="423"/>
      <c r="G96" s="423"/>
      <c r="H96" s="423"/>
      <c r="I96" s="423"/>
      <c r="J96" s="423"/>
      <c r="K96" s="423"/>
      <c r="L96" s="423"/>
      <c r="M96" s="462"/>
      <c r="N96" s="423"/>
      <c r="O96" s="423"/>
      <c r="P96" s="423"/>
      <c r="Q96" s="424"/>
      <c r="R96" s="424"/>
      <c r="S96" s="424"/>
      <c r="T96" s="424"/>
      <c r="U96" s="424"/>
      <c r="V96" s="424"/>
      <c r="W96" s="424"/>
      <c r="X96" s="424"/>
      <c r="Y96" s="424"/>
      <c r="Z96" s="424"/>
      <c r="AA96" s="424"/>
      <c r="AB96" s="440"/>
      <c r="AC96" s="424"/>
      <c r="AY96" s="424"/>
      <c r="AZ96" s="424"/>
      <c r="BA96" s="424"/>
      <c r="BB96" s="424"/>
      <c r="BC96" s="424"/>
      <c r="BD96" s="424"/>
      <c r="BE96" s="424"/>
      <c r="BF96" s="424"/>
    </row>
    <row r="97" spans="1:58" s="422" customFormat="1">
      <c r="A97" s="424"/>
      <c r="B97" s="424"/>
      <c r="C97" s="440"/>
      <c r="D97" s="423"/>
      <c r="E97" s="423"/>
      <c r="F97" s="423"/>
      <c r="G97" s="423"/>
      <c r="H97" s="423"/>
      <c r="I97" s="423"/>
      <c r="J97" s="423"/>
      <c r="K97" s="423"/>
      <c r="L97" s="423"/>
      <c r="M97" s="462"/>
      <c r="N97" s="423"/>
      <c r="O97" s="423"/>
      <c r="P97" s="423"/>
      <c r="Q97" s="424"/>
      <c r="R97" s="424"/>
      <c r="S97" s="424"/>
      <c r="T97" s="424"/>
      <c r="U97" s="424"/>
      <c r="V97" s="424"/>
      <c r="W97" s="424"/>
      <c r="X97" s="424"/>
      <c r="Y97" s="424"/>
      <c r="Z97" s="424"/>
      <c r="AA97" s="424"/>
      <c r="AB97" s="440"/>
      <c r="AC97" s="424"/>
      <c r="AY97" s="424"/>
      <c r="AZ97" s="424"/>
      <c r="BA97" s="424"/>
      <c r="BB97" s="424"/>
      <c r="BC97" s="424"/>
      <c r="BD97" s="424"/>
      <c r="BE97" s="424"/>
      <c r="BF97" s="424"/>
    </row>
    <row r="98" spans="1:58" s="422" customFormat="1">
      <c r="A98" s="424"/>
      <c r="B98" s="424"/>
      <c r="C98" s="440"/>
      <c r="D98" s="423"/>
      <c r="E98" s="423"/>
      <c r="F98" s="423"/>
      <c r="G98" s="423"/>
      <c r="H98" s="423"/>
      <c r="I98" s="423"/>
      <c r="J98" s="423"/>
      <c r="K98" s="423"/>
      <c r="L98" s="423"/>
      <c r="M98" s="462"/>
      <c r="N98" s="423"/>
      <c r="O98" s="423"/>
      <c r="P98" s="423"/>
      <c r="Q98" s="424"/>
      <c r="R98" s="424"/>
      <c r="S98" s="424"/>
      <c r="T98" s="424"/>
      <c r="U98" s="424"/>
      <c r="V98" s="424"/>
      <c r="W98" s="424"/>
      <c r="X98" s="424"/>
      <c r="Y98" s="424"/>
      <c r="Z98" s="424"/>
      <c r="AA98" s="424"/>
      <c r="AB98" s="440"/>
      <c r="AC98" s="424"/>
      <c r="AY98" s="424"/>
      <c r="AZ98" s="424"/>
      <c r="BA98" s="424"/>
      <c r="BB98" s="424"/>
      <c r="BC98" s="424"/>
      <c r="BD98" s="424"/>
      <c r="BE98" s="424"/>
      <c r="BF98" s="424"/>
    </row>
    <row r="99" spans="1:58" s="422" customFormat="1">
      <c r="A99" s="424"/>
      <c r="B99" s="424"/>
      <c r="C99" s="440"/>
      <c r="D99" s="423"/>
      <c r="E99" s="423"/>
      <c r="F99" s="423"/>
      <c r="G99" s="423"/>
      <c r="H99" s="423"/>
      <c r="I99" s="423"/>
      <c r="J99" s="423"/>
      <c r="K99" s="423"/>
      <c r="L99" s="423"/>
      <c r="M99" s="462"/>
      <c r="N99" s="423"/>
      <c r="O99" s="423"/>
      <c r="P99" s="423"/>
      <c r="Q99" s="424"/>
      <c r="R99" s="424"/>
      <c r="S99" s="424"/>
      <c r="T99" s="424"/>
      <c r="U99" s="424"/>
      <c r="V99" s="424"/>
      <c r="W99" s="424"/>
      <c r="X99" s="424"/>
      <c r="Y99" s="424"/>
      <c r="Z99" s="424"/>
      <c r="AA99" s="424"/>
      <c r="AB99" s="440"/>
      <c r="AC99" s="424"/>
      <c r="AY99" s="424"/>
      <c r="AZ99" s="424"/>
      <c r="BA99" s="424"/>
      <c r="BB99" s="424"/>
      <c r="BC99" s="424"/>
      <c r="BD99" s="424"/>
      <c r="BE99" s="424"/>
      <c r="BF99" s="424"/>
    </row>
    <row r="100" spans="1:58" s="422" customFormat="1">
      <c r="A100" s="424"/>
      <c r="B100" s="424"/>
      <c r="C100" s="440"/>
      <c r="D100" s="423"/>
      <c r="E100" s="423"/>
      <c r="F100" s="423"/>
      <c r="G100" s="423"/>
      <c r="H100" s="423"/>
      <c r="I100" s="423"/>
      <c r="J100" s="423"/>
      <c r="K100" s="423"/>
      <c r="L100" s="423"/>
      <c r="M100" s="462"/>
      <c r="N100" s="423"/>
      <c r="O100" s="423"/>
      <c r="P100" s="423"/>
      <c r="Q100" s="424"/>
      <c r="R100" s="424"/>
      <c r="S100" s="424"/>
      <c r="T100" s="424"/>
      <c r="U100" s="424"/>
      <c r="V100" s="424"/>
      <c r="W100" s="424"/>
      <c r="X100" s="424"/>
      <c r="Y100" s="424"/>
      <c r="Z100" s="424"/>
      <c r="AA100" s="424"/>
      <c r="AB100" s="440"/>
      <c r="AC100" s="424"/>
      <c r="AY100" s="424"/>
      <c r="AZ100" s="424"/>
      <c r="BA100" s="424"/>
      <c r="BB100" s="424"/>
      <c r="BC100" s="424"/>
      <c r="BD100" s="424"/>
      <c r="BE100" s="424"/>
      <c r="BF100" s="424"/>
    </row>
    <row r="139" ht="37.950000000000003" customHeight="1"/>
    <row r="142" ht="70.95" customHeight="1"/>
    <row r="145" ht="72" customHeight="1"/>
    <row r="147" ht="43.95" customHeight="1"/>
    <row r="149" ht="30" customHeight="1"/>
  </sheetData>
  <sortState ref="A5:BF64">
    <sortCondition ref="AC5:AC64"/>
  </sortState>
  <mergeCells count="1">
    <mergeCell ref="V3:AA3"/>
  </mergeCells>
  <conditionalFormatting sqref="O1:O26 O78 O85:O1048576 O63 O28:O36 O38:O61">
    <cfRule type="cellIs" dxfId="449" priority="7" operator="lessThan">
      <formula>0</formula>
    </cfRule>
  </conditionalFormatting>
  <conditionalFormatting sqref="O27">
    <cfRule type="cellIs" dxfId="448" priority="6" operator="lessThan">
      <formula>0</formula>
    </cfRule>
  </conditionalFormatting>
  <conditionalFormatting sqref="AF4:AF5">
    <cfRule type="cellIs" dxfId="447" priority="5" operator="equal">
      <formula>0</formula>
    </cfRule>
  </conditionalFormatting>
  <conditionalFormatting sqref="M4:N5">
    <cfRule type="cellIs" dxfId="446" priority="4" operator="lessThan">
      <formula>0</formula>
    </cfRule>
  </conditionalFormatting>
  <conditionalFormatting sqref="O74:O75">
    <cfRule type="cellIs" dxfId="445" priority="3" operator="lessThan">
      <formula>0</formula>
    </cfRule>
  </conditionalFormatting>
  <conditionalFormatting sqref="O62">
    <cfRule type="cellIs" dxfId="444" priority="2" operator="lessThan">
      <formula>0</formula>
    </cfRule>
  </conditionalFormatting>
  <conditionalFormatting sqref="AI4:AI5">
    <cfRule type="cellIs" dxfId="44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8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4.88671875" style="176" customWidth="1"/>
    <col min="5" max="5" width="30.44140625" style="176" customWidth="1"/>
    <col min="6" max="6" width="12.664062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193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1271</v>
      </c>
      <c r="D5" s="175"/>
      <c r="E5" s="175"/>
      <c r="F5" s="179">
        <f>'תקציב החברה לפיתוח 2024'!U133</f>
        <v>355300824</v>
      </c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1594</v>
      </c>
      <c r="D7" s="175"/>
      <c r="F7" s="179">
        <f>'תקציב החברה לפיתוח 2024'!A133</f>
        <v>124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D11" s="186" t="s">
        <v>220</v>
      </c>
      <c r="E11" s="187" t="s">
        <v>221</v>
      </c>
      <c r="F11" s="188" t="s">
        <v>222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82" t="s">
        <v>13</v>
      </c>
      <c r="E12" s="189">
        <f>'תקציב החברה לפיתוח 2024'!V133</f>
        <v>240768931</v>
      </c>
      <c r="F12" s="197">
        <f t="shared" ref="F12:F17" si="0">E12/$E$18</f>
        <v>0.67764810756532334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82" t="s">
        <v>14</v>
      </c>
      <c r="E13" s="189">
        <f>'תקציב החברה לפיתוח 2024'!W133</f>
        <v>2216408</v>
      </c>
      <c r="F13" s="197">
        <f t="shared" si="0"/>
        <v>6.2381166895351756E-3</v>
      </c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 hidden="1">
      <c r="C14" s="178"/>
      <c r="D14" s="182" t="s">
        <v>15</v>
      </c>
      <c r="E14" s="189">
        <f>'תקציב החברה לפיתוח 2024'!V134</f>
        <v>0</v>
      </c>
      <c r="F14" s="197">
        <f t="shared" si="0"/>
        <v>0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2" t="s">
        <v>1536</v>
      </c>
      <c r="E15" s="189">
        <f>'תקציב החברה לפיתוח 2024'!Y133</f>
        <v>16236186</v>
      </c>
      <c r="F15" s="197">
        <f t="shared" si="0"/>
        <v>4.5697011949513519E-2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 hidden="1">
      <c r="C16" s="178"/>
      <c r="D16" s="182" t="s">
        <v>502</v>
      </c>
      <c r="E16" s="189">
        <f>'תקציב החברה לפיתוח 2024'!Z133</f>
        <v>0</v>
      </c>
      <c r="F16" s="197">
        <f t="shared" si="0"/>
        <v>0</v>
      </c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C17" s="178"/>
      <c r="D17" s="182" t="s">
        <v>75</v>
      </c>
      <c r="E17" s="189">
        <f>'תקציב החברה לפיתוח 2024'!AA133</f>
        <v>96079299</v>
      </c>
      <c r="F17" s="197">
        <f t="shared" si="0"/>
        <v>0.27041676379562801</v>
      </c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6.2" thickBot="1">
      <c r="C18" s="178"/>
      <c r="D18" s="184" t="s">
        <v>84</v>
      </c>
      <c r="E18" s="191">
        <f>SUM(E12:E17)</f>
        <v>355300824</v>
      </c>
      <c r="F18" s="248">
        <f>SUM(F12:F17)</f>
        <v>1</v>
      </c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1:17" ht="15.6">
      <c r="C19" s="178"/>
      <c r="D19" s="181"/>
      <c r="E19" s="200"/>
      <c r="F19" s="284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1:17" s="240" customFormat="1" ht="15.6">
      <c r="C20" s="242" t="s">
        <v>129</v>
      </c>
      <c r="D20" s="800" t="s">
        <v>523</v>
      </c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</row>
    <row r="21" spans="1:17" s="240" customFormat="1" ht="15.6">
      <c r="A21" s="239"/>
      <c r="B21" s="239"/>
      <c r="C21" s="239"/>
      <c r="D21" s="281" t="s">
        <v>1490</v>
      </c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</row>
    <row r="22" spans="1:17" s="240" customFormat="1" ht="15.6">
      <c r="A22" s="239"/>
      <c r="B22" s="239"/>
      <c r="C22" s="239"/>
      <c r="D22" s="281" t="s">
        <v>1491</v>
      </c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</row>
    <row r="23" spans="1:17" s="240" customFormat="1" ht="15.6">
      <c r="A23" s="239"/>
      <c r="B23" s="239"/>
      <c r="C23" s="239"/>
      <c r="D23" s="281" t="s">
        <v>1492</v>
      </c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</row>
    <row r="24" spans="1:17" s="240" customFormat="1" ht="15.6">
      <c r="A24" s="239"/>
      <c r="B24" s="239"/>
      <c r="C24" s="239"/>
      <c r="D24" s="281" t="s">
        <v>1595</v>
      </c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17" s="240" customFormat="1" ht="15.6">
      <c r="A25" s="239"/>
      <c r="B25" s="239"/>
      <c r="C25" s="239"/>
      <c r="D25" s="281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A26" s="239"/>
      <c r="B26" s="239"/>
      <c r="C26" s="239"/>
      <c r="D26" s="408" t="s">
        <v>1578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A27" s="239"/>
      <c r="B27" s="239"/>
      <c r="C27" s="239"/>
      <c r="D27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  <row r="28" spans="1:17" s="240" customFormat="1" ht="15.6">
      <c r="A28" s="239"/>
      <c r="B28" s="239"/>
      <c r="C28" s="239"/>
      <c r="D28" s="281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</row>
    <row r="29" spans="1:17" s="240" customFormat="1" ht="15.6">
      <c r="A29" s="239"/>
      <c r="B29" s="239"/>
      <c r="C29" s="239"/>
      <c r="D29" s="281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</row>
    <row r="30" spans="1:17" ht="15.6">
      <c r="B30" s="178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</row>
    <row r="37" spans="3:17" s="260" customFormat="1" ht="15.6"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</row>
    <row r="38" spans="3:17" ht="15.6">
      <c r="C38" s="261" t="s">
        <v>129</v>
      </c>
      <c r="D38" s="262" t="s">
        <v>1631</v>
      </c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42.109375" style="176" customWidth="1"/>
    <col min="5" max="5" width="30.44140625" style="176" customWidth="1"/>
    <col min="6" max="6" width="12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2" spans="1:17" ht="21">
      <c r="A2" s="175"/>
      <c r="C2" s="177" t="s">
        <v>193</v>
      </c>
      <c r="D2" s="175"/>
      <c r="E2" s="175"/>
      <c r="F2" s="175"/>
      <c r="G2" s="175"/>
      <c r="H2" s="175"/>
      <c r="I2" s="175"/>
      <c r="J2" s="175"/>
      <c r="K2" s="175"/>
      <c r="L2" s="175"/>
    </row>
    <row r="3" spans="1:17" ht="21">
      <c r="A3" s="175"/>
      <c r="C3" s="177"/>
      <c r="D3" s="175"/>
      <c r="E3" s="175"/>
      <c r="F3" s="175"/>
      <c r="G3" s="175"/>
      <c r="H3" s="175"/>
      <c r="I3" s="175"/>
      <c r="J3" s="175"/>
      <c r="K3" s="175"/>
      <c r="L3" s="175"/>
    </row>
    <row r="4" spans="1:17" ht="15.6">
      <c r="B4" s="178" t="s">
        <v>129</v>
      </c>
      <c r="C4" s="175" t="s">
        <v>1270</v>
      </c>
      <c r="D4" s="175"/>
      <c r="E4" s="175"/>
      <c r="F4" s="175"/>
      <c r="H4" s="175"/>
      <c r="I4" s="175"/>
      <c r="J4" s="175"/>
      <c r="K4" s="175"/>
      <c r="L4" s="175"/>
      <c r="M4" s="175"/>
      <c r="N4" s="175"/>
      <c r="O4" s="175"/>
      <c r="P4" s="175"/>
      <c r="Q4" s="175"/>
    </row>
    <row r="5" spans="1:17" ht="16.2" thickBot="1">
      <c r="C5" s="175"/>
      <c r="D5" s="175"/>
      <c r="E5" s="175"/>
      <c r="F5" s="175"/>
      <c r="H5" s="175"/>
      <c r="I5" s="175"/>
      <c r="J5" s="175"/>
      <c r="K5" s="175"/>
      <c r="L5" s="175"/>
    </row>
    <row r="6" spans="1:17" ht="15.6">
      <c r="D6" s="186" t="s">
        <v>223</v>
      </c>
      <c r="E6" s="180" t="s">
        <v>1360</v>
      </c>
      <c r="F6" s="181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</row>
    <row r="7" spans="1:17" ht="15.6">
      <c r="C7" s="178"/>
      <c r="D7" s="182" t="s">
        <v>224</v>
      </c>
      <c r="E7" s="192">
        <f>'תקציב החברה לפיתוח 2024'!U132</f>
        <v>104698366</v>
      </c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C8" s="178"/>
      <c r="D8" s="182" t="s">
        <v>225</v>
      </c>
      <c r="E8" s="192">
        <f>'תקציב החברה לפיתוח 2024'!U117</f>
        <v>250602458</v>
      </c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C9" s="178"/>
      <c r="D9" s="182" t="s">
        <v>226</v>
      </c>
      <c r="E9" s="192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.6">
      <c r="C10" s="178"/>
      <c r="D10" s="182" t="s">
        <v>1596</v>
      </c>
      <c r="E10" s="183">
        <f>'תקציב החברה לפיתוח 2024'!N31</f>
        <v>30068551</v>
      </c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C11" s="178"/>
      <c r="D11" s="182" t="s">
        <v>564</v>
      </c>
      <c r="E11" s="285">
        <f>'תקציב החברה לפיתוח 2024'!N37</f>
        <v>25117327</v>
      </c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82" t="s">
        <v>946</v>
      </c>
      <c r="E12" s="183">
        <f>'תקציב החברה לפיתוח 2024'!N103</f>
        <v>21540000</v>
      </c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 customHeight="1">
      <c r="D13" s="182" t="s">
        <v>476</v>
      </c>
      <c r="E13" s="183">
        <f>'תקציב החברה לפיתוח 2024'!N78</f>
        <v>18880000</v>
      </c>
      <c r="H13" s="252"/>
    </row>
    <row r="14" spans="1:17" ht="15.6">
      <c r="C14" s="178"/>
      <c r="D14" s="182" t="s">
        <v>1538</v>
      </c>
      <c r="E14" s="285">
        <f>'תקציב החברה לפיתוח 2024'!N106</f>
        <v>15000000</v>
      </c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2" t="s">
        <v>780</v>
      </c>
      <c r="E15" s="183">
        <f>'תקציב החברה לפיתוח 2024'!N48</f>
        <v>14551997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 customHeight="1">
      <c r="C16" s="178"/>
      <c r="D16" s="182" t="s">
        <v>524</v>
      </c>
      <c r="E16" s="285">
        <f>'תקציב החברה לפיתוח 2024'!N5</f>
        <v>13550000</v>
      </c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3:17" ht="16.2" customHeight="1">
      <c r="C17" s="178"/>
      <c r="D17" s="182" t="s">
        <v>478</v>
      </c>
      <c r="E17" s="285">
        <f>'תקציב החברה לפיתוח 2024'!N82</f>
        <v>13000000</v>
      </c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3:17" ht="15.6">
      <c r="C18" s="178"/>
      <c r="D18" s="182" t="s">
        <v>1539</v>
      </c>
      <c r="E18" s="183">
        <f>'תקציב החברה לפיתוח 2024'!N33</f>
        <v>11591300</v>
      </c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3:17" ht="15.6">
      <c r="C19" s="178"/>
      <c r="D19" s="182" t="s">
        <v>1537</v>
      </c>
      <c r="E19" s="285">
        <f>'תקציב החברה לפיתוח 2024'!N98</f>
        <v>11540000</v>
      </c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3:17" ht="15.6" customHeight="1">
      <c r="D20" s="182" t="s">
        <v>839</v>
      </c>
      <c r="E20" s="183">
        <f>'תקציב החברה לפיתוח 2024'!N50</f>
        <v>10450000</v>
      </c>
    </row>
    <row r="21" spans="3:17" ht="15.6">
      <c r="C21" s="178"/>
      <c r="D21" s="182" t="s">
        <v>931</v>
      </c>
      <c r="E21" s="183">
        <f>'תקציב החברה לפיתוח 2024'!N108</f>
        <v>10230000</v>
      </c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3:17" ht="16.2" thickBot="1">
      <c r="C22" s="178"/>
      <c r="D22" s="195" t="s">
        <v>1540</v>
      </c>
      <c r="E22" s="196">
        <f>'תקציב החברה לפיתוח 2024'!N27</f>
        <v>10000000</v>
      </c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4" spans="3:17" ht="15.6">
      <c r="D24" s="254" t="s">
        <v>1541</v>
      </c>
    </row>
    <row r="26" spans="3:17">
      <c r="D26"/>
    </row>
    <row r="27" spans="3:17">
      <c r="D27"/>
    </row>
    <row r="35" spans="4:4">
      <c r="D35" s="251"/>
    </row>
  </sheetData>
  <sortState ref="A11:Q23">
    <sortCondition descending="1" ref="E11:E23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58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5" style="131" customWidth="1"/>
    <col min="2" max="2" width="5.33203125" style="216" customWidth="1"/>
    <col min="3" max="3" width="17.6640625" style="139" customWidth="1"/>
    <col min="4" max="4" width="11.5546875" style="132" customWidth="1"/>
    <col min="5" max="5" width="12.6640625" style="132" customWidth="1"/>
    <col min="6" max="6" width="11.6640625" style="132" customWidth="1"/>
    <col min="7" max="7" width="13" style="132" hidden="1" customWidth="1"/>
    <col min="8" max="8" width="14.33203125" style="132" hidden="1" customWidth="1"/>
    <col min="9" max="11" width="10.6640625" style="132" hidden="1" customWidth="1"/>
    <col min="12" max="12" width="11.6640625" style="132" customWidth="1"/>
    <col min="13" max="13" width="9.6640625" style="132" customWidth="1"/>
    <col min="14" max="14" width="10.6640625" style="132" customWidth="1"/>
    <col min="15" max="15" width="11.5546875" style="132" customWidth="1"/>
    <col min="16" max="17" width="11.109375" style="132" hidden="1" customWidth="1"/>
    <col min="18" max="18" width="11.88671875" style="132" hidden="1" customWidth="1"/>
    <col min="19" max="19" width="13" style="132" hidden="1" customWidth="1"/>
    <col min="20" max="20" width="10" style="132" customWidth="1"/>
    <col min="21" max="21" width="10.5546875" style="131" customWidth="1"/>
    <col min="22" max="22" width="11.5546875" style="131" customWidth="1"/>
    <col min="23" max="23" width="10.109375" style="131" customWidth="1"/>
    <col min="24" max="24" width="10.6640625" style="131" hidden="1" customWidth="1"/>
    <col min="25" max="25" width="9.6640625" style="131" customWidth="1"/>
    <col min="26" max="26" width="8.33203125" style="131" hidden="1" customWidth="1"/>
    <col min="27" max="27" width="9.33203125" style="131" customWidth="1"/>
    <col min="28" max="28" width="26.5546875" style="234" hidden="1" customWidth="1"/>
    <col min="29" max="29" width="10.6640625" style="131" hidden="1" customWidth="1"/>
    <col min="30" max="30" width="24.6640625" style="131" customWidth="1"/>
    <col min="31" max="31" width="27.6640625" style="131" customWidth="1"/>
    <col min="32" max="32" width="12" style="131" customWidth="1"/>
    <col min="33" max="33" width="10.6640625" style="131" customWidth="1"/>
    <col min="34" max="34" width="28.109375" style="131" customWidth="1"/>
    <col min="35" max="35" width="6.6640625" style="131" customWidth="1"/>
    <col min="36" max="36" width="12" style="131" customWidth="1"/>
    <col min="37" max="37" width="16.109375" style="131" customWidth="1"/>
    <col min="38" max="38" width="23.88671875" style="131" customWidth="1"/>
    <col min="39" max="39" width="10.33203125" style="131" customWidth="1"/>
    <col min="40" max="40" width="15" style="131" customWidth="1"/>
    <col min="41" max="41" width="16.33203125" style="131" customWidth="1"/>
    <col min="42" max="42" width="23.88671875" style="131" customWidth="1"/>
    <col min="43" max="44" width="11.109375" style="131" bestFit="1" customWidth="1"/>
    <col min="45" max="47" width="10.6640625" style="131" customWidth="1"/>
    <col min="48" max="50" width="10.6640625" style="217" customWidth="1"/>
    <col min="51" max="51" width="11.109375" style="131" bestFit="1" customWidth="1"/>
    <col min="52" max="16384" width="9.109375" style="131"/>
  </cols>
  <sheetData>
    <row r="1" spans="1:50" s="141" customFormat="1" ht="18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215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217"/>
      <c r="AW1" s="217"/>
      <c r="AX1" s="217"/>
    </row>
    <row r="2" spans="1:50" ht="18">
      <c r="A2" s="154" t="s">
        <v>171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764">
        <f>AA68-566515</f>
        <v>0</v>
      </c>
      <c r="Y2" s="154"/>
      <c r="Z2" s="154"/>
      <c r="AA2" s="154"/>
      <c r="AB2" s="765"/>
    </row>
    <row r="3" spans="1:50" ht="18">
      <c r="U3" s="132"/>
      <c r="V3" s="154"/>
      <c r="W3" s="154"/>
      <c r="X3" s="154"/>
      <c r="Y3" s="154"/>
      <c r="Z3" s="154"/>
      <c r="AA3" s="154"/>
    </row>
    <row r="4" spans="1:50" s="217" customFormat="1" ht="69">
      <c r="A4" s="326" t="s">
        <v>623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296" t="s">
        <v>11</v>
      </c>
      <c r="M4" s="133" t="s">
        <v>917</v>
      </c>
      <c r="N4" s="133" t="s">
        <v>918</v>
      </c>
      <c r="O4" s="2" t="s">
        <v>919</v>
      </c>
      <c r="P4" s="2" t="s">
        <v>12</v>
      </c>
      <c r="Q4" s="133" t="s">
        <v>920</v>
      </c>
      <c r="R4" s="133" t="s">
        <v>921</v>
      </c>
      <c r="S4" s="2" t="s">
        <v>922</v>
      </c>
      <c r="T4" s="2" t="s">
        <v>923</v>
      </c>
      <c r="U4" s="2" t="s">
        <v>924</v>
      </c>
      <c r="V4" s="13" t="s">
        <v>13</v>
      </c>
      <c r="W4" s="1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356" t="s">
        <v>242</v>
      </c>
      <c r="AC4" s="133" t="s">
        <v>16</v>
      </c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</row>
    <row r="5" spans="1:50" s="134" customFormat="1" ht="40.200000000000003" customHeight="1">
      <c r="A5" s="135">
        <v>1</v>
      </c>
      <c r="B5" s="135">
        <v>382</v>
      </c>
      <c r="C5" s="135" t="s">
        <v>366</v>
      </c>
      <c r="D5" s="120">
        <v>111381330</v>
      </c>
      <c r="E5" s="120">
        <v>111381330</v>
      </c>
      <c r="F5" s="120">
        <f>D5-E5</f>
        <v>0</v>
      </c>
      <c r="G5" s="120">
        <v>71381330</v>
      </c>
      <c r="H5" s="120">
        <v>63822457</v>
      </c>
      <c r="I5" s="120"/>
      <c r="J5" s="120"/>
      <c r="K5" s="120">
        <f>SUM(I5:J5)</f>
        <v>0</v>
      </c>
      <c r="L5" s="120">
        <f>K5+H5</f>
        <v>63822457</v>
      </c>
      <c r="M5" s="120">
        <f>P5+S5-6000000-7550000</f>
        <v>8873</v>
      </c>
      <c r="N5" s="120">
        <f>7000000+6500000+6000000-4000000-2000000+50000</f>
        <v>13550000</v>
      </c>
      <c r="O5" s="120">
        <f>D5-L5-M5-N5</f>
        <v>34000000</v>
      </c>
      <c r="P5" s="120">
        <f>G5-L5</f>
        <v>7558873</v>
      </c>
      <c r="Q5" s="357">
        <v>6000000</v>
      </c>
      <c r="R5" s="120"/>
      <c r="S5" s="120">
        <f>SUM(Q5:R5)</f>
        <v>6000000</v>
      </c>
      <c r="T5" s="120">
        <f>P5-M5+S5</f>
        <v>13550000</v>
      </c>
      <c r="U5" s="120">
        <f>N5-T5</f>
        <v>0</v>
      </c>
      <c r="V5" s="120">
        <f>U5-Z5-X5-AA5-W5-Y5</f>
        <v>-1200000</v>
      </c>
      <c r="W5" s="120"/>
      <c r="X5" s="120"/>
      <c r="Y5" s="120"/>
      <c r="Z5" s="120"/>
      <c r="AA5" s="120">
        <v>1200000</v>
      </c>
      <c r="AB5" s="218" t="s">
        <v>1426</v>
      </c>
      <c r="AC5" s="135">
        <v>742000</v>
      </c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217"/>
      <c r="AW5" s="217"/>
      <c r="AX5" s="217"/>
    </row>
    <row r="6" spans="1:50" s="136" customFormat="1" ht="40.200000000000003" customHeight="1">
      <c r="A6" s="135">
        <f t="shared" ref="A6:A69" si="0">A5+1</f>
        <v>2</v>
      </c>
      <c r="B6" s="135">
        <v>532</v>
      </c>
      <c r="C6" s="135" t="s">
        <v>68</v>
      </c>
      <c r="D6" s="120">
        <v>80090000</v>
      </c>
      <c r="E6" s="120">
        <v>80090000</v>
      </c>
      <c r="F6" s="120">
        <f t="shared" ref="F6:F67" si="1">D6-E6</f>
        <v>0</v>
      </c>
      <c r="G6" s="120">
        <v>80090000</v>
      </c>
      <c r="H6" s="120">
        <v>79860343</v>
      </c>
      <c r="I6" s="120"/>
      <c r="J6" s="120">
        <f>279440-279440</f>
        <v>0</v>
      </c>
      <c r="K6" s="120">
        <f t="shared" ref="K6:K67" si="2">SUM(I6:J6)</f>
        <v>0</v>
      </c>
      <c r="L6" s="120">
        <f t="shared" ref="L6:L67" si="3">K6+H6</f>
        <v>79860343</v>
      </c>
      <c r="M6" s="120">
        <f>P6+S6-220000</f>
        <v>9657</v>
      </c>
      <c r="N6" s="120">
        <v>70000</v>
      </c>
      <c r="O6" s="120">
        <f t="shared" ref="O6:O67" si="4">D6-L6-M6-N6</f>
        <v>150000</v>
      </c>
      <c r="P6" s="120">
        <f t="shared" ref="P6:P67" si="5">G6-L6</f>
        <v>229657</v>
      </c>
      <c r="Q6" s="357"/>
      <c r="R6" s="120"/>
      <c r="S6" s="120">
        <f t="shared" ref="S6:S67" si="6">SUM(Q6:R6)</f>
        <v>0</v>
      </c>
      <c r="T6" s="120">
        <f t="shared" ref="T6:T67" si="7">P6-M6+S6</f>
        <v>220000</v>
      </c>
      <c r="U6" s="120">
        <f t="shared" ref="U6:U67" si="8">N6-T6</f>
        <v>-150000</v>
      </c>
      <c r="V6" s="120">
        <f t="shared" ref="V6:V67" si="9">U6-Z6-X6-AA6-W6-Y6</f>
        <v>-150000</v>
      </c>
      <c r="W6" s="120"/>
      <c r="X6" s="120"/>
      <c r="Y6" s="120"/>
      <c r="Z6" s="120"/>
      <c r="AA6" s="135"/>
      <c r="AB6" s="221" t="s">
        <v>1321</v>
      </c>
      <c r="AC6" s="135">
        <v>742000</v>
      </c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217"/>
      <c r="AW6" s="217"/>
      <c r="AX6" s="217"/>
    </row>
    <row r="7" spans="1:50" s="136" customFormat="1" ht="40.200000000000003" customHeight="1">
      <c r="A7" s="135">
        <f t="shared" si="0"/>
        <v>3</v>
      </c>
      <c r="B7" s="135">
        <v>576</v>
      </c>
      <c r="C7" s="135" t="s">
        <v>69</v>
      </c>
      <c r="D7" s="120">
        <f>58113000+20000000</f>
        <v>78113000</v>
      </c>
      <c r="E7" s="120">
        <v>58113000</v>
      </c>
      <c r="F7" s="120">
        <f t="shared" si="1"/>
        <v>20000000</v>
      </c>
      <c r="G7" s="120">
        <v>58113000</v>
      </c>
      <c r="H7" s="120">
        <v>57720940</v>
      </c>
      <c r="I7" s="120"/>
      <c r="J7" s="120">
        <f>188783-188783</f>
        <v>0</v>
      </c>
      <c r="K7" s="120">
        <f t="shared" si="2"/>
        <v>0</v>
      </c>
      <c r="L7" s="120">
        <f t="shared" si="3"/>
        <v>57720940</v>
      </c>
      <c r="M7" s="120">
        <f>P7+S7-390000</f>
        <v>2060</v>
      </c>
      <c r="N7" s="120">
        <f>10000000-5000000-2000000+390000-3000000</f>
        <v>390000</v>
      </c>
      <c r="O7" s="120">
        <f t="shared" si="4"/>
        <v>20000000</v>
      </c>
      <c r="P7" s="120">
        <f t="shared" si="5"/>
        <v>392060</v>
      </c>
      <c r="Q7" s="357"/>
      <c r="R7" s="120"/>
      <c r="S7" s="120">
        <f t="shared" si="6"/>
        <v>0</v>
      </c>
      <c r="T7" s="120">
        <f t="shared" si="7"/>
        <v>390000</v>
      </c>
      <c r="U7" s="120">
        <f t="shared" si="8"/>
        <v>0</v>
      </c>
      <c r="V7" s="120">
        <f t="shared" si="9"/>
        <v>0</v>
      </c>
      <c r="W7" s="120"/>
      <c r="X7" s="120"/>
      <c r="Y7" s="120"/>
      <c r="Z7" s="120"/>
      <c r="AA7" s="120">
        <f>3000000-3000000</f>
        <v>0</v>
      </c>
      <c r="AB7" s="135" t="s">
        <v>1495</v>
      </c>
      <c r="AC7" s="135">
        <v>760000</v>
      </c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217"/>
      <c r="AW7" s="217"/>
      <c r="AX7" s="217"/>
    </row>
    <row r="8" spans="1:50" s="134" customFormat="1" ht="40.200000000000003" customHeight="1">
      <c r="A8" s="135">
        <f t="shared" si="0"/>
        <v>4</v>
      </c>
      <c r="B8" s="135">
        <v>1067</v>
      </c>
      <c r="C8" s="135" t="s">
        <v>70</v>
      </c>
      <c r="D8" s="120">
        <f>4975000+500000</f>
        <v>5475000</v>
      </c>
      <c r="E8" s="120">
        <v>4975000</v>
      </c>
      <c r="F8" s="120">
        <f t="shared" si="1"/>
        <v>500000</v>
      </c>
      <c r="G8" s="120">
        <v>4475000</v>
      </c>
      <c r="H8" s="120">
        <v>4513801</v>
      </c>
      <c r="I8" s="120"/>
      <c r="J8" s="120">
        <f>81104-81104</f>
        <v>0</v>
      </c>
      <c r="K8" s="120">
        <f t="shared" si="2"/>
        <v>0</v>
      </c>
      <c r="L8" s="120">
        <f t="shared" si="3"/>
        <v>4513801</v>
      </c>
      <c r="M8" s="120">
        <f>P8+S8-460000</f>
        <v>1199</v>
      </c>
      <c r="N8" s="120">
        <f>500000+460000-300000</f>
        <v>660000</v>
      </c>
      <c r="O8" s="120">
        <f t="shared" si="4"/>
        <v>300000</v>
      </c>
      <c r="P8" s="120">
        <f t="shared" si="5"/>
        <v>-38801</v>
      </c>
      <c r="Q8" s="357">
        <v>500000</v>
      </c>
      <c r="R8" s="120"/>
      <c r="S8" s="120">
        <f t="shared" si="6"/>
        <v>500000</v>
      </c>
      <c r="T8" s="120">
        <f t="shared" si="7"/>
        <v>460000</v>
      </c>
      <c r="U8" s="120">
        <f t="shared" si="8"/>
        <v>200000</v>
      </c>
      <c r="V8" s="120">
        <f t="shared" si="9"/>
        <v>200000</v>
      </c>
      <c r="W8" s="120"/>
      <c r="X8" s="120"/>
      <c r="Y8" s="120"/>
      <c r="Z8" s="120"/>
      <c r="AA8" s="135"/>
      <c r="AB8" s="221" t="s">
        <v>256</v>
      </c>
      <c r="AC8" s="135">
        <v>742000</v>
      </c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217"/>
      <c r="AW8" s="217"/>
      <c r="AX8" s="217"/>
    </row>
    <row r="9" spans="1:50" s="136" customFormat="1" ht="40.200000000000003" customHeight="1">
      <c r="A9" s="135">
        <f t="shared" si="0"/>
        <v>5</v>
      </c>
      <c r="B9" s="135">
        <v>1207</v>
      </c>
      <c r="C9" s="135" t="s">
        <v>71</v>
      </c>
      <c r="D9" s="120">
        <v>45650000</v>
      </c>
      <c r="E9" s="120">
        <v>45650000</v>
      </c>
      <c r="F9" s="120">
        <f t="shared" si="1"/>
        <v>0</v>
      </c>
      <c r="G9" s="120">
        <v>44770000</v>
      </c>
      <c r="H9" s="120">
        <v>43349903</v>
      </c>
      <c r="I9" s="120"/>
      <c r="J9" s="120"/>
      <c r="K9" s="120">
        <f t="shared" si="2"/>
        <v>0</v>
      </c>
      <c r="L9" s="120">
        <f t="shared" si="3"/>
        <v>43349903</v>
      </c>
      <c r="M9" s="120">
        <f>P9+S9-1400000</f>
        <v>20097</v>
      </c>
      <c r="N9" s="120"/>
      <c r="O9" s="120">
        <f t="shared" si="4"/>
        <v>2280000</v>
      </c>
      <c r="P9" s="120">
        <f t="shared" si="5"/>
        <v>1420097</v>
      </c>
      <c r="Q9" s="357"/>
      <c r="R9" s="120"/>
      <c r="S9" s="120">
        <f t="shared" si="6"/>
        <v>0</v>
      </c>
      <c r="T9" s="120">
        <f t="shared" si="7"/>
        <v>1400000</v>
      </c>
      <c r="U9" s="120">
        <f t="shared" si="8"/>
        <v>-1400000</v>
      </c>
      <c r="V9" s="120">
        <f t="shared" si="9"/>
        <v>-1400000</v>
      </c>
      <c r="W9" s="120"/>
      <c r="X9" s="120"/>
      <c r="Y9" s="120"/>
      <c r="Z9" s="120"/>
      <c r="AA9" s="135"/>
      <c r="AB9" s="221" t="s">
        <v>805</v>
      </c>
      <c r="AC9" s="135">
        <v>742000</v>
      </c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217"/>
      <c r="AW9" s="217"/>
      <c r="AX9" s="217"/>
    </row>
    <row r="10" spans="1:50" s="136" customFormat="1" ht="40.200000000000003" customHeight="1">
      <c r="A10" s="135">
        <f t="shared" si="0"/>
        <v>6</v>
      </c>
      <c r="B10" s="135">
        <v>1238</v>
      </c>
      <c r="C10" s="135" t="s">
        <v>718</v>
      </c>
      <c r="D10" s="120">
        <v>40500000</v>
      </c>
      <c r="E10" s="120">
        <v>40500000</v>
      </c>
      <c r="F10" s="120">
        <f t="shared" si="1"/>
        <v>0</v>
      </c>
      <c r="G10" s="120">
        <v>26000000</v>
      </c>
      <c r="H10" s="120">
        <v>26038535</v>
      </c>
      <c r="I10" s="120"/>
      <c r="J10" s="120">
        <f>214321-214321</f>
        <v>0</v>
      </c>
      <c r="K10" s="120">
        <f t="shared" si="2"/>
        <v>0</v>
      </c>
      <c r="L10" s="120">
        <f t="shared" si="3"/>
        <v>26038535</v>
      </c>
      <c r="M10" s="120">
        <f>P10+S10-1960000</f>
        <v>1465</v>
      </c>
      <c r="N10" s="120">
        <f>12500000-7500000+1960000</f>
        <v>6960000</v>
      </c>
      <c r="O10" s="120">
        <f t="shared" si="4"/>
        <v>7500000</v>
      </c>
      <c r="P10" s="120">
        <f t="shared" si="5"/>
        <v>-38535</v>
      </c>
      <c r="Q10" s="357">
        <f>2250000-250000</f>
        <v>2000000</v>
      </c>
      <c r="R10" s="120"/>
      <c r="S10" s="120">
        <f t="shared" si="6"/>
        <v>2000000</v>
      </c>
      <c r="T10" s="120">
        <f t="shared" si="7"/>
        <v>1960000</v>
      </c>
      <c r="U10" s="120">
        <f t="shared" si="8"/>
        <v>5000000</v>
      </c>
      <c r="V10" s="120">
        <f t="shared" si="9"/>
        <v>500000</v>
      </c>
      <c r="W10" s="120"/>
      <c r="X10" s="120"/>
      <c r="Y10" s="120"/>
      <c r="Z10" s="120"/>
      <c r="AA10" s="120">
        <v>4500000</v>
      </c>
      <c r="AB10" s="235" t="s">
        <v>1383</v>
      </c>
      <c r="AC10" s="135">
        <v>742000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217"/>
      <c r="AW10" s="217"/>
      <c r="AX10" s="217"/>
    </row>
    <row r="11" spans="1:50" s="136" customFormat="1" ht="40.200000000000003" customHeight="1">
      <c r="A11" s="135">
        <f t="shared" si="0"/>
        <v>7</v>
      </c>
      <c r="B11" s="135">
        <v>1298</v>
      </c>
      <c r="C11" s="135" t="s">
        <v>32</v>
      </c>
      <c r="D11" s="120">
        <f>6100000+500000</f>
        <v>6600000</v>
      </c>
      <c r="E11" s="120">
        <v>6100000</v>
      </c>
      <c r="F11" s="120">
        <f t="shared" si="1"/>
        <v>500000</v>
      </c>
      <c r="G11" s="120">
        <v>5800000</v>
      </c>
      <c r="H11" s="120">
        <v>5766092</v>
      </c>
      <c r="I11" s="120"/>
      <c r="J11" s="120">
        <f>73889-73889</f>
        <v>0</v>
      </c>
      <c r="K11" s="120">
        <f t="shared" si="2"/>
        <v>0</v>
      </c>
      <c r="L11" s="120">
        <f t="shared" si="3"/>
        <v>5766092</v>
      </c>
      <c r="M11" s="120">
        <f>P11+S11-330000</f>
        <v>3908</v>
      </c>
      <c r="N11" s="120">
        <f>500000+330000-230000</f>
        <v>600000</v>
      </c>
      <c r="O11" s="120">
        <f t="shared" si="4"/>
        <v>230000</v>
      </c>
      <c r="P11" s="120">
        <f t="shared" si="5"/>
        <v>33908</v>
      </c>
      <c r="Q11" s="357">
        <f>400000-100000</f>
        <v>300000</v>
      </c>
      <c r="R11" s="120"/>
      <c r="S11" s="120">
        <f t="shared" si="6"/>
        <v>300000</v>
      </c>
      <c r="T11" s="120">
        <f t="shared" si="7"/>
        <v>330000</v>
      </c>
      <c r="U11" s="120">
        <f t="shared" si="8"/>
        <v>270000</v>
      </c>
      <c r="V11" s="120">
        <f t="shared" si="9"/>
        <v>270000</v>
      </c>
      <c r="W11" s="120"/>
      <c r="X11" s="120"/>
      <c r="Y11" s="120"/>
      <c r="Z11" s="120"/>
      <c r="AA11" s="135"/>
      <c r="AB11" s="221" t="s">
        <v>257</v>
      </c>
      <c r="AC11" s="135">
        <v>742000</v>
      </c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217"/>
      <c r="AW11" s="217"/>
      <c r="AX11" s="217"/>
    </row>
    <row r="12" spans="1:50" s="5" customFormat="1" ht="40.200000000000003" customHeight="1">
      <c r="A12" s="135">
        <f t="shared" si="0"/>
        <v>8</v>
      </c>
      <c r="B12" s="3">
        <v>1314</v>
      </c>
      <c r="C12" s="3" t="s">
        <v>39</v>
      </c>
      <c r="D12" s="120">
        <v>5200000</v>
      </c>
      <c r="E12" s="120">
        <v>5200000</v>
      </c>
      <c r="F12" s="120">
        <f t="shared" si="1"/>
        <v>0</v>
      </c>
      <c r="G12" s="120">
        <v>5200000</v>
      </c>
      <c r="H12" s="120">
        <v>5177082</v>
      </c>
      <c r="I12" s="120"/>
      <c r="J12" s="120">
        <f>423663-423663</f>
        <v>0</v>
      </c>
      <c r="K12" s="120">
        <f t="shared" si="2"/>
        <v>0</v>
      </c>
      <c r="L12" s="120">
        <f t="shared" si="3"/>
        <v>5177082</v>
      </c>
      <c r="M12" s="120">
        <f>P12+S12-20000-2918</f>
        <v>0</v>
      </c>
      <c r="N12" s="120"/>
      <c r="O12" s="120">
        <f t="shared" si="4"/>
        <v>22918</v>
      </c>
      <c r="P12" s="120">
        <f t="shared" si="5"/>
        <v>22918</v>
      </c>
      <c r="Q12" s="357"/>
      <c r="R12" s="120"/>
      <c r="S12" s="120">
        <f t="shared" si="6"/>
        <v>0</v>
      </c>
      <c r="T12" s="120">
        <f t="shared" si="7"/>
        <v>22918</v>
      </c>
      <c r="U12" s="120">
        <f t="shared" si="8"/>
        <v>-22918</v>
      </c>
      <c r="V12" s="120">
        <f t="shared" si="9"/>
        <v>-22918</v>
      </c>
      <c r="W12" s="120"/>
      <c r="X12" s="120"/>
      <c r="Y12" s="120"/>
      <c r="Z12" s="120"/>
      <c r="AA12" s="135"/>
      <c r="AB12" s="3" t="s">
        <v>1419</v>
      </c>
      <c r="AC12" s="3">
        <v>742000</v>
      </c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217"/>
      <c r="AW12" s="217"/>
      <c r="AX12" s="217"/>
    </row>
    <row r="13" spans="1:50" s="5" customFormat="1" ht="40.200000000000003" customHeight="1">
      <c r="A13" s="135">
        <f t="shared" si="0"/>
        <v>9</v>
      </c>
      <c r="B13" s="3">
        <v>1322</v>
      </c>
      <c r="C13" s="3" t="s">
        <v>33</v>
      </c>
      <c r="D13" s="120">
        <v>18500000</v>
      </c>
      <c r="E13" s="120">
        <v>18500000</v>
      </c>
      <c r="F13" s="120">
        <f t="shared" si="1"/>
        <v>0</v>
      </c>
      <c r="G13" s="120">
        <v>10850000</v>
      </c>
      <c r="H13" s="120">
        <v>9799391</v>
      </c>
      <c r="I13" s="120"/>
      <c r="J13" s="120"/>
      <c r="K13" s="120">
        <f t="shared" si="2"/>
        <v>0</v>
      </c>
      <c r="L13" s="120">
        <f t="shared" si="3"/>
        <v>9799391</v>
      </c>
      <c r="M13" s="120">
        <f>P13+S13-1000000-50000</f>
        <v>609</v>
      </c>
      <c r="N13" s="120">
        <f>1000000+50000</f>
        <v>1050000</v>
      </c>
      <c r="O13" s="120">
        <f t="shared" si="4"/>
        <v>7650000</v>
      </c>
      <c r="P13" s="120">
        <f t="shared" si="5"/>
        <v>1050609</v>
      </c>
      <c r="Q13" s="357"/>
      <c r="R13" s="120"/>
      <c r="S13" s="120">
        <f t="shared" si="6"/>
        <v>0</v>
      </c>
      <c r="T13" s="120">
        <f t="shared" si="7"/>
        <v>1050000</v>
      </c>
      <c r="U13" s="120">
        <f t="shared" si="8"/>
        <v>0</v>
      </c>
      <c r="V13" s="120">
        <f t="shared" si="9"/>
        <v>0</v>
      </c>
      <c r="W13" s="120"/>
      <c r="X13" s="120"/>
      <c r="Y13" s="120"/>
      <c r="Z13" s="120"/>
      <c r="AA13" s="135"/>
      <c r="AB13" s="3" t="s">
        <v>509</v>
      </c>
      <c r="AC13" s="3">
        <v>742000</v>
      </c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217"/>
      <c r="AW13" s="217"/>
      <c r="AX13" s="217"/>
    </row>
    <row r="14" spans="1:50" s="5" customFormat="1" ht="40.200000000000003" customHeight="1">
      <c r="A14" s="135">
        <f t="shared" si="0"/>
        <v>10</v>
      </c>
      <c r="B14" s="3">
        <v>1357</v>
      </c>
      <c r="C14" s="3" t="s">
        <v>40</v>
      </c>
      <c r="D14" s="120">
        <v>18812000</v>
      </c>
      <c r="E14" s="120">
        <v>18812000</v>
      </c>
      <c r="F14" s="120">
        <f t="shared" si="1"/>
        <v>0</v>
      </c>
      <c r="G14" s="120">
        <v>18812000</v>
      </c>
      <c r="H14" s="120">
        <v>17954809</v>
      </c>
      <c r="I14" s="120"/>
      <c r="J14" s="120">
        <f>462475-462475</f>
        <v>0</v>
      </c>
      <c r="K14" s="120">
        <f t="shared" si="2"/>
        <v>0</v>
      </c>
      <c r="L14" s="120">
        <f t="shared" si="3"/>
        <v>17954809</v>
      </c>
      <c r="M14" s="120">
        <f>P14+S14-850000</f>
        <v>7191</v>
      </c>
      <c r="N14" s="120">
        <v>850000</v>
      </c>
      <c r="O14" s="120">
        <f t="shared" si="4"/>
        <v>0</v>
      </c>
      <c r="P14" s="120">
        <f t="shared" si="5"/>
        <v>857191</v>
      </c>
      <c r="Q14" s="357"/>
      <c r="R14" s="120"/>
      <c r="S14" s="120">
        <f t="shared" si="6"/>
        <v>0</v>
      </c>
      <c r="T14" s="120">
        <f t="shared" si="7"/>
        <v>850000</v>
      </c>
      <c r="U14" s="120">
        <f t="shared" si="8"/>
        <v>0</v>
      </c>
      <c r="V14" s="120">
        <f t="shared" si="9"/>
        <v>0</v>
      </c>
      <c r="W14" s="120"/>
      <c r="X14" s="120"/>
      <c r="Y14" s="120"/>
      <c r="Z14" s="120"/>
      <c r="AA14" s="135"/>
      <c r="AB14" s="3" t="s">
        <v>625</v>
      </c>
      <c r="AC14" s="3">
        <v>829000</v>
      </c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217"/>
      <c r="AW14" s="217"/>
      <c r="AX14" s="217"/>
    </row>
    <row r="15" spans="1:50" s="134" customFormat="1" ht="40.200000000000003" customHeight="1">
      <c r="A15" s="135">
        <f t="shared" si="0"/>
        <v>11</v>
      </c>
      <c r="B15" s="135">
        <v>1375</v>
      </c>
      <c r="C15" s="135" t="s">
        <v>329</v>
      </c>
      <c r="D15" s="120">
        <f>40150000+2000000</f>
        <v>42150000</v>
      </c>
      <c r="E15" s="120">
        <v>40150000</v>
      </c>
      <c r="F15" s="120">
        <f t="shared" si="1"/>
        <v>2000000</v>
      </c>
      <c r="G15" s="120">
        <v>30150000</v>
      </c>
      <c r="H15" s="120">
        <v>30140054</v>
      </c>
      <c r="I15" s="120"/>
      <c r="J15" s="120">
        <f>128941-128941</f>
        <v>0</v>
      </c>
      <c r="K15" s="120">
        <f t="shared" si="2"/>
        <v>0</v>
      </c>
      <c r="L15" s="120">
        <f t="shared" si="3"/>
        <v>30140054</v>
      </c>
      <c r="M15" s="120">
        <f t="shared" ref="M15:M66" si="10">P15+S15</f>
        <v>9946</v>
      </c>
      <c r="N15" s="120">
        <f>12000000-12000000</f>
        <v>0</v>
      </c>
      <c r="O15" s="120">
        <f t="shared" si="4"/>
        <v>12000000</v>
      </c>
      <c r="P15" s="120">
        <f t="shared" si="5"/>
        <v>9946</v>
      </c>
      <c r="Q15" s="357"/>
      <c r="R15" s="120"/>
      <c r="S15" s="120">
        <f t="shared" si="6"/>
        <v>0</v>
      </c>
      <c r="T15" s="120">
        <f t="shared" si="7"/>
        <v>0</v>
      </c>
      <c r="U15" s="120">
        <f t="shared" si="8"/>
        <v>0</v>
      </c>
      <c r="V15" s="120">
        <f t="shared" si="9"/>
        <v>0</v>
      </c>
      <c r="W15" s="120"/>
      <c r="X15" s="120"/>
      <c r="Y15" s="120"/>
      <c r="Z15" s="120"/>
      <c r="AA15" s="135"/>
      <c r="AB15" s="135" t="s">
        <v>882</v>
      </c>
      <c r="AC15" s="135">
        <v>747000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217"/>
      <c r="AW15" s="217"/>
      <c r="AX15" s="217"/>
    </row>
    <row r="16" spans="1:50" s="134" customFormat="1" ht="40.200000000000003" customHeight="1">
      <c r="A16" s="135">
        <f t="shared" si="0"/>
        <v>12</v>
      </c>
      <c r="B16" s="135">
        <v>1588</v>
      </c>
      <c r="C16" s="135" t="s">
        <v>24</v>
      </c>
      <c r="D16" s="120">
        <f>50500000+3000000</f>
        <v>53500000</v>
      </c>
      <c r="E16" s="120">
        <v>50500000</v>
      </c>
      <c r="F16" s="120">
        <f t="shared" si="1"/>
        <v>3000000</v>
      </c>
      <c r="G16" s="120">
        <v>45500000</v>
      </c>
      <c r="H16" s="120">
        <v>40127873</v>
      </c>
      <c r="I16" s="120"/>
      <c r="J16" s="120">
        <f>768552-768552</f>
        <v>0</v>
      </c>
      <c r="K16" s="120">
        <f t="shared" si="2"/>
        <v>0</v>
      </c>
      <c r="L16" s="120">
        <f t="shared" si="3"/>
        <v>40127873</v>
      </c>
      <c r="M16" s="120">
        <f>P16+S16-5000000+1000000-1370000</f>
        <v>2127</v>
      </c>
      <c r="N16" s="120">
        <f>5000000+5000000-1000000+1370000-3000000-500000</f>
        <v>6870000</v>
      </c>
      <c r="O16" s="120">
        <f t="shared" si="4"/>
        <v>6500000</v>
      </c>
      <c r="P16" s="120">
        <f t="shared" si="5"/>
        <v>5372127</v>
      </c>
      <c r="Q16" s="357"/>
      <c r="R16" s="120"/>
      <c r="S16" s="120">
        <f t="shared" si="6"/>
        <v>0</v>
      </c>
      <c r="T16" s="120">
        <f t="shared" si="7"/>
        <v>5370000</v>
      </c>
      <c r="U16" s="120">
        <f t="shared" si="8"/>
        <v>1500000</v>
      </c>
      <c r="V16" s="120">
        <f t="shared" si="9"/>
        <v>-2962592</v>
      </c>
      <c r="W16" s="120"/>
      <c r="X16" s="120"/>
      <c r="Y16" s="120"/>
      <c r="Z16" s="120"/>
      <c r="AA16" s="120">
        <v>4462592</v>
      </c>
      <c r="AB16" s="135" t="s">
        <v>1384</v>
      </c>
      <c r="AC16" s="135">
        <v>742000</v>
      </c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217"/>
      <c r="AW16" s="217"/>
      <c r="AX16" s="217"/>
    </row>
    <row r="17" spans="1:51" s="134" customFormat="1" ht="40.200000000000003" customHeight="1">
      <c r="A17" s="135">
        <f t="shared" si="0"/>
        <v>13</v>
      </c>
      <c r="B17" s="135">
        <v>1615</v>
      </c>
      <c r="C17" s="135" t="s">
        <v>98</v>
      </c>
      <c r="D17" s="120">
        <v>27700000</v>
      </c>
      <c r="E17" s="120">
        <v>27700000</v>
      </c>
      <c r="F17" s="120">
        <f t="shared" si="1"/>
        <v>0</v>
      </c>
      <c r="G17" s="120">
        <v>23700000</v>
      </c>
      <c r="H17" s="120">
        <v>22547620</v>
      </c>
      <c r="I17" s="120"/>
      <c r="J17" s="120">
        <f>405629-405629</f>
        <v>0</v>
      </c>
      <c r="K17" s="120">
        <f t="shared" si="2"/>
        <v>0</v>
      </c>
      <c r="L17" s="120">
        <f t="shared" si="3"/>
        <v>22547620</v>
      </c>
      <c r="M17" s="120">
        <f>P17+S17-1100000-50000</f>
        <v>2380</v>
      </c>
      <c r="N17" s="120">
        <f>100000+50000</f>
        <v>150000</v>
      </c>
      <c r="O17" s="120">
        <f t="shared" si="4"/>
        <v>5000000</v>
      </c>
      <c r="P17" s="120">
        <f t="shared" si="5"/>
        <v>1152380</v>
      </c>
      <c r="Q17" s="357"/>
      <c r="R17" s="120"/>
      <c r="S17" s="120">
        <f t="shared" si="6"/>
        <v>0</v>
      </c>
      <c r="T17" s="120">
        <f t="shared" si="7"/>
        <v>1150000</v>
      </c>
      <c r="U17" s="120">
        <f t="shared" si="8"/>
        <v>-1000000</v>
      </c>
      <c r="V17" s="120">
        <f t="shared" si="9"/>
        <v>-1000000</v>
      </c>
      <c r="W17" s="120"/>
      <c r="X17" s="120"/>
      <c r="Y17" s="120"/>
      <c r="Z17" s="120"/>
      <c r="AA17" s="135"/>
      <c r="AB17" s="135" t="s">
        <v>1322</v>
      </c>
      <c r="AC17" s="135">
        <v>742000</v>
      </c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217"/>
      <c r="AW17" s="217"/>
      <c r="AX17" s="217"/>
    </row>
    <row r="18" spans="1:51" s="5" customFormat="1" ht="40.200000000000003" customHeight="1">
      <c r="A18" s="135">
        <f t="shared" si="0"/>
        <v>14</v>
      </c>
      <c r="B18" s="3">
        <v>1620</v>
      </c>
      <c r="C18" s="19" t="s">
        <v>1374</v>
      </c>
      <c r="D18" s="4">
        <v>4200000</v>
      </c>
      <c r="E18" s="4">
        <v>4200000</v>
      </c>
      <c r="F18" s="4">
        <f t="shared" si="1"/>
        <v>0</v>
      </c>
      <c r="G18" s="4">
        <v>100000</v>
      </c>
      <c r="H18" s="4"/>
      <c r="I18" s="4"/>
      <c r="J18" s="4"/>
      <c r="K18" s="4">
        <f>SUM(I18:J18)</f>
        <v>0</v>
      </c>
      <c r="L18" s="4">
        <f>H18+K18</f>
        <v>0</v>
      </c>
      <c r="M18" s="4">
        <f>P18+S18-200000</f>
        <v>0</v>
      </c>
      <c r="N18" s="4">
        <f>1500000-750000-750000+200000</f>
        <v>200000</v>
      </c>
      <c r="O18" s="4">
        <f t="shared" si="4"/>
        <v>4000000</v>
      </c>
      <c r="P18" s="4">
        <f t="shared" si="5"/>
        <v>100000</v>
      </c>
      <c r="Q18" s="354">
        <v>100000</v>
      </c>
      <c r="R18" s="4"/>
      <c r="S18" s="4">
        <f t="shared" si="6"/>
        <v>100000</v>
      </c>
      <c r="T18" s="4">
        <f t="shared" si="7"/>
        <v>200000</v>
      </c>
      <c r="U18" s="4">
        <f t="shared" si="8"/>
        <v>0</v>
      </c>
      <c r="V18" s="4">
        <f>U18-AA18-W18-Z18-Y18-X18</f>
        <v>0</v>
      </c>
      <c r="W18" s="4"/>
      <c r="X18" s="4"/>
      <c r="Y18" s="4"/>
      <c r="Z18" s="4"/>
      <c r="AA18" s="3"/>
      <c r="AB18" s="3" t="s">
        <v>786</v>
      </c>
      <c r="AC18" s="3">
        <v>732000</v>
      </c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8"/>
      <c r="AW18" s="18"/>
      <c r="AX18" s="18"/>
      <c r="AY18" s="18"/>
    </row>
    <row r="19" spans="1:51" s="134" customFormat="1" ht="40.200000000000003" customHeight="1">
      <c r="A19" s="135">
        <f t="shared" si="0"/>
        <v>15</v>
      </c>
      <c r="B19" s="135">
        <v>1657</v>
      </c>
      <c r="C19" s="135" t="s">
        <v>26</v>
      </c>
      <c r="D19" s="4">
        <f>60000000+5000000</f>
        <v>65000000</v>
      </c>
      <c r="E19" s="120">
        <v>60000000</v>
      </c>
      <c r="F19" s="120">
        <f t="shared" si="1"/>
        <v>5000000</v>
      </c>
      <c r="G19" s="120">
        <v>41519789</v>
      </c>
      <c r="H19" s="120">
        <v>53294967</v>
      </c>
      <c r="I19" s="120"/>
      <c r="J19" s="120">
        <f>478613-478613</f>
        <v>0</v>
      </c>
      <c r="K19" s="120">
        <f t="shared" si="2"/>
        <v>0</v>
      </c>
      <c r="L19" s="120">
        <f t="shared" si="3"/>
        <v>53294967</v>
      </c>
      <c r="M19" s="120">
        <f>P19+S19-1220000</f>
        <v>4822</v>
      </c>
      <c r="N19" s="4">
        <v>1220000</v>
      </c>
      <c r="O19" s="120">
        <f t="shared" si="4"/>
        <v>10480211</v>
      </c>
      <c r="P19" s="120">
        <f t="shared" si="5"/>
        <v>-11775178</v>
      </c>
      <c r="Q19" s="357">
        <v>13000000</v>
      </c>
      <c r="R19" s="120"/>
      <c r="S19" s="120">
        <f t="shared" si="6"/>
        <v>13000000</v>
      </c>
      <c r="T19" s="120">
        <f t="shared" si="7"/>
        <v>1220000</v>
      </c>
      <c r="U19" s="120">
        <f t="shared" si="8"/>
        <v>0</v>
      </c>
      <c r="V19" s="120">
        <f t="shared" si="9"/>
        <v>0</v>
      </c>
      <c r="W19" s="120"/>
      <c r="X19" s="120"/>
      <c r="Y19" s="120"/>
      <c r="Z19" s="120"/>
      <c r="AA19" s="135"/>
      <c r="AB19" s="3" t="s">
        <v>1427</v>
      </c>
      <c r="AC19" s="135">
        <v>742000</v>
      </c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217"/>
      <c r="AW19" s="217"/>
      <c r="AX19" s="217"/>
    </row>
    <row r="20" spans="1:51" s="5" customFormat="1" ht="40.200000000000003" customHeight="1">
      <c r="A20" s="135">
        <f t="shared" si="0"/>
        <v>16</v>
      </c>
      <c r="B20" s="3">
        <v>1670</v>
      </c>
      <c r="C20" s="3" t="s">
        <v>90</v>
      </c>
      <c r="D20" s="120">
        <f>17800000+19900000</f>
        <v>37700000</v>
      </c>
      <c r="E20" s="120">
        <v>17800000</v>
      </c>
      <c r="F20" s="120">
        <f t="shared" si="1"/>
        <v>19900000</v>
      </c>
      <c r="G20" s="120">
        <v>6050000</v>
      </c>
      <c r="H20" s="120">
        <v>5792275</v>
      </c>
      <c r="I20" s="120"/>
      <c r="J20" s="120">
        <v>17295</v>
      </c>
      <c r="K20" s="120">
        <f t="shared" si="2"/>
        <v>17295</v>
      </c>
      <c r="L20" s="120">
        <f t="shared" si="3"/>
        <v>5809570</v>
      </c>
      <c r="M20" s="120">
        <f>P20+S20-240000</f>
        <v>430</v>
      </c>
      <c r="N20" s="120">
        <f>15000000-5000000-3000000+240000-2000000</f>
        <v>5240000</v>
      </c>
      <c r="O20" s="120">
        <f t="shared" si="4"/>
        <v>26650000</v>
      </c>
      <c r="P20" s="120">
        <f t="shared" si="5"/>
        <v>240430</v>
      </c>
      <c r="Q20" s="357"/>
      <c r="R20" s="120"/>
      <c r="S20" s="120">
        <f t="shared" si="6"/>
        <v>0</v>
      </c>
      <c r="T20" s="120">
        <f t="shared" si="7"/>
        <v>240000</v>
      </c>
      <c r="U20" s="120">
        <f t="shared" si="8"/>
        <v>5000000</v>
      </c>
      <c r="V20" s="120">
        <f t="shared" si="9"/>
        <v>5000000</v>
      </c>
      <c r="W20" s="120"/>
      <c r="X20" s="120"/>
      <c r="Y20" s="120"/>
      <c r="Z20" s="120"/>
      <c r="AA20" s="135"/>
      <c r="AB20" s="3" t="s">
        <v>484</v>
      </c>
      <c r="AC20" s="3">
        <v>742000</v>
      </c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217"/>
      <c r="AW20" s="217"/>
      <c r="AX20" s="217"/>
    </row>
    <row r="21" spans="1:51" s="5" customFormat="1" ht="40.200000000000003" customHeight="1">
      <c r="A21" s="135">
        <f t="shared" si="0"/>
        <v>17</v>
      </c>
      <c r="B21" s="3">
        <v>1693</v>
      </c>
      <c r="C21" s="3" t="s">
        <v>100</v>
      </c>
      <c r="D21" s="120">
        <v>4500000</v>
      </c>
      <c r="E21" s="120">
        <v>4500000</v>
      </c>
      <c r="F21" s="120">
        <f t="shared" si="1"/>
        <v>0</v>
      </c>
      <c r="G21" s="120">
        <v>2416703</v>
      </c>
      <c r="H21" s="120">
        <v>708955</v>
      </c>
      <c r="I21" s="120">
        <f>449944</f>
        <v>449944</v>
      </c>
      <c r="J21" s="120">
        <v>166720</v>
      </c>
      <c r="K21" s="120">
        <f t="shared" si="2"/>
        <v>616664</v>
      </c>
      <c r="L21" s="120">
        <f t="shared" si="3"/>
        <v>1325619</v>
      </c>
      <c r="M21" s="120">
        <f>P21+S21-700000-390000</f>
        <v>1084</v>
      </c>
      <c r="N21" s="120">
        <f>700000+390000</f>
        <v>1090000</v>
      </c>
      <c r="O21" s="120">
        <f t="shared" si="4"/>
        <v>2083297</v>
      </c>
      <c r="P21" s="120">
        <f t="shared" si="5"/>
        <v>1091084</v>
      </c>
      <c r="Q21" s="357"/>
      <c r="R21" s="120"/>
      <c r="S21" s="120">
        <f t="shared" si="6"/>
        <v>0</v>
      </c>
      <c r="T21" s="120">
        <f t="shared" si="7"/>
        <v>1090000</v>
      </c>
      <c r="U21" s="120">
        <f t="shared" si="8"/>
        <v>0</v>
      </c>
      <c r="V21" s="120">
        <f t="shared" si="9"/>
        <v>0</v>
      </c>
      <c r="W21" s="120"/>
      <c r="X21" s="120"/>
      <c r="Y21" s="120"/>
      <c r="Z21" s="120"/>
      <c r="AA21" s="135"/>
      <c r="AB21" s="3" t="s">
        <v>774</v>
      </c>
      <c r="AC21" s="3">
        <v>732000</v>
      </c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217"/>
      <c r="AW21" s="217"/>
      <c r="AX21" s="217"/>
    </row>
    <row r="22" spans="1:51" s="134" customFormat="1" ht="40.200000000000003" customHeight="1">
      <c r="A22" s="135">
        <f t="shared" si="0"/>
        <v>18</v>
      </c>
      <c r="B22" s="135">
        <v>1723</v>
      </c>
      <c r="C22" s="135" t="s">
        <v>27</v>
      </c>
      <c r="D22" s="120">
        <v>1978521</v>
      </c>
      <c r="E22" s="120">
        <v>1978521</v>
      </c>
      <c r="F22" s="120">
        <f t="shared" si="1"/>
        <v>0</v>
      </c>
      <c r="G22" s="120">
        <v>1978521</v>
      </c>
      <c r="H22" s="120">
        <v>1651128</v>
      </c>
      <c r="I22" s="120"/>
      <c r="J22" s="120">
        <f>94349-94349</f>
        <v>0</v>
      </c>
      <c r="K22" s="120">
        <f t="shared" si="2"/>
        <v>0</v>
      </c>
      <c r="L22" s="120">
        <f t="shared" si="3"/>
        <v>1651128</v>
      </c>
      <c r="M22" s="120">
        <f>P22+S22-320000</f>
        <v>7393</v>
      </c>
      <c r="N22" s="120">
        <v>120000</v>
      </c>
      <c r="O22" s="120">
        <f t="shared" si="4"/>
        <v>200000</v>
      </c>
      <c r="P22" s="120">
        <f t="shared" si="5"/>
        <v>327393</v>
      </c>
      <c r="Q22" s="357"/>
      <c r="R22" s="120"/>
      <c r="S22" s="120">
        <f t="shared" si="6"/>
        <v>0</v>
      </c>
      <c r="T22" s="120">
        <f t="shared" si="7"/>
        <v>320000</v>
      </c>
      <c r="U22" s="120">
        <f t="shared" si="8"/>
        <v>-200000</v>
      </c>
      <c r="V22" s="120">
        <f t="shared" si="9"/>
        <v>-200000</v>
      </c>
      <c r="W22" s="120"/>
      <c r="X22" s="120"/>
      <c r="Y22" s="120"/>
      <c r="Z22" s="120"/>
      <c r="AA22" s="135"/>
      <c r="AB22" s="135" t="s">
        <v>1315</v>
      </c>
      <c r="AC22" s="135">
        <v>732000</v>
      </c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217"/>
      <c r="AW22" s="217"/>
      <c r="AX22" s="217"/>
    </row>
    <row r="23" spans="1:51" s="5" customFormat="1" ht="40.200000000000003" customHeight="1">
      <c r="A23" s="135">
        <f t="shared" si="0"/>
        <v>19</v>
      </c>
      <c r="B23" s="3">
        <v>1773</v>
      </c>
      <c r="C23" s="3" t="s">
        <v>91</v>
      </c>
      <c r="D23" s="120">
        <f>1500000+550000</f>
        <v>2050000</v>
      </c>
      <c r="E23" s="120">
        <f>1500000+550000</f>
        <v>2050000</v>
      </c>
      <c r="F23" s="120">
        <f t="shared" si="1"/>
        <v>0</v>
      </c>
      <c r="G23" s="120">
        <f>1500000+550000</f>
        <v>2050000</v>
      </c>
      <c r="H23" s="120">
        <v>1980321</v>
      </c>
      <c r="I23" s="120"/>
      <c r="J23" s="120"/>
      <c r="K23" s="120">
        <f t="shared" si="2"/>
        <v>0</v>
      </c>
      <c r="L23" s="120">
        <f t="shared" si="3"/>
        <v>1980321</v>
      </c>
      <c r="M23" s="120">
        <f>P23+S23-69000</f>
        <v>679</v>
      </c>
      <c r="N23" s="120">
        <v>69000</v>
      </c>
      <c r="O23" s="120">
        <f t="shared" si="4"/>
        <v>0</v>
      </c>
      <c r="P23" s="120">
        <f t="shared" si="5"/>
        <v>69679</v>
      </c>
      <c r="Q23" s="357"/>
      <c r="R23" s="120"/>
      <c r="S23" s="120">
        <f t="shared" si="6"/>
        <v>0</v>
      </c>
      <c r="T23" s="120">
        <f t="shared" si="7"/>
        <v>69000</v>
      </c>
      <c r="U23" s="120">
        <f t="shared" si="8"/>
        <v>0</v>
      </c>
      <c r="V23" s="120">
        <f t="shared" si="9"/>
        <v>0</v>
      </c>
      <c r="W23" s="120"/>
      <c r="X23" s="120"/>
      <c r="Y23" s="120"/>
      <c r="Z23" s="120"/>
      <c r="AA23" s="135"/>
      <c r="AB23" s="3" t="s">
        <v>269</v>
      </c>
      <c r="AC23" s="3">
        <v>746000</v>
      </c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217"/>
      <c r="AW23" s="217"/>
      <c r="AX23" s="217"/>
    </row>
    <row r="24" spans="1:51" ht="40.200000000000003" customHeight="1">
      <c r="A24" s="135">
        <f t="shared" si="0"/>
        <v>20</v>
      </c>
      <c r="B24" s="220">
        <v>1819</v>
      </c>
      <c r="C24" s="135" t="s">
        <v>365</v>
      </c>
      <c r="D24" s="120">
        <v>17545000</v>
      </c>
      <c r="E24" s="120">
        <v>17545000</v>
      </c>
      <c r="F24" s="120">
        <f t="shared" si="1"/>
        <v>0</v>
      </c>
      <c r="G24" s="120">
        <v>17545000</v>
      </c>
      <c r="H24" s="120">
        <v>15717150</v>
      </c>
      <c r="I24" s="120"/>
      <c r="J24" s="120"/>
      <c r="K24" s="120">
        <f t="shared" si="2"/>
        <v>0</v>
      </c>
      <c r="L24" s="120">
        <f t="shared" si="3"/>
        <v>15717150</v>
      </c>
      <c r="M24" s="120">
        <f>P24+S24-1820000</f>
        <v>7850</v>
      </c>
      <c r="N24" s="120">
        <v>320000</v>
      </c>
      <c r="O24" s="120">
        <f t="shared" si="4"/>
        <v>1500000</v>
      </c>
      <c r="P24" s="120">
        <f t="shared" si="5"/>
        <v>1827850</v>
      </c>
      <c r="Q24" s="120"/>
      <c r="R24" s="120"/>
      <c r="S24" s="120">
        <f t="shared" si="6"/>
        <v>0</v>
      </c>
      <c r="T24" s="120">
        <f t="shared" si="7"/>
        <v>1820000</v>
      </c>
      <c r="U24" s="120">
        <f t="shared" si="8"/>
        <v>-1500000</v>
      </c>
      <c r="V24" s="120">
        <f t="shared" si="9"/>
        <v>-1500000</v>
      </c>
      <c r="W24" s="120"/>
      <c r="X24" s="120"/>
      <c r="Y24" s="120"/>
      <c r="Z24" s="120"/>
      <c r="AA24" s="135"/>
      <c r="AB24" s="135" t="s">
        <v>1323</v>
      </c>
      <c r="AC24" s="135">
        <v>742000</v>
      </c>
    </row>
    <row r="25" spans="1:51" ht="40.200000000000003" customHeight="1">
      <c r="A25" s="135">
        <f t="shared" si="0"/>
        <v>21</v>
      </c>
      <c r="B25" s="220">
        <v>1833</v>
      </c>
      <c r="C25" s="135" t="s">
        <v>102</v>
      </c>
      <c r="D25" s="120">
        <v>29000000</v>
      </c>
      <c r="E25" s="120">
        <v>29000000</v>
      </c>
      <c r="F25" s="120">
        <f t="shared" si="1"/>
        <v>0</v>
      </c>
      <c r="G25" s="120">
        <v>29000000</v>
      </c>
      <c r="H25" s="120">
        <v>28969915</v>
      </c>
      <c r="I25" s="120"/>
      <c r="J25" s="120"/>
      <c r="K25" s="120">
        <f t="shared" si="2"/>
        <v>0</v>
      </c>
      <c r="L25" s="120">
        <f t="shared" si="3"/>
        <v>28969915</v>
      </c>
      <c r="M25" s="120">
        <f>P25+S25-30000</f>
        <v>85</v>
      </c>
      <c r="N25" s="120">
        <v>30000</v>
      </c>
      <c r="O25" s="120">
        <f t="shared" si="4"/>
        <v>0</v>
      </c>
      <c r="P25" s="120">
        <f t="shared" si="5"/>
        <v>30085</v>
      </c>
      <c r="Q25" s="357"/>
      <c r="R25" s="120"/>
      <c r="S25" s="120">
        <f t="shared" si="6"/>
        <v>0</v>
      </c>
      <c r="T25" s="120">
        <f t="shared" si="7"/>
        <v>30000</v>
      </c>
      <c r="U25" s="120">
        <f t="shared" si="8"/>
        <v>0</v>
      </c>
      <c r="V25" s="120">
        <f t="shared" si="9"/>
        <v>0</v>
      </c>
      <c r="W25" s="120"/>
      <c r="X25" s="120"/>
      <c r="Y25" s="120"/>
      <c r="Z25" s="120"/>
      <c r="AA25" s="135"/>
      <c r="AB25" s="135" t="s">
        <v>1324</v>
      </c>
      <c r="AC25" s="135">
        <v>829000</v>
      </c>
    </row>
    <row r="26" spans="1:51" s="134" customFormat="1" ht="40.200000000000003" customHeight="1">
      <c r="A26" s="135">
        <f t="shared" si="0"/>
        <v>22</v>
      </c>
      <c r="B26" s="135">
        <v>1834</v>
      </c>
      <c r="C26" s="135" t="s">
        <v>96</v>
      </c>
      <c r="D26" s="120">
        <f>62000000+120000+630000+1500000+800000</f>
        <v>65050000</v>
      </c>
      <c r="E26" s="120">
        <f>62000000+120000</f>
        <v>62120000</v>
      </c>
      <c r="F26" s="120">
        <f t="shared" si="1"/>
        <v>2930000</v>
      </c>
      <c r="G26" s="120">
        <f>62000000+120000</f>
        <v>62120000</v>
      </c>
      <c r="H26" s="120">
        <v>61523822</v>
      </c>
      <c r="I26" s="120"/>
      <c r="J26" s="120">
        <v>31203</v>
      </c>
      <c r="K26" s="120">
        <f t="shared" si="2"/>
        <v>31203</v>
      </c>
      <c r="L26" s="120">
        <f t="shared" si="3"/>
        <v>61555025</v>
      </c>
      <c r="M26" s="120">
        <f>P26+S26-560000</f>
        <v>4975</v>
      </c>
      <c r="N26" s="120">
        <f>630000+1500000+800000+560000</f>
        <v>3490000</v>
      </c>
      <c r="O26" s="120">
        <f t="shared" si="4"/>
        <v>0</v>
      </c>
      <c r="P26" s="120">
        <f t="shared" si="5"/>
        <v>564975</v>
      </c>
      <c r="Q26" s="357"/>
      <c r="R26" s="120"/>
      <c r="S26" s="120">
        <f t="shared" si="6"/>
        <v>0</v>
      </c>
      <c r="T26" s="120">
        <f t="shared" si="7"/>
        <v>560000</v>
      </c>
      <c r="U26" s="120">
        <f t="shared" si="8"/>
        <v>2930000</v>
      </c>
      <c r="V26" s="120">
        <f>U26-W26-X26-Y26-Z26-AA26</f>
        <v>2746220</v>
      </c>
      <c r="W26" s="120"/>
      <c r="X26" s="120"/>
      <c r="Y26" s="120"/>
      <c r="Z26" s="120"/>
      <c r="AA26" s="120">
        <v>183780</v>
      </c>
      <c r="AB26" s="19" t="s">
        <v>1382</v>
      </c>
      <c r="AC26" s="135">
        <v>824000</v>
      </c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217"/>
      <c r="AW26" s="217"/>
      <c r="AX26" s="217"/>
    </row>
    <row r="27" spans="1:51" s="134" customFormat="1" ht="40.200000000000003" customHeight="1">
      <c r="A27" s="135">
        <f t="shared" si="0"/>
        <v>23</v>
      </c>
      <c r="B27" s="135">
        <v>1835</v>
      </c>
      <c r="C27" s="135" t="s">
        <v>330</v>
      </c>
      <c r="D27" s="120">
        <v>51500000</v>
      </c>
      <c r="E27" s="120">
        <v>51500000</v>
      </c>
      <c r="F27" s="120">
        <f t="shared" si="1"/>
        <v>0</v>
      </c>
      <c r="G27" s="120">
        <v>21900000</v>
      </c>
      <c r="H27" s="120">
        <v>15533156</v>
      </c>
      <c r="I27" s="120"/>
      <c r="J27" s="120"/>
      <c r="K27" s="120">
        <f t="shared" si="2"/>
        <v>0</v>
      </c>
      <c r="L27" s="120">
        <f t="shared" si="3"/>
        <v>15533156</v>
      </c>
      <c r="M27" s="120">
        <f>P27+S27-4000000-2350000</f>
        <v>16844</v>
      </c>
      <c r="N27" s="120">
        <f>29600000+4000000-11600000-9000000-4000000+2350000-1350000</f>
        <v>10000000</v>
      </c>
      <c r="O27" s="120">
        <f t="shared" si="4"/>
        <v>25950000</v>
      </c>
      <c r="P27" s="120">
        <f t="shared" si="5"/>
        <v>6366844</v>
      </c>
      <c r="Q27" s="357"/>
      <c r="R27" s="120"/>
      <c r="S27" s="120">
        <f t="shared" si="6"/>
        <v>0</v>
      </c>
      <c r="T27" s="120">
        <f t="shared" si="7"/>
        <v>6350000</v>
      </c>
      <c r="U27" s="120">
        <f t="shared" si="8"/>
        <v>3650000</v>
      </c>
      <c r="V27" s="120">
        <f t="shared" si="9"/>
        <v>-3852853</v>
      </c>
      <c r="W27" s="120"/>
      <c r="X27" s="120"/>
      <c r="Y27" s="120"/>
      <c r="Z27" s="120"/>
      <c r="AA27" s="120">
        <f>6597000+905853</f>
        <v>7502853</v>
      </c>
      <c r="AB27" s="3" t="s">
        <v>1406</v>
      </c>
      <c r="AC27" s="135">
        <v>824000</v>
      </c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217"/>
      <c r="AW27" s="217"/>
      <c r="AX27" s="217"/>
    </row>
    <row r="28" spans="1:51" ht="40.200000000000003" customHeight="1">
      <c r="A28" s="135">
        <f t="shared" si="0"/>
        <v>24</v>
      </c>
      <c r="B28" s="220">
        <v>1845</v>
      </c>
      <c r="C28" s="135" t="s">
        <v>1328</v>
      </c>
      <c r="D28" s="120">
        <f>6000000+131500000</f>
        <v>137500000</v>
      </c>
      <c r="E28" s="120">
        <v>6000000</v>
      </c>
      <c r="F28" s="120">
        <f t="shared" si="1"/>
        <v>131500000</v>
      </c>
      <c r="G28" s="120">
        <v>2740000</v>
      </c>
      <c r="H28" s="120">
        <v>2721383</v>
      </c>
      <c r="I28" s="120"/>
      <c r="J28" s="120"/>
      <c r="K28" s="120">
        <f t="shared" si="2"/>
        <v>0</v>
      </c>
      <c r="L28" s="120">
        <f t="shared" si="3"/>
        <v>2721383</v>
      </c>
      <c r="M28" s="120">
        <f t="shared" si="10"/>
        <v>18617</v>
      </c>
      <c r="N28" s="120">
        <f>40000000-40000000</f>
        <v>0</v>
      </c>
      <c r="O28" s="120">
        <f t="shared" si="4"/>
        <v>134760000</v>
      </c>
      <c r="P28" s="120">
        <f t="shared" si="5"/>
        <v>18617</v>
      </c>
      <c r="Q28" s="357"/>
      <c r="R28" s="120"/>
      <c r="S28" s="120">
        <f t="shared" si="6"/>
        <v>0</v>
      </c>
      <c r="T28" s="120">
        <f t="shared" si="7"/>
        <v>0</v>
      </c>
      <c r="U28" s="120">
        <f t="shared" si="8"/>
        <v>0</v>
      </c>
      <c r="V28" s="120">
        <f t="shared" si="9"/>
        <v>0</v>
      </c>
      <c r="W28" s="120"/>
      <c r="X28" s="120"/>
      <c r="Y28" s="120"/>
      <c r="Z28" s="120"/>
      <c r="AA28" s="135"/>
      <c r="AB28" s="135" t="s">
        <v>1375</v>
      </c>
      <c r="AC28" s="135">
        <v>742000</v>
      </c>
    </row>
    <row r="29" spans="1:51" ht="40.200000000000003" customHeight="1">
      <c r="A29" s="135">
        <f t="shared" si="0"/>
        <v>25</v>
      </c>
      <c r="B29" s="220">
        <v>1896</v>
      </c>
      <c r="C29" s="135" t="s">
        <v>331</v>
      </c>
      <c r="D29" s="120">
        <f>7800000+1500000+1000000</f>
        <v>10300000</v>
      </c>
      <c r="E29" s="120">
        <v>7800000</v>
      </c>
      <c r="F29" s="120">
        <f t="shared" si="1"/>
        <v>2500000</v>
      </c>
      <c r="G29" s="120">
        <v>7800000</v>
      </c>
      <c r="H29" s="120">
        <v>6432030</v>
      </c>
      <c r="I29" s="120"/>
      <c r="J29" s="120">
        <v>951442</v>
      </c>
      <c r="K29" s="120">
        <f t="shared" si="2"/>
        <v>951442</v>
      </c>
      <c r="L29" s="120">
        <f t="shared" si="3"/>
        <v>7383472</v>
      </c>
      <c r="M29" s="120">
        <f>P29+S29-400000</f>
        <v>16528</v>
      </c>
      <c r="N29" s="120">
        <f>1500000+1000000+400000</f>
        <v>2900000</v>
      </c>
      <c r="O29" s="120">
        <f t="shared" si="4"/>
        <v>0</v>
      </c>
      <c r="P29" s="120">
        <f t="shared" si="5"/>
        <v>416528</v>
      </c>
      <c r="Q29" s="357"/>
      <c r="R29" s="120"/>
      <c r="S29" s="120">
        <f t="shared" si="6"/>
        <v>0</v>
      </c>
      <c r="T29" s="120">
        <f t="shared" si="7"/>
        <v>400000</v>
      </c>
      <c r="U29" s="120">
        <f t="shared" si="8"/>
        <v>2500000</v>
      </c>
      <c r="V29" s="120">
        <f t="shared" si="9"/>
        <v>2500000</v>
      </c>
      <c r="W29" s="120"/>
      <c r="X29" s="120"/>
      <c r="Y29" s="120"/>
      <c r="Z29" s="120"/>
      <c r="AA29" s="135"/>
      <c r="AB29" s="135" t="s">
        <v>963</v>
      </c>
      <c r="AC29" s="135">
        <v>829000</v>
      </c>
    </row>
    <row r="30" spans="1:51" ht="40.200000000000003" customHeight="1">
      <c r="A30" s="135">
        <f t="shared" si="0"/>
        <v>26</v>
      </c>
      <c r="B30" s="220">
        <v>1921</v>
      </c>
      <c r="C30" s="135" t="s">
        <v>105</v>
      </c>
      <c r="D30" s="120">
        <f>29716000+15284000</f>
        <v>45000000</v>
      </c>
      <c r="E30" s="120">
        <v>29716000</v>
      </c>
      <c r="F30" s="120">
        <f t="shared" si="1"/>
        <v>15284000</v>
      </c>
      <c r="G30" s="120">
        <f>10166000+200000</f>
        <v>10366000</v>
      </c>
      <c r="H30" s="120">
        <v>10815733</v>
      </c>
      <c r="I30" s="120"/>
      <c r="J30" s="120">
        <v>38153</v>
      </c>
      <c r="K30" s="120">
        <f t="shared" si="2"/>
        <v>38153</v>
      </c>
      <c r="L30" s="120">
        <f t="shared" si="3"/>
        <v>10853886</v>
      </c>
      <c r="M30" s="120">
        <f>P30+S30-2860000</f>
        <v>2114</v>
      </c>
      <c r="N30" s="120">
        <f>16000000+4000000-15000000-5000000+2860000</f>
        <v>2860000</v>
      </c>
      <c r="O30" s="120">
        <f t="shared" si="4"/>
        <v>31284000</v>
      </c>
      <c r="P30" s="120">
        <f t="shared" si="5"/>
        <v>-487886</v>
      </c>
      <c r="Q30" s="357">
        <f>3550000-200000</f>
        <v>3350000</v>
      </c>
      <c r="R30" s="120"/>
      <c r="S30" s="120">
        <f t="shared" si="6"/>
        <v>3350000</v>
      </c>
      <c r="T30" s="120">
        <f t="shared" si="7"/>
        <v>2860000</v>
      </c>
      <c r="U30" s="120">
        <f t="shared" si="8"/>
        <v>0</v>
      </c>
      <c r="V30" s="120">
        <f t="shared" si="9"/>
        <v>0</v>
      </c>
      <c r="W30" s="120"/>
      <c r="X30" s="120"/>
      <c r="Y30" s="120"/>
      <c r="Z30" s="120"/>
      <c r="AA30" s="135"/>
      <c r="AB30" s="218" t="s">
        <v>1343</v>
      </c>
      <c r="AC30" s="135">
        <v>829000</v>
      </c>
    </row>
    <row r="31" spans="1:51" ht="40.200000000000003" customHeight="1">
      <c r="A31" s="135">
        <f t="shared" si="0"/>
        <v>27</v>
      </c>
      <c r="B31" s="220">
        <v>1957</v>
      </c>
      <c r="C31" s="135" t="s">
        <v>1367</v>
      </c>
      <c r="D31" s="120">
        <f>60000000+12500000-12500000+15000000</f>
        <v>75000000</v>
      </c>
      <c r="E31" s="120">
        <v>60000000</v>
      </c>
      <c r="F31" s="120">
        <f t="shared" si="1"/>
        <v>15000000</v>
      </c>
      <c r="G31" s="120">
        <f>28026967+2000000</f>
        <v>30026967</v>
      </c>
      <c r="H31" s="120">
        <v>33624938</v>
      </c>
      <c r="I31" s="120"/>
      <c r="J31" s="120"/>
      <c r="K31" s="120">
        <f t="shared" si="2"/>
        <v>0</v>
      </c>
      <c r="L31" s="120">
        <f t="shared" si="3"/>
        <v>33624938</v>
      </c>
      <c r="M31" s="120">
        <f>P31+S31-470000</f>
        <v>6511</v>
      </c>
      <c r="N31" s="120">
        <f>23973033+1925518+15000000+470000-10000000-1300000</f>
        <v>30068551</v>
      </c>
      <c r="O31" s="120">
        <f t="shared" si="4"/>
        <v>11300000</v>
      </c>
      <c r="P31" s="120">
        <f t="shared" si="5"/>
        <v>-3597971</v>
      </c>
      <c r="Q31" s="357">
        <f>2555855+1518627</f>
        <v>4074482</v>
      </c>
      <c r="R31" s="120"/>
      <c r="S31" s="120">
        <f t="shared" si="6"/>
        <v>4074482</v>
      </c>
      <c r="T31" s="120">
        <f t="shared" si="7"/>
        <v>470000</v>
      </c>
      <c r="U31" s="120">
        <f t="shared" si="8"/>
        <v>29598551</v>
      </c>
      <c r="V31" s="120">
        <f t="shared" si="9"/>
        <v>26873393</v>
      </c>
      <c r="W31" s="120">
        <v>1500000</v>
      </c>
      <c r="X31" s="120"/>
      <c r="Y31" s="120"/>
      <c r="Z31" s="120"/>
      <c r="AA31" s="120">
        <f>1225158</f>
        <v>1225158</v>
      </c>
      <c r="AB31" s="135" t="s">
        <v>1506</v>
      </c>
      <c r="AC31" s="135">
        <v>810000</v>
      </c>
    </row>
    <row r="32" spans="1:51" ht="40.200000000000003" customHeight="1">
      <c r="A32" s="135">
        <f t="shared" si="0"/>
        <v>28</v>
      </c>
      <c r="B32" s="220">
        <v>1961</v>
      </c>
      <c r="C32" s="135" t="s">
        <v>121</v>
      </c>
      <c r="D32" s="120">
        <f>128000000-127500000-200000</f>
        <v>300000</v>
      </c>
      <c r="E32" s="120">
        <v>128000000</v>
      </c>
      <c r="F32" s="120">
        <f t="shared" si="1"/>
        <v>-127700000</v>
      </c>
      <c r="G32" s="120">
        <v>500000</v>
      </c>
      <c r="H32" s="120"/>
      <c r="I32" s="120"/>
      <c r="J32" s="120"/>
      <c r="K32" s="120">
        <f t="shared" si="2"/>
        <v>0</v>
      </c>
      <c r="L32" s="120">
        <f t="shared" si="3"/>
        <v>0</v>
      </c>
      <c r="M32" s="120">
        <f>P32+S32-500000</f>
        <v>0</v>
      </c>
      <c r="N32" s="120">
        <v>300000</v>
      </c>
      <c r="O32" s="120">
        <f t="shared" si="4"/>
        <v>0</v>
      </c>
      <c r="P32" s="120">
        <f t="shared" si="5"/>
        <v>500000</v>
      </c>
      <c r="Q32" s="357"/>
      <c r="R32" s="120"/>
      <c r="S32" s="120">
        <f t="shared" si="6"/>
        <v>0</v>
      </c>
      <c r="T32" s="120">
        <f t="shared" si="7"/>
        <v>500000</v>
      </c>
      <c r="U32" s="120">
        <f t="shared" si="8"/>
        <v>-200000</v>
      </c>
      <c r="V32" s="120">
        <f t="shared" si="9"/>
        <v>-200000</v>
      </c>
      <c r="W32" s="120"/>
      <c r="X32" s="120"/>
      <c r="Y32" s="120"/>
      <c r="Z32" s="120"/>
      <c r="AA32" s="135"/>
      <c r="AB32" s="250" t="s">
        <v>1507</v>
      </c>
      <c r="AC32" s="135">
        <v>742000</v>
      </c>
    </row>
    <row r="33" spans="1:50" customFormat="1" ht="40.200000000000003" customHeight="1">
      <c r="A33" s="135">
        <f t="shared" si="0"/>
        <v>29</v>
      </c>
      <c r="B33" s="3">
        <v>2001</v>
      </c>
      <c r="C33" s="3" t="s">
        <v>126</v>
      </c>
      <c r="D33" s="120">
        <f>30000000-9000000+4000000</f>
        <v>25000000</v>
      </c>
      <c r="E33" s="120">
        <v>18500000</v>
      </c>
      <c r="F33" s="120">
        <f t="shared" si="1"/>
        <v>6500000</v>
      </c>
      <c r="G33" s="120">
        <v>8398700</v>
      </c>
      <c r="H33" s="120">
        <v>6406298</v>
      </c>
      <c r="I33" s="120"/>
      <c r="J33" s="120"/>
      <c r="K33" s="120">
        <f t="shared" si="2"/>
        <v>0</v>
      </c>
      <c r="L33" s="120">
        <f t="shared" si="3"/>
        <v>6406298</v>
      </c>
      <c r="M33" s="120">
        <f>P33+S33-1990000</f>
        <v>2402</v>
      </c>
      <c r="N33" s="120">
        <f>21601300-9000000+1990000-3000000</f>
        <v>11591300</v>
      </c>
      <c r="O33" s="120">
        <f t="shared" si="4"/>
        <v>7000000</v>
      </c>
      <c r="P33" s="120">
        <f t="shared" si="5"/>
        <v>1992402</v>
      </c>
      <c r="Q33" s="357"/>
      <c r="R33" s="120"/>
      <c r="S33" s="120">
        <f t="shared" si="6"/>
        <v>0</v>
      </c>
      <c r="T33" s="120">
        <f t="shared" si="7"/>
        <v>1990000</v>
      </c>
      <c r="U33" s="120">
        <f t="shared" si="8"/>
        <v>9601300</v>
      </c>
      <c r="V33" s="120">
        <f t="shared" si="9"/>
        <v>8601300</v>
      </c>
      <c r="W33" s="120">
        <v>1000000</v>
      </c>
      <c r="X33" s="120"/>
      <c r="Y33" s="120"/>
      <c r="Z33" s="120"/>
      <c r="AA33" s="135"/>
      <c r="AB33" s="3" t="s">
        <v>1428</v>
      </c>
      <c r="AC33" s="3">
        <v>810000</v>
      </c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217"/>
      <c r="AW33" s="217"/>
      <c r="AX33" s="217"/>
    </row>
    <row r="34" spans="1:50" s="139" customFormat="1" ht="40.200000000000003" customHeight="1">
      <c r="A34" s="135">
        <f t="shared" si="0"/>
        <v>30</v>
      </c>
      <c r="B34" s="135">
        <v>2002</v>
      </c>
      <c r="C34" s="135" t="s">
        <v>132</v>
      </c>
      <c r="D34" s="120">
        <f>1500000+500000+300000</f>
        <v>2300000</v>
      </c>
      <c r="E34" s="120">
        <v>1500000</v>
      </c>
      <c r="F34" s="120">
        <f t="shared" si="1"/>
        <v>800000</v>
      </c>
      <c r="G34" s="120">
        <v>1500000</v>
      </c>
      <c r="H34" s="120">
        <v>1495997</v>
      </c>
      <c r="I34" s="120"/>
      <c r="J34" s="120"/>
      <c r="K34" s="120">
        <f t="shared" si="2"/>
        <v>0</v>
      </c>
      <c r="L34" s="120">
        <f t="shared" si="3"/>
        <v>1495997</v>
      </c>
      <c r="M34" s="120">
        <f t="shared" si="10"/>
        <v>4003</v>
      </c>
      <c r="N34" s="120">
        <v>500000</v>
      </c>
      <c r="O34" s="120">
        <f t="shared" si="4"/>
        <v>300000</v>
      </c>
      <c r="P34" s="120">
        <f t="shared" si="5"/>
        <v>4003</v>
      </c>
      <c r="Q34" s="357"/>
      <c r="R34" s="120"/>
      <c r="S34" s="120">
        <f t="shared" si="6"/>
        <v>0</v>
      </c>
      <c r="T34" s="120">
        <f t="shared" si="7"/>
        <v>0</v>
      </c>
      <c r="U34" s="120">
        <f t="shared" si="8"/>
        <v>500000</v>
      </c>
      <c r="V34" s="120">
        <f t="shared" si="9"/>
        <v>500000</v>
      </c>
      <c r="W34" s="120"/>
      <c r="X34" s="120"/>
      <c r="Y34" s="120"/>
      <c r="Z34" s="120"/>
      <c r="AA34" s="135"/>
      <c r="AB34" s="135" t="s">
        <v>964</v>
      </c>
      <c r="AC34" s="341">
        <v>742000</v>
      </c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217"/>
      <c r="AW34" s="217"/>
      <c r="AX34" s="217"/>
    </row>
    <row r="35" spans="1:50" s="139" customFormat="1" ht="40.200000000000003" customHeight="1">
      <c r="A35" s="135">
        <f t="shared" si="0"/>
        <v>31</v>
      </c>
      <c r="B35" s="135">
        <v>2008</v>
      </c>
      <c r="C35" s="135" t="s">
        <v>246</v>
      </c>
      <c r="D35" s="120">
        <v>2500000</v>
      </c>
      <c r="E35" s="120">
        <v>2500000</v>
      </c>
      <c r="F35" s="120">
        <f t="shared" si="1"/>
        <v>0</v>
      </c>
      <c r="G35" s="120">
        <v>450000</v>
      </c>
      <c r="H35" s="120">
        <v>41210</v>
      </c>
      <c r="I35" s="120"/>
      <c r="J35" s="120"/>
      <c r="K35" s="120">
        <f t="shared" si="2"/>
        <v>0</v>
      </c>
      <c r="L35" s="120">
        <f t="shared" si="3"/>
        <v>41210</v>
      </c>
      <c r="M35" s="120">
        <f>P35+S35-700000</f>
        <v>8790</v>
      </c>
      <c r="N35" s="120">
        <f>1750000+700000-750000</f>
        <v>1700000</v>
      </c>
      <c r="O35" s="120">
        <f t="shared" si="4"/>
        <v>750000</v>
      </c>
      <c r="P35" s="120">
        <f t="shared" si="5"/>
        <v>408790</v>
      </c>
      <c r="Q35" s="357">
        <v>300000</v>
      </c>
      <c r="R35" s="120"/>
      <c r="S35" s="120">
        <f t="shared" si="6"/>
        <v>300000</v>
      </c>
      <c r="T35" s="120">
        <f t="shared" si="7"/>
        <v>700000</v>
      </c>
      <c r="U35" s="120">
        <f t="shared" si="8"/>
        <v>1000000</v>
      </c>
      <c r="V35" s="120">
        <f t="shared" si="9"/>
        <v>1000000</v>
      </c>
      <c r="W35" s="120"/>
      <c r="X35" s="120"/>
      <c r="Y35" s="120"/>
      <c r="Z35" s="120"/>
      <c r="AA35" s="135"/>
      <c r="AB35" s="292" t="s">
        <v>468</v>
      </c>
      <c r="AC35" s="135">
        <v>742000</v>
      </c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217"/>
      <c r="AW35" s="217"/>
      <c r="AX35" s="217"/>
    </row>
    <row r="36" spans="1:50" s="5" customFormat="1" ht="40.200000000000003" customHeight="1">
      <c r="A36" s="135">
        <f t="shared" si="0"/>
        <v>32</v>
      </c>
      <c r="B36" s="3">
        <v>2009</v>
      </c>
      <c r="C36" s="3" t="s">
        <v>215</v>
      </c>
      <c r="D36" s="120">
        <v>13700000</v>
      </c>
      <c r="E36" s="120">
        <v>13700000</v>
      </c>
      <c r="F36" s="120">
        <f t="shared" si="1"/>
        <v>0</v>
      </c>
      <c r="G36" s="120">
        <v>2200000</v>
      </c>
      <c r="H36" s="120">
        <v>3711086</v>
      </c>
      <c r="I36" s="120"/>
      <c r="J36" s="120"/>
      <c r="K36" s="120">
        <f t="shared" si="2"/>
        <v>0</v>
      </c>
      <c r="L36" s="120">
        <f t="shared" si="3"/>
        <v>3711086</v>
      </c>
      <c r="M36" s="120">
        <f>P36+S36-485000</f>
        <v>3914</v>
      </c>
      <c r="N36" s="120">
        <f>9500000-3500000+485000-1000000</f>
        <v>5485000</v>
      </c>
      <c r="O36" s="120">
        <f t="shared" si="4"/>
        <v>4500000</v>
      </c>
      <c r="P36" s="120">
        <f t="shared" si="5"/>
        <v>-1511086</v>
      </c>
      <c r="Q36" s="357">
        <v>2000000</v>
      </c>
      <c r="R36" s="120"/>
      <c r="S36" s="120">
        <f t="shared" si="6"/>
        <v>2000000</v>
      </c>
      <c r="T36" s="120">
        <f t="shared" si="7"/>
        <v>485000</v>
      </c>
      <c r="U36" s="120">
        <f t="shared" si="8"/>
        <v>5000000</v>
      </c>
      <c r="V36" s="120">
        <f t="shared" si="9"/>
        <v>-300952</v>
      </c>
      <c r="W36" s="120"/>
      <c r="X36" s="120"/>
      <c r="Y36" s="120"/>
      <c r="Z36" s="120"/>
      <c r="AA36" s="120">
        <v>5300952</v>
      </c>
      <c r="AB36" s="3" t="s">
        <v>1385</v>
      </c>
      <c r="AC36" s="3">
        <v>742000</v>
      </c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217"/>
      <c r="AW36" s="217"/>
      <c r="AX36" s="217"/>
    </row>
    <row r="37" spans="1:50" s="5" customFormat="1" ht="40.200000000000003" customHeight="1">
      <c r="A37" s="135">
        <f t="shared" si="0"/>
        <v>33</v>
      </c>
      <c r="B37" s="3">
        <v>2011</v>
      </c>
      <c r="C37" s="19" t="s">
        <v>571</v>
      </c>
      <c r="D37" s="120">
        <v>80000000</v>
      </c>
      <c r="E37" s="120">
        <v>80000000</v>
      </c>
      <c r="F37" s="120">
        <f t="shared" si="1"/>
        <v>0</v>
      </c>
      <c r="G37" s="120">
        <f>37562673+5000000</f>
        <v>42562673</v>
      </c>
      <c r="H37" s="120">
        <v>48280954</v>
      </c>
      <c r="I37" s="120"/>
      <c r="J37" s="120"/>
      <c r="K37" s="120">
        <f t="shared" si="2"/>
        <v>0</v>
      </c>
      <c r="L37" s="120">
        <f t="shared" si="3"/>
        <v>48280954</v>
      </c>
      <c r="M37" s="120">
        <f>P37+S37-280000</f>
        <v>1719</v>
      </c>
      <c r="N37" s="120">
        <f>31437327+280000-5000000-1600000</f>
        <v>25117327</v>
      </c>
      <c r="O37" s="120">
        <f t="shared" si="4"/>
        <v>6600000</v>
      </c>
      <c r="P37" s="120">
        <f t="shared" si="5"/>
        <v>-5718281</v>
      </c>
      <c r="Q37" s="357">
        <f>11000000-5000000</f>
        <v>6000000</v>
      </c>
      <c r="R37" s="120"/>
      <c r="S37" s="120">
        <f t="shared" si="6"/>
        <v>6000000</v>
      </c>
      <c r="T37" s="120">
        <f t="shared" si="7"/>
        <v>280000</v>
      </c>
      <c r="U37" s="120">
        <f t="shared" si="8"/>
        <v>24837327</v>
      </c>
      <c r="V37" s="120">
        <f t="shared" si="9"/>
        <v>24837327</v>
      </c>
      <c r="W37" s="120"/>
      <c r="X37" s="120"/>
      <c r="Y37" s="120"/>
      <c r="Z37" s="120"/>
      <c r="AA37" s="135"/>
      <c r="AB37" s="3" t="s">
        <v>548</v>
      </c>
      <c r="AC37" s="3">
        <v>742000</v>
      </c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217"/>
      <c r="AW37" s="217"/>
      <c r="AX37" s="217"/>
    </row>
    <row r="38" spans="1:50" s="139" customFormat="1" ht="40.200000000000003" customHeight="1">
      <c r="A38" s="135">
        <f t="shared" si="0"/>
        <v>34</v>
      </c>
      <c r="B38" s="135">
        <v>2015</v>
      </c>
      <c r="C38" s="235" t="s">
        <v>572</v>
      </c>
      <c r="D38" s="120">
        <v>54000000</v>
      </c>
      <c r="E38" s="120">
        <v>54000000</v>
      </c>
      <c r="F38" s="120">
        <f t="shared" si="1"/>
        <v>0</v>
      </c>
      <c r="G38" s="120">
        <f>41234031+2500000</f>
        <v>43734031</v>
      </c>
      <c r="H38" s="120">
        <v>45608729</v>
      </c>
      <c r="I38" s="120"/>
      <c r="J38" s="120">
        <v>15678</v>
      </c>
      <c r="K38" s="120">
        <f t="shared" si="2"/>
        <v>15678</v>
      </c>
      <c r="L38" s="120">
        <f t="shared" si="3"/>
        <v>45624407</v>
      </c>
      <c r="M38" s="120">
        <f>P38+S38-100000</f>
        <v>9624</v>
      </c>
      <c r="N38" s="120">
        <f>8265969+100000</f>
        <v>8365969</v>
      </c>
      <c r="O38" s="120">
        <f t="shared" si="4"/>
        <v>0</v>
      </c>
      <c r="P38" s="120">
        <f t="shared" si="5"/>
        <v>-1890376</v>
      </c>
      <c r="Q38" s="357">
        <f>4500000-2500000</f>
        <v>2000000</v>
      </c>
      <c r="R38" s="120"/>
      <c r="S38" s="120">
        <f t="shared" si="6"/>
        <v>2000000</v>
      </c>
      <c r="T38" s="120">
        <f t="shared" si="7"/>
        <v>100000</v>
      </c>
      <c r="U38" s="120">
        <f t="shared" si="8"/>
        <v>8265969</v>
      </c>
      <c r="V38" s="120">
        <f t="shared" si="9"/>
        <v>8265969</v>
      </c>
      <c r="W38" s="120"/>
      <c r="X38" s="120"/>
      <c r="Y38" s="120"/>
      <c r="Z38" s="120"/>
      <c r="AA38" s="135"/>
      <c r="AB38" s="135" t="s">
        <v>807</v>
      </c>
      <c r="AC38" s="135">
        <v>810000</v>
      </c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217"/>
      <c r="AW38" s="217"/>
      <c r="AX38" s="217"/>
    </row>
    <row r="39" spans="1:50" ht="40.200000000000003" customHeight="1">
      <c r="A39" s="135">
        <f t="shared" si="0"/>
        <v>35</v>
      </c>
      <c r="B39" s="135">
        <v>2017</v>
      </c>
      <c r="C39" s="224" t="s">
        <v>1359</v>
      </c>
      <c r="D39" s="120">
        <f>37100000+2000000-2000000</f>
        <v>37100000</v>
      </c>
      <c r="E39" s="120">
        <v>37100000</v>
      </c>
      <c r="F39" s="120">
        <f t="shared" si="1"/>
        <v>0</v>
      </c>
      <c r="G39" s="120">
        <f>20100000+3000000</f>
        <v>23100000</v>
      </c>
      <c r="H39" s="120">
        <v>25401294</v>
      </c>
      <c r="I39" s="120"/>
      <c r="J39" s="120"/>
      <c r="K39" s="120">
        <f t="shared" si="2"/>
        <v>0</v>
      </c>
      <c r="L39" s="120">
        <f t="shared" si="3"/>
        <v>25401294</v>
      </c>
      <c r="M39" s="120">
        <f>P39+S39-1690000</f>
        <v>8706</v>
      </c>
      <c r="N39" s="120">
        <f>10000000-3000000+1690000-2000000</f>
        <v>6690000</v>
      </c>
      <c r="O39" s="120">
        <f t="shared" si="4"/>
        <v>5000000</v>
      </c>
      <c r="P39" s="120">
        <f t="shared" si="5"/>
        <v>-2301294</v>
      </c>
      <c r="Q39" s="357">
        <f>7000000-3000000</f>
        <v>4000000</v>
      </c>
      <c r="R39" s="120"/>
      <c r="S39" s="120">
        <f t="shared" si="6"/>
        <v>4000000</v>
      </c>
      <c r="T39" s="120">
        <f t="shared" si="7"/>
        <v>1690000</v>
      </c>
      <c r="U39" s="120">
        <f t="shared" si="8"/>
        <v>5000000</v>
      </c>
      <c r="V39" s="120">
        <f t="shared" si="9"/>
        <v>-981581</v>
      </c>
      <c r="W39" s="120"/>
      <c r="X39" s="120"/>
      <c r="Y39" s="120"/>
      <c r="Z39" s="120"/>
      <c r="AA39" s="120">
        <f>616624+5364957</f>
        <v>5981581</v>
      </c>
      <c r="AB39" s="135" t="s">
        <v>1466</v>
      </c>
      <c r="AC39" s="135">
        <v>824000</v>
      </c>
    </row>
    <row r="40" spans="1:50" ht="40.200000000000003" customHeight="1">
      <c r="A40" s="135">
        <f t="shared" si="0"/>
        <v>36</v>
      </c>
      <c r="B40" s="135">
        <v>2018</v>
      </c>
      <c r="C40" s="135" t="s">
        <v>259</v>
      </c>
      <c r="D40" s="120">
        <f>3600000-250000</f>
        <v>3350000</v>
      </c>
      <c r="E40" s="120">
        <v>3600000</v>
      </c>
      <c r="F40" s="120">
        <f t="shared" si="1"/>
        <v>-250000</v>
      </c>
      <c r="G40" s="120">
        <v>3600000</v>
      </c>
      <c r="H40" s="120">
        <v>3060025</v>
      </c>
      <c r="I40" s="120"/>
      <c r="J40" s="120"/>
      <c r="K40" s="120">
        <f t="shared" si="2"/>
        <v>0</v>
      </c>
      <c r="L40" s="120">
        <f t="shared" si="3"/>
        <v>3060025</v>
      </c>
      <c r="M40" s="120">
        <f>P40+S40-535000</f>
        <v>4975</v>
      </c>
      <c r="N40" s="120">
        <f>535000-250000</f>
        <v>285000</v>
      </c>
      <c r="O40" s="120">
        <f t="shared" si="4"/>
        <v>0</v>
      </c>
      <c r="P40" s="120">
        <f t="shared" si="5"/>
        <v>539975</v>
      </c>
      <c r="Q40" s="357"/>
      <c r="R40" s="120"/>
      <c r="S40" s="120">
        <f t="shared" si="6"/>
        <v>0</v>
      </c>
      <c r="T40" s="120">
        <f t="shared" si="7"/>
        <v>535000</v>
      </c>
      <c r="U40" s="120">
        <f t="shared" si="8"/>
        <v>-250000</v>
      </c>
      <c r="V40" s="120">
        <f t="shared" si="9"/>
        <v>-250000</v>
      </c>
      <c r="W40" s="120"/>
      <c r="X40" s="120"/>
      <c r="Y40" s="120"/>
      <c r="Z40" s="120"/>
      <c r="AA40" s="135"/>
      <c r="AB40" s="224" t="s">
        <v>1327</v>
      </c>
      <c r="AC40" s="135">
        <v>742000</v>
      </c>
    </row>
    <row r="41" spans="1:50" s="134" customFormat="1" ht="40.200000000000003" customHeight="1">
      <c r="A41" s="135">
        <f t="shared" si="0"/>
        <v>37</v>
      </c>
      <c r="B41" s="135">
        <v>2022</v>
      </c>
      <c r="C41" s="135" t="s">
        <v>574</v>
      </c>
      <c r="D41" s="120">
        <f>14000000-100000+50000</f>
        <v>13950000</v>
      </c>
      <c r="E41" s="120">
        <v>14000000</v>
      </c>
      <c r="F41" s="120">
        <f t="shared" si="1"/>
        <v>-50000</v>
      </c>
      <c r="G41" s="120">
        <v>14000000</v>
      </c>
      <c r="H41" s="120">
        <v>13897589</v>
      </c>
      <c r="I41" s="120"/>
      <c r="J41" s="120"/>
      <c r="K41" s="120">
        <f t="shared" si="2"/>
        <v>0</v>
      </c>
      <c r="L41" s="120">
        <f t="shared" si="3"/>
        <v>13897589</v>
      </c>
      <c r="M41" s="120">
        <f>P41+S41-100000</f>
        <v>2411</v>
      </c>
      <c r="N41" s="120">
        <v>50000</v>
      </c>
      <c r="O41" s="120">
        <f t="shared" si="4"/>
        <v>0</v>
      </c>
      <c r="P41" s="120">
        <f t="shared" si="5"/>
        <v>102411</v>
      </c>
      <c r="Q41" s="357"/>
      <c r="R41" s="120"/>
      <c r="S41" s="120">
        <f t="shared" si="6"/>
        <v>0</v>
      </c>
      <c r="T41" s="120">
        <f t="shared" si="7"/>
        <v>100000</v>
      </c>
      <c r="U41" s="120">
        <f t="shared" si="8"/>
        <v>-50000</v>
      </c>
      <c r="V41" s="120">
        <f t="shared" si="9"/>
        <v>-50000</v>
      </c>
      <c r="W41" s="120"/>
      <c r="X41" s="120"/>
      <c r="Y41" s="120"/>
      <c r="Z41" s="120"/>
      <c r="AA41" s="135"/>
      <c r="AB41" s="135" t="s">
        <v>1325</v>
      </c>
      <c r="AC41" s="135">
        <v>829000</v>
      </c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217"/>
      <c r="AW41" s="217"/>
      <c r="AX41" s="217"/>
    </row>
    <row r="42" spans="1:50" s="134" customFormat="1" ht="40.200000000000003" customHeight="1">
      <c r="A42" s="135">
        <f t="shared" si="0"/>
        <v>38</v>
      </c>
      <c r="B42" s="135">
        <v>2023</v>
      </c>
      <c r="C42" s="135" t="s">
        <v>735</v>
      </c>
      <c r="D42" s="120">
        <v>7340000</v>
      </c>
      <c r="E42" s="120">
        <v>7340000</v>
      </c>
      <c r="F42" s="120">
        <f t="shared" si="1"/>
        <v>0</v>
      </c>
      <c r="G42" s="120">
        <v>230000</v>
      </c>
      <c r="H42" s="120">
        <v>228151</v>
      </c>
      <c r="I42" s="120"/>
      <c r="J42" s="120"/>
      <c r="K42" s="120">
        <f t="shared" si="2"/>
        <v>0</v>
      </c>
      <c r="L42" s="120">
        <f t="shared" si="3"/>
        <v>228151</v>
      </c>
      <c r="M42" s="120">
        <f t="shared" si="10"/>
        <v>1849</v>
      </c>
      <c r="N42" s="120"/>
      <c r="O42" s="120">
        <f t="shared" si="4"/>
        <v>7110000</v>
      </c>
      <c r="P42" s="120">
        <f t="shared" si="5"/>
        <v>1849</v>
      </c>
      <c r="Q42" s="357"/>
      <c r="R42" s="120"/>
      <c r="S42" s="120">
        <f t="shared" si="6"/>
        <v>0</v>
      </c>
      <c r="T42" s="120">
        <f t="shared" si="7"/>
        <v>0</v>
      </c>
      <c r="U42" s="120">
        <f t="shared" si="8"/>
        <v>0</v>
      </c>
      <c r="V42" s="120">
        <f t="shared" si="9"/>
        <v>0</v>
      </c>
      <c r="W42" s="120"/>
      <c r="X42" s="120"/>
      <c r="Y42" s="120"/>
      <c r="Z42" s="120"/>
      <c r="AA42" s="135"/>
      <c r="AB42" s="135" t="s">
        <v>627</v>
      </c>
      <c r="AC42" s="135">
        <v>810000</v>
      </c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217"/>
      <c r="AW42" s="217"/>
      <c r="AX42" s="217"/>
    </row>
    <row r="43" spans="1:50" s="134" customFormat="1" ht="40.200000000000003" customHeight="1">
      <c r="A43" s="135">
        <f t="shared" si="0"/>
        <v>39</v>
      </c>
      <c r="B43" s="135">
        <v>2024</v>
      </c>
      <c r="C43" s="135" t="s">
        <v>260</v>
      </c>
      <c r="D43" s="120">
        <f>16300000+2100000</f>
        <v>18400000</v>
      </c>
      <c r="E43" s="120">
        <v>16300000</v>
      </c>
      <c r="F43" s="120">
        <f t="shared" si="1"/>
        <v>2100000</v>
      </c>
      <c r="G43" s="120">
        <v>16300000</v>
      </c>
      <c r="H43" s="120">
        <v>11225590</v>
      </c>
      <c r="I43" s="120"/>
      <c r="J43" s="120"/>
      <c r="K43" s="120">
        <f t="shared" si="2"/>
        <v>0</v>
      </c>
      <c r="L43" s="120">
        <f t="shared" si="3"/>
        <v>11225590</v>
      </c>
      <c r="M43" s="120">
        <f>P43+S43-5050000</f>
        <v>24410</v>
      </c>
      <c r="N43" s="120">
        <f>2100000+5050000</f>
        <v>7150000</v>
      </c>
      <c r="O43" s="120">
        <f t="shared" si="4"/>
        <v>0</v>
      </c>
      <c r="P43" s="120">
        <f t="shared" si="5"/>
        <v>5074410</v>
      </c>
      <c r="Q43" s="357"/>
      <c r="R43" s="120"/>
      <c r="S43" s="120">
        <f t="shared" si="6"/>
        <v>0</v>
      </c>
      <c r="T43" s="120">
        <f t="shared" si="7"/>
        <v>5050000</v>
      </c>
      <c r="U43" s="120">
        <f t="shared" si="8"/>
        <v>2100000</v>
      </c>
      <c r="V43" s="120">
        <f t="shared" si="9"/>
        <v>1654749</v>
      </c>
      <c r="W43" s="120"/>
      <c r="X43" s="120"/>
      <c r="Y43" s="120"/>
      <c r="Z43" s="120"/>
      <c r="AA43" s="120">
        <f>78000+367251</f>
        <v>445251</v>
      </c>
      <c r="AB43" s="135" t="s">
        <v>1386</v>
      </c>
      <c r="AC43" s="135">
        <v>810000</v>
      </c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217"/>
      <c r="AW43" s="217"/>
      <c r="AX43" s="217"/>
    </row>
    <row r="44" spans="1:50" ht="40.200000000000003" customHeight="1">
      <c r="A44" s="135">
        <f t="shared" si="0"/>
        <v>40</v>
      </c>
      <c r="B44" s="220">
        <v>2064</v>
      </c>
      <c r="C44" s="135" t="s">
        <v>213</v>
      </c>
      <c r="D44" s="120">
        <f>2463705-30000</f>
        <v>2433705</v>
      </c>
      <c r="E44" s="120">
        <v>2463705</v>
      </c>
      <c r="F44" s="120">
        <f t="shared" si="1"/>
        <v>-30000</v>
      </c>
      <c r="G44" s="120">
        <v>2463705</v>
      </c>
      <c r="H44" s="120">
        <v>2429685</v>
      </c>
      <c r="I44" s="120"/>
      <c r="J44" s="120"/>
      <c r="K44" s="120">
        <f t="shared" si="2"/>
        <v>0</v>
      </c>
      <c r="L44" s="120">
        <f t="shared" si="3"/>
        <v>2429685</v>
      </c>
      <c r="M44" s="120">
        <f>P44+S44-30000</f>
        <v>4020</v>
      </c>
      <c r="N44" s="120"/>
      <c r="O44" s="120">
        <f t="shared" si="4"/>
        <v>0</v>
      </c>
      <c r="P44" s="120">
        <f t="shared" si="5"/>
        <v>34020</v>
      </c>
      <c r="Q44" s="357"/>
      <c r="R44" s="120"/>
      <c r="S44" s="120">
        <f t="shared" si="6"/>
        <v>0</v>
      </c>
      <c r="T44" s="120">
        <f t="shared" si="7"/>
        <v>30000</v>
      </c>
      <c r="U44" s="120">
        <f t="shared" si="8"/>
        <v>-30000</v>
      </c>
      <c r="V44" s="120">
        <f t="shared" si="9"/>
        <v>-30000</v>
      </c>
      <c r="W44" s="120"/>
      <c r="X44" s="120"/>
      <c r="Y44" s="120"/>
      <c r="Z44" s="120"/>
      <c r="AA44" s="135"/>
      <c r="AB44" s="135" t="s">
        <v>1460</v>
      </c>
      <c r="AC44" s="135">
        <v>829000</v>
      </c>
    </row>
    <row r="45" spans="1:50" ht="40.200000000000003" customHeight="1">
      <c r="A45" s="135">
        <f t="shared" si="0"/>
        <v>41</v>
      </c>
      <c r="B45" s="220">
        <v>2073</v>
      </c>
      <c r="C45" s="224" t="s">
        <v>575</v>
      </c>
      <c r="D45" s="120">
        <f>60000000+5000000+21000000-12000000-62650000</f>
        <v>11350000</v>
      </c>
      <c r="E45" s="120">
        <v>11350000</v>
      </c>
      <c r="F45" s="120">
        <f t="shared" si="1"/>
        <v>0</v>
      </c>
      <c r="G45" s="120">
        <v>1600000</v>
      </c>
      <c r="H45" s="120">
        <v>501947</v>
      </c>
      <c r="I45" s="120"/>
      <c r="J45" s="120"/>
      <c r="K45" s="120">
        <f t="shared" si="2"/>
        <v>0</v>
      </c>
      <c r="L45" s="120">
        <f t="shared" si="3"/>
        <v>501947</v>
      </c>
      <c r="M45" s="120">
        <f>P45+S45-1090000</f>
        <v>8053</v>
      </c>
      <c r="N45" s="120">
        <f>30000000-20000000-4000000+1090000-6000000-300000</f>
        <v>790000</v>
      </c>
      <c r="O45" s="120">
        <f t="shared" si="4"/>
        <v>10050000</v>
      </c>
      <c r="P45" s="120">
        <f t="shared" si="5"/>
        <v>1098053</v>
      </c>
      <c r="Q45" s="357"/>
      <c r="R45" s="120"/>
      <c r="S45" s="120">
        <f t="shared" si="6"/>
        <v>0</v>
      </c>
      <c r="T45" s="120">
        <f t="shared" si="7"/>
        <v>1090000</v>
      </c>
      <c r="U45" s="120">
        <f t="shared" si="8"/>
        <v>-300000</v>
      </c>
      <c r="V45" s="120">
        <f t="shared" si="9"/>
        <v>-300000</v>
      </c>
      <c r="W45" s="120"/>
      <c r="X45" s="120"/>
      <c r="Y45" s="120"/>
      <c r="Z45" s="120"/>
      <c r="AA45" s="135"/>
      <c r="AB45" s="135" t="s">
        <v>884</v>
      </c>
      <c r="AC45" s="135">
        <v>829000</v>
      </c>
    </row>
    <row r="46" spans="1:50" ht="40.200000000000003" customHeight="1">
      <c r="A46" s="135">
        <f t="shared" si="0"/>
        <v>42</v>
      </c>
      <c r="B46" s="220">
        <v>2076</v>
      </c>
      <c r="C46" s="135" t="s">
        <v>261</v>
      </c>
      <c r="D46" s="120">
        <v>2350000</v>
      </c>
      <c r="E46" s="120">
        <v>2350000</v>
      </c>
      <c r="F46" s="120">
        <f t="shared" si="1"/>
        <v>0</v>
      </c>
      <c r="G46" s="120">
        <v>1450000</v>
      </c>
      <c r="H46" s="120">
        <v>231641</v>
      </c>
      <c r="I46" s="120"/>
      <c r="J46" s="120"/>
      <c r="K46" s="120">
        <f t="shared" si="2"/>
        <v>0</v>
      </c>
      <c r="L46" s="120">
        <f t="shared" si="3"/>
        <v>231641</v>
      </c>
      <c r="M46" s="120">
        <f>P46+S46-900000-1200000</f>
        <v>18359</v>
      </c>
      <c r="N46" s="120">
        <f>900000+1200000-400000</f>
        <v>1700000</v>
      </c>
      <c r="O46" s="120">
        <f t="shared" si="4"/>
        <v>400000</v>
      </c>
      <c r="P46" s="120">
        <f t="shared" si="5"/>
        <v>1218359</v>
      </c>
      <c r="Q46" s="357">
        <v>900000</v>
      </c>
      <c r="R46" s="120"/>
      <c r="S46" s="120">
        <f t="shared" si="6"/>
        <v>900000</v>
      </c>
      <c r="T46" s="120">
        <f t="shared" si="7"/>
        <v>2100000</v>
      </c>
      <c r="U46" s="120">
        <f t="shared" si="8"/>
        <v>-400000</v>
      </c>
      <c r="V46" s="120">
        <f t="shared" si="9"/>
        <v>-400000</v>
      </c>
      <c r="W46" s="120"/>
      <c r="X46" s="120"/>
      <c r="Y46" s="120"/>
      <c r="Z46" s="120"/>
      <c r="AA46" s="135"/>
      <c r="AB46" s="135" t="s">
        <v>294</v>
      </c>
      <c r="AC46" s="135">
        <v>850000</v>
      </c>
    </row>
    <row r="47" spans="1:50" s="5" customFormat="1" ht="40.200000000000003" customHeight="1">
      <c r="A47" s="135">
        <f t="shared" si="0"/>
        <v>43</v>
      </c>
      <c r="B47" s="3">
        <v>2078</v>
      </c>
      <c r="C47" s="3" t="s">
        <v>247</v>
      </c>
      <c r="D47" s="120">
        <v>2460000</v>
      </c>
      <c r="E47" s="120">
        <v>2460000</v>
      </c>
      <c r="F47" s="120">
        <f t="shared" si="1"/>
        <v>0</v>
      </c>
      <c r="G47" s="120">
        <v>1960000</v>
      </c>
      <c r="H47" s="120">
        <v>239106</v>
      </c>
      <c r="I47" s="120"/>
      <c r="J47" s="120"/>
      <c r="K47" s="120">
        <f t="shared" si="2"/>
        <v>0</v>
      </c>
      <c r="L47" s="120">
        <f t="shared" si="3"/>
        <v>239106</v>
      </c>
      <c r="M47" s="120">
        <f>P47+S47-500000-1700000</f>
        <v>20894</v>
      </c>
      <c r="N47" s="120">
        <f>500000+1700000-100000</f>
        <v>2100000</v>
      </c>
      <c r="O47" s="120">
        <f t="shared" si="4"/>
        <v>100000</v>
      </c>
      <c r="P47" s="120">
        <f t="shared" si="5"/>
        <v>1720894</v>
      </c>
      <c r="Q47" s="357">
        <v>500000</v>
      </c>
      <c r="R47" s="120"/>
      <c r="S47" s="120">
        <f t="shared" si="6"/>
        <v>500000</v>
      </c>
      <c r="T47" s="120">
        <f t="shared" si="7"/>
        <v>2200000</v>
      </c>
      <c r="U47" s="120">
        <f t="shared" si="8"/>
        <v>-100000</v>
      </c>
      <c r="V47" s="120">
        <f t="shared" si="9"/>
        <v>-100000</v>
      </c>
      <c r="W47" s="120"/>
      <c r="X47" s="120"/>
      <c r="Y47" s="120"/>
      <c r="Z47" s="120"/>
      <c r="AA47" s="135"/>
      <c r="AB47" s="3" t="s">
        <v>325</v>
      </c>
      <c r="AC47" s="3">
        <v>742000</v>
      </c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217"/>
      <c r="AW47" s="217"/>
      <c r="AX47" s="217"/>
    </row>
    <row r="48" spans="1:50" ht="40.200000000000003" customHeight="1">
      <c r="A48" s="135">
        <f t="shared" si="0"/>
        <v>44</v>
      </c>
      <c r="B48" s="19">
        <v>2097</v>
      </c>
      <c r="C48" s="135" t="s">
        <v>262</v>
      </c>
      <c r="D48" s="120">
        <v>79000000</v>
      </c>
      <c r="E48" s="120">
        <v>79000000</v>
      </c>
      <c r="F48" s="120">
        <f t="shared" si="1"/>
        <v>0</v>
      </c>
      <c r="G48" s="120">
        <f>26619617+2852702</f>
        <v>29472319</v>
      </c>
      <c r="H48" s="120">
        <v>34007912</v>
      </c>
      <c r="I48" s="120"/>
      <c r="J48" s="120">
        <v>448008</v>
      </c>
      <c r="K48" s="120">
        <f t="shared" si="2"/>
        <v>448008</v>
      </c>
      <c r="L48" s="120">
        <f t="shared" si="3"/>
        <v>34455920</v>
      </c>
      <c r="M48" s="120">
        <f>P48+S48-6650000</f>
        <v>13697</v>
      </c>
      <c r="N48" s="120">
        <f>37880383-27880383+3901997-4000000+6650000-2000000</f>
        <v>14551997</v>
      </c>
      <c r="O48" s="120">
        <f t="shared" si="4"/>
        <v>29978386</v>
      </c>
      <c r="P48" s="120">
        <f t="shared" si="5"/>
        <v>-4983601</v>
      </c>
      <c r="Q48" s="357">
        <f>14500000-2852702</f>
        <v>11647298</v>
      </c>
      <c r="R48" s="120"/>
      <c r="S48" s="120">
        <f t="shared" si="6"/>
        <v>11647298</v>
      </c>
      <c r="T48" s="120">
        <f t="shared" si="7"/>
        <v>6650000</v>
      </c>
      <c r="U48" s="120">
        <f t="shared" si="8"/>
        <v>7901997</v>
      </c>
      <c r="V48" s="120">
        <f t="shared" si="9"/>
        <v>4000000</v>
      </c>
      <c r="W48" s="120"/>
      <c r="X48" s="120"/>
      <c r="Y48" s="120"/>
      <c r="Z48" s="120"/>
      <c r="AA48" s="120">
        <f>382200+141574+3378223</f>
        <v>3901997</v>
      </c>
      <c r="AB48" s="224" t="s">
        <v>798</v>
      </c>
      <c r="AC48" s="135">
        <v>810000</v>
      </c>
    </row>
    <row r="49" spans="1:50" ht="40.200000000000003" customHeight="1">
      <c r="A49" s="135">
        <f t="shared" si="0"/>
        <v>45</v>
      </c>
      <c r="B49" s="19">
        <v>2099</v>
      </c>
      <c r="C49" s="135" t="s">
        <v>263</v>
      </c>
      <c r="D49" s="120">
        <f>17650000+3150000+60000</f>
        <v>20860000</v>
      </c>
      <c r="E49" s="120">
        <v>17650000</v>
      </c>
      <c r="F49" s="120">
        <f t="shared" si="1"/>
        <v>3210000</v>
      </c>
      <c r="G49" s="120">
        <f>15000000+1500000</f>
        <v>16500000</v>
      </c>
      <c r="H49" s="120">
        <v>15906185</v>
      </c>
      <c r="I49" s="120"/>
      <c r="J49" s="120"/>
      <c r="K49" s="120">
        <f t="shared" si="2"/>
        <v>0</v>
      </c>
      <c r="L49" s="120">
        <f t="shared" si="3"/>
        <v>15906185</v>
      </c>
      <c r="M49" s="120">
        <f>P49+S49-590000</f>
        <v>3815</v>
      </c>
      <c r="N49" s="120">
        <f>1150000+3150000+60000+590000</f>
        <v>4950000</v>
      </c>
      <c r="O49" s="120">
        <f t="shared" si="4"/>
        <v>0</v>
      </c>
      <c r="P49" s="120">
        <f t="shared" si="5"/>
        <v>593815</v>
      </c>
      <c r="Q49" s="357">
        <f>1500000-1500000</f>
        <v>0</v>
      </c>
      <c r="R49" s="120"/>
      <c r="S49" s="120">
        <f t="shared" si="6"/>
        <v>0</v>
      </c>
      <c r="T49" s="120">
        <f t="shared" si="7"/>
        <v>590000</v>
      </c>
      <c r="U49" s="120">
        <f t="shared" si="8"/>
        <v>4360000</v>
      </c>
      <c r="V49" s="120">
        <f t="shared" si="9"/>
        <v>4360000</v>
      </c>
      <c r="W49" s="120"/>
      <c r="X49" s="120"/>
      <c r="Y49" s="120"/>
      <c r="Z49" s="120"/>
      <c r="AA49" s="135"/>
      <c r="AB49" s="235" t="s">
        <v>565</v>
      </c>
      <c r="AC49" s="135">
        <v>826000</v>
      </c>
    </row>
    <row r="50" spans="1:50" ht="40.200000000000003" customHeight="1">
      <c r="A50" s="135">
        <f t="shared" si="0"/>
        <v>46</v>
      </c>
      <c r="B50" s="19">
        <v>2101</v>
      </c>
      <c r="C50" s="135" t="s">
        <v>437</v>
      </c>
      <c r="D50" s="120">
        <v>24200000</v>
      </c>
      <c r="E50" s="120">
        <v>24200000</v>
      </c>
      <c r="F50" s="120">
        <f t="shared" si="1"/>
        <v>0</v>
      </c>
      <c r="G50" s="120">
        <f>1500000+1500000</f>
        <v>3000000</v>
      </c>
      <c r="H50" s="120">
        <v>4730972</v>
      </c>
      <c r="I50" s="120"/>
      <c r="J50" s="120"/>
      <c r="K50" s="120">
        <f t="shared" si="2"/>
        <v>0</v>
      </c>
      <c r="L50" s="120">
        <f t="shared" si="3"/>
        <v>4730972</v>
      </c>
      <c r="M50" s="120">
        <f>P50+S50-2750000</f>
        <v>19028</v>
      </c>
      <c r="N50" s="120">
        <f>16700000-8000000+2750000-1000000</f>
        <v>10450000</v>
      </c>
      <c r="O50" s="120">
        <f t="shared" si="4"/>
        <v>9000000</v>
      </c>
      <c r="P50" s="120">
        <f t="shared" si="5"/>
        <v>-1730972</v>
      </c>
      <c r="Q50" s="357">
        <f>6000000-1500000</f>
        <v>4500000</v>
      </c>
      <c r="R50" s="120"/>
      <c r="S50" s="120">
        <f t="shared" si="6"/>
        <v>4500000</v>
      </c>
      <c r="T50" s="120">
        <f t="shared" si="7"/>
        <v>2750000</v>
      </c>
      <c r="U50" s="120">
        <f t="shared" si="8"/>
        <v>7700000</v>
      </c>
      <c r="V50" s="120">
        <f t="shared" si="9"/>
        <v>7700000</v>
      </c>
      <c r="W50" s="120">
        <f>500000+20000+188000-500000-20000-188000</f>
        <v>0</v>
      </c>
      <c r="X50" s="120"/>
      <c r="Y50" s="120"/>
      <c r="Z50" s="120"/>
      <c r="AA50" s="120">
        <f>W50*0.7</f>
        <v>0</v>
      </c>
      <c r="AB50" s="235" t="s">
        <v>1316</v>
      </c>
      <c r="AC50" s="135">
        <v>840000</v>
      </c>
    </row>
    <row r="51" spans="1:50" ht="40.200000000000003" customHeight="1">
      <c r="A51" s="135">
        <f t="shared" si="0"/>
        <v>47</v>
      </c>
      <c r="B51" s="19">
        <v>2103</v>
      </c>
      <c r="C51" s="135" t="s">
        <v>293</v>
      </c>
      <c r="D51" s="120">
        <v>4200000</v>
      </c>
      <c r="E51" s="120">
        <v>4200000</v>
      </c>
      <c r="F51" s="120">
        <f t="shared" si="1"/>
        <v>0</v>
      </c>
      <c r="G51" s="120">
        <v>1000000</v>
      </c>
      <c r="H51" s="120">
        <v>875595</v>
      </c>
      <c r="I51" s="120"/>
      <c r="J51" s="120"/>
      <c r="K51" s="120">
        <f t="shared" si="2"/>
        <v>0</v>
      </c>
      <c r="L51" s="120">
        <f t="shared" si="3"/>
        <v>875595</v>
      </c>
      <c r="M51" s="120">
        <f>P51+S51-700000-120000</f>
        <v>4405</v>
      </c>
      <c r="N51" s="120">
        <v>120000</v>
      </c>
      <c r="O51" s="120">
        <f t="shared" si="4"/>
        <v>3200000</v>
      </c>
      <c r="P51" s="120">
        <f t="shared" si="5"/>
        <v>124405</v>
      </c>
      <c r="Q51" s="357">
        <v>700000</v>
      </c>
      <c r="R51" s="120"/>
      <c r="S51" s="120">
        <f t="shared" si="6"/>
        <v>700000</v>
      </c>
      <c r="T51" s="120">
        <f t="shared" si="7"/>
        <v>820000</v>
      </c>
      <c r="U51" s="120">
        <f t="shared" si="8"/>
        <v>-700000</v>
      </c>
      <c r="V51" s="120">
        <f t="shared" si="9"/>
        <v>-700000</v>
      </c>
      <c r="W51" s="120"/>
      <c r="X51" s="120"/>
      <c r="Y51" s="120"/>
      <c r="Z51" s="120"/>
      <c r="AA51" s="135"/>
      <c r="AB51" s="224" t="s">
        <v>628</v>
      </c>
      <c r="AC51" s="135">
        <v>848000</v>
      </c>
    </row>
    <row r="52" spans="1:50" s="6" customFormat="1" ht="40.200000000000003" customHeight="1">
      <c r="A52" s="135">
        <f t="shared" si="0"/>
        <v>48</v>
      </c>
      <c r="B52" s="19">
        <v>2106</v>
      </c>
      <c r="C52" s="3" t="s">
        <v>361</v>
      </c>
      <c r="D52" s="120">
        <v>15000000</v>
      </c>
      <c r="E52" s="120">
        <v>15000000</v>
      </c>
      <c r="F52" s="120">
        <f t="shared" si="1"/>
        <v>0</v>
      </c>
      <c r="G52" s="120">
        <v>4000000</v>
      </c>
      <c r="H52" s="120">
        <v>1908005</v>
      </c>
      <c r="I52" s="120"/>
      <c r="J52" s="120"/>
      <c r="K52" s="120">
        <f t="shared" si="2"/>
        <v>0</v>
      </c>
      <c r="L52" s="120">
        <f t="shared" si="3"/>
        <v>1908005</v>
      </c>
      <c r="M52" s="120">
        <f>P52+S52-500000-2050000</f>
        <v>41995</v>
      </c>
      <c r="N52" s="120">
        <f>500000+2050000</f>
        <v>2550000</v>
      </c>
      <c r="O52" s="120">
        <f t="shared" si="4"/>
        <v>10500000</v>
      </c>
      <c r="P52" s="120">
        <f t="shared" si="5"/>
        <v>2091995</v>
      </c>
      <c r="Q52" s="357">
        <v>500000</v>
      </c>
      <c r="R52" s="120"/>
      <c r="S52" s="120">
        <f t="shared" si="6"/>
        <v>500000</v>
      </c>
      <c r="T52" s="120">
        <f t="shared" si="7"/>
        <v>2550000</v>
      </c>
      <c r="U52" s="120">
        <f t="shared" si="8"/>
        <v>0</v>
      </c>
      <c r="V52" s="120">
        <f t="shared" si="9"/>
        <v>0</v>
      </c>
      <c r="W52" s="120"/>
      <c r="X52" s="120"/>
      <c r="Y52" s="120"/>
      <c r="Z52" s="120"/>
      <c r="AA52" s="135"/>
      <c r="AB52" s="224" t="s">
        <v>519</v>
      </c>
      <c r="AC52" s="3">
        <v>742000</v>
      </c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217"/>
      <c r="AW52" s="217"/>
      <c r="AX52" s="217"/>
    </row>
    <row r="53" spans="1:50" s="5" customFormat="1" ht="40.200000000000003" customHeight="1">
      <c r="A53" s="135">
        <f t="shared" si="0"/>
        <v>49</v>
      </c>
      <c r="B53" s="19">
        <v>2109</v>
      </c>
      <c r="C53" s="3" t="s">
        <v>248</v>
      </c>
      <c r="D53" s="120">
        <f>2000000+5500000</f>
        <v>7500000</v>
      </c>
      <c r="E53" s="120">
        <v>2000000</v>
      </c>
      <c r="F53" s="120">
        <f t="shared" si="1"/>
        <v>5500000</v>
      </c>
      <c r="G53" s="120">
        <v>850000</v>
      </c>
      <c r="H53" s="120">
        <v>159190</v>
      </c>
      <c r="I53" s="120"/>
      <c r="J53" s="120"/>
      <c r="K53" s="120">
        <f t="shared" si="2"/>
        <v>0</v>
      </c>
      <c r="L53" s="120">
        <f t="shared" si="3"/>
        <v>159190</v>
      </c>
      <c r="M53" s="120">
        <f>P53+S53-690000</f>
        <v>810</v>
      </c>
      <c r="N53" s="120">
        <v>690000</v>
      </c>
      <c r="O53" s="120">
        <f t="shared" si="4"/>
        <v>6650000</v>
      </c>
      <c r="P53" s="120">
        <f t="shared" si="5"/>
        <v>690810</v>
      </c>
      <c r="Q53" s="357"/>
      <c r="R53" s="120"/>
      <c r="S53" s="120">
        <f t="shared" si="6"/>
        <v>0</v>
      </c>
      <c r="T53" s="120">
        <f t="shared" si="7"/>
        <v>690000</v>
      </c>
      <c r="U53" s="120">
        <f t="shared" si="8"/>
        <v>0</v>
      </c>
      <c r="V53" s="120">
        <f t="shared" si="9"/>
        <v>0</v>
      </c>
      <c r="W53" s="120"/>
      <c r="X53" s="120"/>
      <c r="Y53" s="120"/>
      <c r="Z53" s="120"/>
      <c r="AA53" s="135"/>
      <c r="AB53" s="3" t="s">
        <v>549</v>
      </c>
      <c r="AC53" s="3">
        <v>742000</v>
      </c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217"/>
      <c r="AW53" s="217"/>
      <c r="AX53" s="217"/>
    </row>
    <row r="54" spans="1:50" s="5" customFormat="1" ht="40.200000000000003" customHeight="1">
      <c r="A54" s="135">
        <f t="shared" si="0"/>
        <v>50</v>
      </c>
      <c r="B54" s="19">
        <v>2110</v>
      </c>
      <c r="C54" s="3" t="s">
        <v>249</v>
      </c>
      <c r="D54" s="120">
        <v>16000000</v>
      </c>
      <c r="E54" s="120">
        <v>16000000</v>
      </c>
      <c r="F54" s="120">
        <f t="shared" si="1"/>
        <v>0</v>
      </c>
      <c r="G54" s="120">
        <v>50000</v>
      </c>
      <c r="H54" s="120"/>
      <c r="I54" s="120"/>
      <c r="J54" s="120"/>
      <c r="K54" s="120">
        <f t="shared" si="2"/>
        <v>0</v>
      </c>
      <c r="L54" s="120">
        <f t="shared" si="3"/>
        <v>0</v>
      </c>
      <c r="M54" s="120">
        <f>P54+S54-50000</f>
        <v>0</v>
      </c>
      <c r="N54" s="120"/>
      <c r="O54" s="120">
        <f t="shared" si="4"/>
        <v>16000000</v>
      </c>
      <c r="P54" s="120">
        <f t="shared" si="5"/>
        <v>50000</v>
      </c>
      <c r="Q54" s="357"/>
      <c r="R54" s="120"/>
      <c r="S54" s="120">
        <f t="shared" si="6"/>
        <v>0</v>
      </c>
      <c r="T54" s="120">
        <f t="shared" si="7"/>
        <v>50000</v>
      </c>
      <c r="U54" s="120">
        <f t="shared" si="8"/>
        <v>-50000</v>
      </c>
      <c r="V54" s="120">
        <f t="shared" si="9"/>
        <v>-50000</v>
      </c>
      <c r="W54" s="120"/>
      <c r="X54" s="120"/>
      <c r="Y54" s="120"/>
      <c r="Z54" s="120"/>
      <c r="AA54" s="135"/>
      <c r="AB54" s="3" t="s">
        <v>566</v>
      </c>
      <c r="AC54" s="3">
        <v>742000</v>
      </c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217"/>
      <c r="AW54" s="217"/>
      <c r="AX54" s="217"/>
    </row>
    <row r="55" spans="1:50" s="5" customFormat="1" ht="40.200000000000003" customHeight="1">
      <c r="A55" s="135">
        <f t="shared" si="0"/>
        <v>51</v>
      </c>
      <c r="B55" s="19">
        <v>2111</v>
      </c>
      <c r="C55" s="3" t="s">
        <v>250</v>
      </c>
      <c r="D55" s="120">
        <v>15200000</v>
      </c>
      <c r="E55" s="120">
        <v>15200000</v>
      </c>
      <c r="F55" s="120">
        <f t="shared" si="1"/>
        <v>0</v>
      </c>
      <c r="G55" s="120">
        <v>100000</v>
      </c>
      <c r="H55" s="120"/>
      <c r="I55" s="120"/>
      <c r="J55" s="120"/>
      <c r="K55" s="120">
        <f t="shared" si="2"/>
        <v>0</v>
      </c>
      <c r="L55" s="120">
        <f t="shared" si="3"/>
        <v>0</v>
      </c>
      <c r="M55" s="120">
        <f>P55+S55-100000</f>
        <v>0</v>
      </c>
      <c r="N55" s="120">
        <f>15100000-14100000-1000000</f>
        <v>0</v>
      </c>
      <c r="O55" s="120">
        <f t="shared" si="4"/>
        <v>15200000</v>
      </c>
      <c r="P55" s="120">
        <f t="shared" si="5"/>
        <v>100000</v>
      </c>
      <c r="Q55" s="357"/>
      <c r="R55" s="120"/>
      <c r="S55" s="120">
        <f t="shared" si="6"/>
        <v>0</v>
      </c>
      <c r="T55" s="120">
        <f t="shared" si="7"/>
        <v>100000</v>
      </c>
      <c r="U55" s="120">
        <f t="shared" si="8"/>
        <v>-100000</v>
      </c>
      <c r="V55" s="120">
        <f t="shared" si="9"/>
        <v>-100000</v>
      </c>
      <c r="W55" s="120"/>
      <c r="X55" s="120"/>
      <c r="Y55" s="120"/>
      <c r="Z55" s="120"/>
      <c r="AA55" s="135"/>
      <c r="AB55" s="213" t="s">
        <v>520</v>
      </c>
      <c r="AC55" s="3">
        <v>742000</v>
      </c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217"/>
      <c r="AW55" s="217"/>
      <c r="AX55" s="217"/>
    </row>
    <row r="56" spans="1:50" s="6" customFormat="1" ht="40.200000000000003" customHeight="1">
      <c r="A56" s="135">
        <f t="shared" si="0"/>
        <v>52</v>
      </c>
      <c r="B56" s="19">
        <v>2115</v>
      </c>
      <c r="C56" s="3" t="s">
        <v>252</v>
      </c>
      <c r="D56" s="120">
        <f>3100000+600000</f>
        <v>3700000</v>
      </c>
      <c r="E56" s="120">
        <v>3100000</v>
      </c>
      <c r="F56" s="120">
        <f t="shared" si="1"/>
        <v>600000</v>
      </c>
      <c r="G56" s="120">
        <v>2300000</v>
      </c>
      <c r="H56" s="120">
        <v>2300000</v>
      </c>
      <c r="I56" s="120"/>
      <c r="J56" s="120"/>
      <c r="K56" s="120">
        <f t="shared" si="2"/>
        <v>0</v>
      </c>
      <c r="L56" s="120">
        <f t="shared" si="3"/>
        <v>2300000</v>
      </c>
      <c r="M56" s="120">
        <f t="shared" si="10"/>
        <v>0</v>
      </c>
      <c r="N56" s="120">
        <f>500000+300000+600000</f>
        <v>1400000</v>
      </c>
      <c r="O56" s="120">
        <f t="shared" si="4"/>
        <v>0</v>
      </c>
      <c r="P56" s="120">
        <f t="shared" si="5"/>
        <v>0</v>
      </c>
      <c r="Q56" s="357"/>
      <c r="R56" s="120"/>
      <c r="S56" s="120">
        <f t="shared" si="6"/>
        <v>0</v>
      </c>
      <c r="T56" s="120">
        <f t="shared" si="7"/>
        <v>0</v>
      </c>
      <c r="U56" s="120">
        <f t="shared" si="8"/>
        <v>1400000</v>
      </c>
      <c r="V56" s="120">
        <f t="shared" si="9"/>
        <v>1400000</v>
      </c>
      <c r="W56" s="120"/>
      <c r="X56" s="120"/>
      <c r="Y56" s="120"/>
      <c r="Z56" s="120"/>
      <c r="AA56" s="135"/>
      <c r="AB56" s="3" t="s">
        <v>1370</v>
      </c>
      <c r="AC56" s="3">
        <v>732000</v>
      </c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217"/>
      <c r="AW56" s="217"/>
      <c r="AX56" s="217"/>
    </row>
    <row r="57" spans="1:50" s="6" customFormat="1" ht="40.200000000000003" customHeight="1">
      <c r="A57" s="135">
        <f t="shared" si="0"/>
        <v>53</v>
      </c>
      <c r="B57" s="19">
        <v>2118</v>
      </c>
      <c r="C57" s="3" t="s">
        <v>253</v>
      </c>
      <c r="D57" s="120">
        <v>2600000</v>
      </c>
      <c r="E57" s="120">
        <v>2600000</v>
      </c>
      <c r="F57" s="120">
        <f t="shared" si="1"/>
        <v>0</v>
      </c>
      <c r="G57" s="120">
        <v>2600000</v>
      </c>
      <c r="H57" s="120">
        <v>2049405</v>
      </c>
      <c r="I57" s="120"/>
      <c r="J57" s="120"/>
      <c r="K57" s="120">
        <f t="shared" si="2"/>
        <v>0</v>
      </c>
      <c r="L57" s="120">
        <f t="shared" si="3"/>
        <v>2049405</v>
      </c>
      <c r="M57" s="120">
        <f>P57+S57-550000</f>
        <v>595</v>
      </c>
      <c r="N57" s="120">
        <v>550000</v>
      </c>
      <c r="O57" s="120">
        <f t="shared" si="4"/>
        <v>0</v>
      </c>
      <c r="P57" s="120">
        <f t="shared" si="5"/>
        <v>550595</v>
      </c>
      <c r="Q57" s="357"/>
      <c r="R57" s="120"/>
      <c r="S57" s="120">
        <f t="shared" si="6"/>
        <v>0</v>
      </c>
      <c r="T57" s="120">
        <f t="shared" si="7"/>
        <v>550000</v>
      </c>
      <c r="U57" s="120">
        <f t="shared" si="8"/>
        <v>0</v>
      </c>
      <c r="V57" s="120">
        <f t="shared" si="9"/>
        <v>0</v>
      </c>
      <c r="W57" s="120"/>
      <c r="X57" s="120"/>
      <c r="Y57" s="120"/>
      <c r="Z57" s="120"/>
      <c r="AA57" s="135"/>
      <c r="AB57" s="214" t="s">
        <v>1351</v>
      </c>
      <c r="AC57" s="3">
        <v>746000</v>
      </c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217"/>
      <c r="AW57" s="217"/>
      <c r="AX57" s="217"/>
    </row>
    <row r="58" spans="1:50" s="5" customFormat="1" ht="40.200000000000003" customHeight="1">
      <c r="A58" s="135">
        <f t="shared" si="0"/>
        <v>54</v>
      </c>
      <c r="B58" s="19">
        <v>2119</v>
      </c>
      <c r="C58" s="3" t="s">
        <v>254</v>
      </c>
      <c r="D58" s="120">
        <v>6000000</v>
      </c>
      <c r="E58" s="120">
        <v>6000000</v>
      </c>
      <c r="F58" s="120">
        <f t="shared" si="1"/>
        <v>0</v>
      </c>
      <c r="G58" s="120">
        <v>6000000</v>
      </c>
      <c r="H58" s="120">
        <v>3301431</v>
      </c>
      <c r="I58" s="120"/>
      <c r="J58" s="120"/>
      <c r="K58" s="120">
        <f t="shared" si="2"/>
        <v>0</v>
      </c>
      <c r="L58" s="120">
        <f t="shared" si="3"/>
        <v>3301431</v>
      </c>
      <c r="M58" s="120">
        <f>P58+S58-2690000</f>
        <v>8569</v>
      </c>
      <c r="N58" s="120">
        <v>2690000</v>
      </c>
      <c r="O58" s="120">
        <f t="shared" si="4"/>
        <v>0</v>
      </c>
      <c r="P58" s="120">
        <f t="shared" si="5"/>
        <v>2698569</v>
      </c>
      <c r="Q58" s="357"/>
      <c r="R58" s="120"/>
      <c r="S58" s="120">
        <f t="shared" si="6"/>
        <v>0</v>
      </c>
      <c r="T58" s="120">
        <f t="shared" si="7"/>
        <v>2690000</v>
      </c>
      <c r="U58" s="120">
        <f t="shared" si="8"/>
        <v>0</v>
      </c>
      <c r="V58" s="120">
        <f t="shared" si="9"/>
        <v>0</v>
      </c>
      <c r="W58" s="120"/>
      <c r="X58" s="120"/>
      <c r="Y58" s="120"/>
      <c r="Z58" s="120"/>
      <c r="AA58" s="135"/>
      <c r="AB58" s="3" t="s">
        <v>255</v>
      </c>
      <c r="AC58" s="3">
        <v>742000</v>
      </c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217"/>
      <c r="AW58" s="217"/>
      <c r="AX58" s="217"/>
    </row>
    <row r="59" spans="1:50" s="5" customFormat="1" ht="40.200000000000003" customHeight="1">
      <c r="A59" s="135">
        <f t="shared" si="0"/>
        <v>55</v>
      </c>
      <c r="B59" s="19">
        <v>2126</v>
      </c>
      <c r="C59" s="3" t="s">
        <v>374</v>
      </c>
      <c r="D59" s="120">
        <v>1975000</v>
      </c>
      <c r="E59" s="120">
        <v>1975000</v>
      </c>
      <c r="F59" s="120">
        <f t="shared" si="1"/>
        <v>0</v>
      </c>
      <c r="G59" s="120">
        <v>0</v>
      </c>
      <c r="H59" s="120"/>
      <c r="I59" s="120"/>
      <c r="J59" s="120"/>
      <c r="K59" s="120">
        <f t="shared" si="2"/>
        <v>0</v>
      </c>
      <c r="L59" s="120">
        <f t="shared" si="3"/>
        <v>0</v>
      </c>
      <c r="M59" s="120">
        <f t="shared" si="10"/>
        <v>0</v>
      </c>
      <c r="N59" s="120"/>
      <c r="O59" s="120">
        <f t="shared" si="4"/>
        <v>1975000</v>
      </c>
      <c r="P59" s="120">
        <f t="shared" si="5"/>
        <v>0</v>
      </c>
      <c r="Q59" s="357"/>
      <c r="R59" s="120"/>
      <c r="S59" s="120">
        <f t="shared" si="6"/>
        <v>0</v>
      </c>
      <c r="T59" s="120">
        <f t="shared" si="7"/>
        <v>0</v>
      </c>
      <c r="U59" s="120">
        <f t="shared" si="8"/>
        <v>0</v>
      </c>
      <c r="V59" s="120">
        <f t="shared" si="9"/>
        <v>0</v>
      </c>
      <c r="W59" s="120"/>
      <c r="X59" s="120"/>
      <c r="Y59" s="120"/>
      <c r="Z59" s="120"/>
      <c r="AA59" s="135"/>
      <c r="AB59" s="3"/>
      <c r="AC59" s="3">
        <v>742000</v>
      </c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217"/>
      <c r="AW59" s="217"/>
      <c r="AX59" s="217"/>
    </row>
    <row r="60" spans="1:50" s="6" customFormat="1" ht="40.200000000000003" customHeight="1">
      <c r="A60" s="135">
        <f t="shared" si="0"/>
        <v>56</v>
      </c>
      <c r="B60" s="19">
        <v>2127</v>
      </c>
      <c r="C60" s="3" t="s">
        <v>375</v>
      </c>
      <c r="D60" s="120">
        <v>2259000</v>
      </c>
      <c r="E60" s="120">
        <v>2259000</v>
      </c>
      <c r="F60" s="120">
        <f t="shared" si="1"/>
        <v>0</v>
      </c>
      <c r="G60" s="120">
        <v>2259000</v>
      </c>
      <c r="H60" s="120">
        <v>645783</v>
      </c>
      <c r="I60" s="120"/>
      <c r="J60" s="120"/>
      <c r="K60" s="120">
        <f t="shared" si="2"/>
        <v>0</v>
      </c>
      <c r="L60" s="120">
        <f t="shared" si="3"/>
        <v>645783</v>
      </c>
      <c r="M60" s="120">
        <f>P60+S60-1000000-600000+600000-600000</f>
        <v>13217</v>
      </c>
      <c r="N60" s="120">
        <f>1000000-600000+600000</f>
        <v>1000000</v>
      </c>
      <c r="O60" s="120">
        <f t="shared" si="4"/>
        <v>600000</v>
      </c>
      <c r="P60" s="120">
        <f t="shared" si="5"/>
        <v>1613217</v>
      </c>
      <c r="Q60" s="357"/>
      <c r="R60" s="120"/>
      <c r="S60" s="120">
        <f t="shared" si="6"/>
        <v>0</v>
      </c>
      <c r="T60" s="120">
        <f t="shared" si="7"/>
        <v>1600000</v>
      </c>
      <c r="U60" s="120">
        <f t="shared" si="8"/>
        <v>-600000</v>
      </c>
      <c r="V60" s="120">
        <f t="shared" si="9"/>
        <v>-600000</v>
      </c>
      <c r="W60" s="120"/>
      <c r="X60" s="120"/>
      <c r="Y60" s="120"/>
      <c r="Z60" s="120"/>
      <c r="AA60" s="135"/>
      <c r="AB60" s="3" t="s">
        <v>827</v>
      </c>
      <c r="AC60" s="3">
        <v>747000</v>
      </c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217"/>
      <c r="AW60" s="217"/>
      <c r="AX60" s="217"/>
    </row>
    <row r="61" spans="1:50" s="6" customFormat="1" ht="40.200000000000003" customHeight="1">
      <c r="A61" s="135">
        <f t="shared" si="0"/>
        <v>57</v>
      </c>
      <c r="B61" s="19">
        <v>2130</v>
      </c>
      <c r="C61" s="3" t="s">
        <v>382</v>
      </c>
      <c r="D61" s="120">
        <v>500000</v>
      </c>
      <c r="E61" s="120">
        <v>500000</v>
      </c>
      <c r="F61" s="120">
        <f t="shared" si="1"/>
        <v>0</v>
      </c>
      <c r="G61" s="120">
        <v>500000</v>
      </c>
      <c r="H61" s="120">
        <v>19942</v>
      </c>
      <c r="I61" s="120"/>
      <c r="J61" s="120"/>
      <c r="K61" s="120">
        <f t="shared" si="2"/>
        <v>0</v>
      </c>
      <c r="L61" s="120">
        <f t="shared" si="3"/>
        <v>19942</v>
      </c>
      <c r="M61" s="120">
        <f>P61+S61-480000</f>
        <v>58</v>
      </c>
      <c r="N61" s="120">
        <v>480000</v>
      </c>
      <c r="O61" s="120">
        <f t="shared" si="4"/>
        <v>0</v>
      </c>
      <c r="P61" s="120">
        <f t="shared" si="5"/>
        <v>480058</v>
      </c>
      <c r="Q61" s="357"/>
      <c r="R61" s="120"/>
      <c r="S61" s="120">
        <f t="shared" si="6"/>
        <v>0</v>
      </c>
      <c r="T61" s="120">
        <f t="shared" si="7"/>
        <v>480000</v>
      </c>
      <c r="U61" s="120">
        <f t="shared" si="8"/>
        <v>0</v>
      </c>
      <c r="V61" s="120">
        <f t="shared" si="9"/>
        <v>0</v>
      </c>
      <c r="W61" s="120"/>
      <c r="X61" s="120"/>
      <c r="Y61" s="120"/>
      <c r="Z61" s="120"/>
      <c r="AA61" s="135"/>
      <c r="AB61" s="3" t="s">
        <v>550</v>
      </c>
      <c r="AC61" s="3">
        <v>810000</v>
      </c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217"/>
      <c r="AW61" s="217"/>
      <c r="AX61" s="217"/>
    </row>
    <row r="62" spans="1:50" s="5" customFormat="1" ht="40.200000000000003" customHeight="1">
      <c r="A62" s="135">
        <f t="shared" si="0"/>
        <v>58</v>
      </c>
      <c r="B62" s="19">
        <v>2149</v>
      </c>
      <c r="C62" s="19" t="s">
        <v>695</v>
      </c>
      <c r="D62" s="120">
        <f>2000000+500000</f>
        <v>2500000</v>
      </c>
      <c r="E62" s="120">
        <v>2000000</v>
      </c>
      <c r="F62" s="120">
        <f t="shared" si="1"/>
        <v>500000</v>
      </c>
      <c r="G62" s="120">
        <v>1700000</v>
      </c>
      <c r="H62" s="120">
        <v>1232473</v>
      </c>
      <c r="I62" s="120"/>
      <c r="J62" s="120"/>
      <c r="K62" s="120">
        <f t="shared" si="2"/>
        <v>0</v>
      </c>
      <c r="L62" s="120">
        <f t="shared" si="3"/>
        <v>1232473</v>
      </c>
      <c r="M62" s="120">
        <f>P62+S62-300000-150000</f>
        <v>17527</v>
      </c>
      <c r="N62" s="120">
        <f>300000+800000+150000-200000</f>
        <v>1050000</v>
      </c>
      <c r="O62" s="120">
        <f t="shared" si="4"/>
        <v>200000</v>
      </c>
      <c r="P62" s="120">
        <f t="shared" si="5"/>
        <v>467527</v>
      </c>
      <c r="Q62" s="357"/>
      <c r="R62" s="120"/>
      <c r="S62" s="120">
        <f t="shared" si="6"/>
        <v>0</v>
      </c>
      <c r="T62" s="120">
        <f t="shared" si="7"/>
        <v>450000</v>
      </c>
      <c r="U62" s="120">
        <f t="shared" si="8"/>
        <v>600000</v>
      </c>
      <c r="V62" s="120">
        <f t="shared" si="9"/>
        <v>600000</v>
      </c>
      <c r="W62" s="120"/>
      <c r="X62" s="120"/>
      <c r="Y62" s="120"/>
      <c r="Z62" s="120"/>
      <c r="AA62" s="135"/>
      <c r="AB62" s="3" t="s">
        <v>1508</v>
      </c>
      <c r="AC62" s="3">
        <v>810000</v>
      </c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217"/>
      <c r="AW62" s="217"/>
      <c r="AX62" s="217"/>
    </row>
    <row r="63" spans="1:50" s="5" customFormat="1" ht="40.200000000000003" customHeight="1">
      <c r="A63" s="135">
        <f t="shared" si="0"/>
        <v>59</v>
      </c>
      <c r="B63" s="19">
        <v>2150</v>
      </c>
      <c r="C63" s="19" t="s">
        <v>576</v>
      </c>
      <c r="D63" s="120">
        <v>23500000</v>
      </c>
      <c r="E63" s="120">
        <v>23500000</v>
      </c>
      <c r="F63" s="120">
        <f t="shared" si="1"/>
        <v>0</v>
      </c>
      <c r="G63" s="120">
        <v>14500000</v>
      </c>
      <c r="H63" s="120">
        <v>11935396</v>
      </c>
      <c r="I63" s="120"/>
      <c r="J63" s="120"/>
      <c r="K63" s="120">
        <f t="shared" si="2"/>
        <v>0</v>
      </c>
      <c r="L63" s="120">
        <f t="shared" si="3"/>
        <v>11935396</v>
      </c>
      <c r="M63" s="120">
        <f>P63+S63-2550000</f>
        <v>14604</v>
      </c>
      <c r="N63" s="120">
        <f>2550000-550000</f>
        <v>2000000</v>
      </c>
      <c r="O63" s="120">
        <f t="shared" si="4"/>
        <v>9550000</v>
      </c>
      <c r="P63" s="120">
        <f t="shared" si="5"/>
        <v>2564604</v>
      </c>
      <c r="Q63" s="357"/>
      <c r="R63" s="120"/>
      <c r="S63" s="120">
        <f t="shared" si="6"/>
        <v>0</v>
      </c>
      <c r="T63" s="120">
        <f t="shared" si="7"/>
        <v>2550000</v>
      </c>
      <c r="U63" s="120">
        <f t="shared" si="8"/>
        <v>-550000</v>
      </c>
      <c r="V63" s="120">
        <f t="shared" si="9"/>
        <v>-550000</v>
      </c>
      <c r="W63" s="120"/>
      <c r="X63" s="120"/>
      <c r="Y63" s="120"/>
      <c r="Z63" s="120"/>
      <c r="AA63" s="135"/>
      <c r="AB63" s="19" t="s">
        <v>803</v>
      </c>
      <c r="AC63" s="3">
        <v>746000</v>
      </c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217"/>
      <c r="AW63" s="217"/>
      <c r="AX63" s="217"/>
    </row>
    <row r="64" spans="1:50" s="5" customFormat="1" ht="40.200000000000003" customHeight="1">
      <c r="A64" s="135">
        <f t="shared" si="0"/>
        <v>60</v>
      </c>
      <c r="B64" s="19">
        <v>2151</v>
      </c>
      <c r="C64" s="3" t="s">
        <v>386</v>
      </c>
      <c r="D64" s="120">
        <v>54000000</v>
      </c>
      <c r="E64" s="120">
        <v>54000000</v>
      </c>
      <c r="F64" s="120">
        <f t="shared" si="1"/>
        <v>0</v>
      </c>
      <c r="G64" s="120">
        <v>5000000</v>
      </c>
      <c r="H64" s="120">
        <v>4443787</v>
      </c>
      <c r="I64" s="120"/>
      <c r="J64" s="120"/>
      <c r="K64" s="120">
        <f t="shared" si="2"/>
        <v>0</v>
      </c>
      <c r="L64" s="120">
        <f t="shared" si="3"/>
        <v>4443787</v>
      </c>
      <c r="M64" s="120">
        <f>P64+S64-1550000</f>
        <v>6213</v>
      </c>
      <c r="N64" s="120">
        <f>30000000-12000000-11000000+1550000-2000000</f>
        <v>6550000</v>
      </c>
      <c r="O64" s="120">
        <f t="shared" si="4"/>
        <v>43000000</v>
      </c>
      <c r="P64" s="120">
        <f t="shared" si="5"/>
        <v>556213</v>
      </c>
      <c r="Q64" s="357">
        <v>1000000</v>
      </c>
      <c r="R64" s="120"/>
      <c r="S64" s="120">
        <f t="shared" si="6"/>
        <v>1000000</v>
      </c>
      <c r="T64" s="120">
        <f t="shared" si="7"/>
        <v>1550000</v>
      </c>
      <c r="U64" s="120">
        <f t="shared" si="8"/>
        <v>5000000</v>
      </c>
      <c r="V64" s="120">
        <f t="shared" si="9"/>
        <v>5000000</v>
      </c>
      <c r="W64" s="120"/>
      <c r="X64" s="120"/>
      <c r="Y64" s="120"/>
      <c r="Z64" s="120"/>
      <c r="AA64" s="135"/>
      <c r="AB64" s="19" t="s">
        <v>775</v>
      </c>
      <c r="AC64" s="3">
        <v>742000</v>
      </c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217"/>
      <c r="AW64" s="217"/>
      <c r="AX64" s="217"/>
    </row>
    <row r="65" spans="1:51" s="5" customFormat="1" ht="40.200000000000003" customHeight="1">
      <c r="A65" s="135">
        <f t="shared" si="0"/>
        <v>61</v>
      </c>
      <c r="B65" s="19">
        <v>2152</v>
      </c>
      <c r="C65" s="3" t="s">
        <v>387</v>
      </c>
      <c r="D65" s="120">
        <f>16000000+7500000-7500000</f>
        <v>16000000</v>
      </c>
      <c r="E65" s="120">
        <v>16000000</v>
      </c>
      <c r="F65" s="120">
        <f t="shared" si="1"/>
        <v>0</v>
      </c>
      <c r="G65" s="120">
        <v>1331810</v>
      </c>
      <c r="H65" s="120">
        <v>1313273</v>
      </c>
      <c r="I65" s="120"/>
      <c r="J65" s="120"/>
      <c r="K65" s="120">
        <f t="shared" si="2"/>
        <v>0</v>
      </c>
      <c r="L65" s="120">
        <f t="shared" si="3"/>
        <v>1313273</v>
      </c>
      <c r="M65" s="120">
        <f t="shared" si="10"/>
        <v>18537</v>
      </c>
      <c r="N65" s="120">
        <f>14668190-7168190+4000000-6500000-5000000</f>
        <v>0</v>
      </c>
      <c r="O65" s="120">
        <f t="shared" si="4"/>
        <v>14668190</v>
      </c>
      <c r="P65" s="120">
        <f t="shared" si="5"/>
        <v>18537</v>
      </c>
      <c r="Q65" s="357"/>
      <c r="R65" s="120"/>
      <c r="S65" s="120">
        <f t="shared" si="6"/>
        <v>0</v>
      </c>
      <c r="T65" s="120">
        <f t="shared" si="7"/>
        <v>0</v>
      </c>
      <c r="U65" s="120">
        <f t="shared" si="8"/>
        <v>0</v>
      </c>
      <c r="V65" s="120">
        <f t="shared" si="9"/>
        <v>0</v>
      </c>
      <c r="W65" s="120"/>
      <c r="X65" s="120"/>
      <c r="Y65" s="120"/>
      <c r="Z65" s="120"/>
      <c r="AA65" s="135"/>
      <c r="AB65" s="19" t="s">
        <v>630</v>
      </c>
      <c r="AC65" s="3">
        <v>810000</v>
      </c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217"/>
      <c r="AW65" s="217"/>
      <c r="AX65" s="217"/>
    </row>
    <row r="66" spans="1:51" s="5" customFormat="1" ht="40.200000000000003" customHeight="1">
      <c r="A66" s="135">
        <f t="shared" si="0"/>
        <v>62</v>
      </c>
      <c r="B66" s="19">
        <v>2153</v>
      </c>
      <c r="C66" s="3" t="s">
        <v>409</v>
      </c>
      <c r="D66" s="120">
        <v>225000000</v>
      </c>
      <c r="E66" s="120">
        <v>225000000</v>
      </c>
      <c r="F66" s="120">
        <f t="shared" si="1"/>
        <v>0</v>
      </c>
      <c r="G66" s="120">
        <v>1000000</v>
      </c>
      <c r="H66" s="120">
        <v>1999954</v>
      </c>
      <c r="I66" s="120"/>
      <c r="J66" s="120">
        <v>45</v>
      </c>
      <c r="K66" s="120">
        <f t="shared" si="2"/>
        <v>45</v>
      </c>
      <c r="L66" s="120">
        <f t="shared" si="3"/>
        <v>1999999</v>
      </c>
      <c r="M66" s="120">
        <f t="shared" si="10"/>
        <v>1</v>
      </c>
      <c r="N66" s="120">
        <f>1500000-200000</f>
        <v>1300000</v>
      </c>
      <c r="O66" s="120">
        <f t="shared" si="4"/>
        <v>221700000</v>
      </c>
      <c r="P66" s="120">
        <f t="shared" si="5"/>
        <v>-999999</v>
      </c>
      <c r="Q66" s="357">
        <v>1000000</v>
      </c>
      <c r="R66" s="120"/>
      <c r="S66" s="120">
        <f t="shared" si="6"/>
        <v>1000000</v>
      </c>
      <c r="T66" s="120">
        <f t="shared" si="7"/>
        <v>0</v>
      </c>
      <c r="U66" s="120">
        <f t="shared" si="8"/>
        <v>1300000</v>
      </c>
      <c r="V66" s="120">
        <f t="shared" si="9"/>
        <v>1300000</v>
      </c>
      <c r="W66" s="120"/>
      <c r="X66" s="120"/>
      <c r="Y66" s="120"/>
      <c r="Z66" s="120"/>
      <c r="AA66" s="135"/>
      <c r="AB66" s="19" t="s">
        <v>472</v>
      </c>
      <c r="AC66" s="3">
        <v>829000</v>
      </c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217"/>
      <c r="AW66" s="217"/>
      <c r="AX66" s="217"/>
    </row>
    <row r="67" spans="1:51" customFormat="1" ht="40.200000000000003" customHeight="1">
      <c r="A67" s="135">
        <f t="shared" si="0"/>
        <v>63</v>
      </c>
      <c r="B67" s="19">
        <v>2164</v>
      </c>
      <c r="C67" s="3" t="s">
        <v>397</v>
      </c>
      <c r="D67" s="120">
        <v>300000</v>
      </c>
      <c r="E67" s="120">
        <v>300000</v>
      </c>
      <c r="F67" s="120">
        <f t="shared" si="1"/>
        <v>0</v>
      </c>
      <c r="G67" s="120">
        <v>300000</v>
      </c>
      <c r="H67" s="120">
        <v>41092</v>
      </c>
      <c r="I67" s="120"/>
      <c r="J67" s="120">
        <v>4015</v>
      </c>
      <c r="K67" s="120">
        <f t="shared" si="2"/>
        <v>4015</v>
      </c>
      <c r="L67" s="120">
        <f t="shared" si="3"/>
        <v>45107</v>
      </c>
      <c r="M67" s="120">
        <f>P67+S67-250000</f>
        <v>4893</v>
      </c>
      <c r="N67" s="120">
        <f>250000-200000</f>
        <v>50000</v>
      </c>
      <c r="O67" s="120">
        <f t="shared" si="4"/>
        <v>200000</v>
      </c>
      <c r="P67" s="120">
        <f t="shared" si="5"/>
        <v>254893</v>
      </c>
      <c r="Q67" s="357"/>
      <c r="R67" s="120"/>
      <c r="S67" s="120">
        <f t="shared" si="6"/>
        <v>0</v>
      </c>
      <c r="T67" s="120">
        <f t="shared" si="7"/>
        <v>250000</v>
      </c>
      <c r="U67" s="120">
        <f t="shared" si="8"/>
        <v>-200000</v>
      </c>
      <c r="V67" s="120">
        <f t="shared" si="9"/>
        <v>0</v>
      </c>
      <c r="W67" s="120">
        <v>-200000</v>
      </c>
      <c r="X67" s="120"/>
      <c r="Y67" s="120"/>
      <c r="Z67" s="120"/>
      <c r="AA67" s="135"/>
      <c r="AB67" s="3" t="s">
        <v>398</v>
      </c>
      <c r="AC67" s="3">
        <v>742000</v>
      </c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217"/>
      <c r="AW67" s="217"/>
      <c r="AX67" s="217"/>
    </row>
    <row r="68" spans="1:51" s="5" customFormat="1" ht="40.200000000000003" customHeight="1">
      <c r="A68" s="135">
        <f t="shared" si="0"/>
        <v>64</v>
      </c>
      <c r="B68" s="19">
        <v>2175</v>
      </c>
      <c r="C68" s="3" t="s">
        <v>426</v>
      </c>
      <c r="D68" s="120">
        <v>21000000</v>
      </c>
      <c r="E68" s="120">
        <v>21000000</v>
      </c>
      <c r="F68" s="120">
        <f t="shared" ref="F68:F114" si="11">D68-E68</f>
        <v>0</v>
      </c>
      <c r="G68" s="120">
        <f>12945297+4500000</f>
        <v>17445297</v>
      </c>
      <c r="H68" s="120">
        <v>17642170</v>
      </c>
      <c r="I68" s="120"/>
      <c r="J68" s="120"/>
      <c r="K68" s="120">
        <f t="shared" ref="K68:K110" si="12">SUM(I68:J68)</f>
        <v>0</v>
      </c>
      <c r="L68" s="120">
        <f t="shared" ref="L68:L110" si="13">K68+H68</f>
        <v>17642170</v>
      </c>
      <c r="M68" s="120">
        <f>P68+S68-1300000</f>
        <v>3127</v>
      </c>
      <c r="N68" s="120">
        <f>2054703+1300000</f>
        <v>3354703</v>
      </c>
      <c r="O68" s="120">
        <f t="shared" ref="O68:O114" si="14">D68-L68-M68-N68</f>
        <v>0</v>
      </c>
      <c r="P68" s="120">
        <f t="shared" ref="P68:P112" si="15">G68-L68</f>
        <v>-196873</v>
      </c>
      <c r="Q68" s="357">
        <f>6000000-4500000</f>
        <v>1500000</v>
      </c>
      <c r="R68" s="120"/>
      <c r="S68" s="120">
        <f t="shared" ref="S68:S110" si="16">SUM(Q68:R68)</f>
        <v>1500000</v>
      </c>
      <c r="T68" s="120">
        <f t="shared" ref="T68:T112" si="17">P68-M68+S68</f>
        <v>1300000</v>
      </c>
      <c r="U68" s="120">
        <f t="shared" ref="U68:U114" si="18">N68-T68</f>
        <v>2054703</v>
      </c>
      <c r="V68" s="120">
        <f t="shared" ref="V68:V110" si="19">U68-Z68-X68-AA68-W68-Y68</f>
        <v>1488188</v>
      </c>
      <c r="W68" s="120"/>
      <c r="X68" s="120"/>
      <c r="Y68" s="120"/>
      <c r="Z68" s="120"/>
      <c r="AA68" s="120">
        <v>566515</v>
      </c>
      <c r="AB68" s="3" t="s">
        <v>1387</v>
      </c>
      <c r="AC68" s="3">
        <v>810000</v>
      </c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217"/>
      <c r="AW68" s="217"/>
      <c r="AX68" s="217"/>
    </row>
    <row r="69" spans="1:51" s="452" customFormat="1" ht="40.200000000000003" customHeight="1">
      <c r="A69" s="469">
        <f t="shared" si="0"/>
        <v>65</v>
      </c>
      <c r="B69" s="455">
        <v>2180</v>
      </c>
      <c r="C69" s="448" t="s">
        <v>427</v>
      </c>
      <c r="D69" s="419">
        <f>1000000+1600000</f>
        <v>2600000</v>
      </c>
      <c r="E69" s="419">
        <v>1000000</v>
      </c>
      <c r="F69" s="419">
        <f t="shared" si="11"/>
        <v>1600000</v>
      </c>
      <c r="G69" s="419">
        <v>1000000</v>
      </c>
      <c r="H69" s="419">
        <v>481929</v>
      </c>
      <c r="I69" s="419"/>
      <c r="J69" s="419"/>
      <c r="K69" s="419">
        <f t="shared" si="12"/>
        <v>0</v>
      </c>
      <c r="L69" s="419">
        <f t="shared" si="13"/>
        <v>481929</v>
      </c>
      <c r="M69" s="419">
        <f>P69+S69-515000</f>
        <v>3071</v>
      </c>
      <c r="N69" s="419">
        <f>1600000-300000-500000+515000-800000</f>
        <v>515000</v>
      </c>
      <c r="O69" s="419">
        <f t="shared" si="14"/>
        <v>1600000</v>
      </c>
      <c r="P69" s="419">
        <f t="shared" si="15"/>
        <v>518071</v>
      </c>
      <c r="Q69" s="626"/>
      <c r="R69" s="419"/>
      <c r="S69" s="419">
        <f t="shared" si="16"/>
        <v>0</v>
      </c>
      <c r="T69" s="419">
        <f t="shared" si="17"/>
        <v>515000</v>
      </c>
      <c r="U69" s="419">
        <f t="shared" si="18"/>
        <v>0</v>
      </c>
      <c r="V69" s="419">
        <f t="shared" si="19"/>
        <v>0</v>
      </c>
      <c r="W69" s="419"/>
      <c r="X69" s="419"/>
      <c r="Y69" s="419"/>
      <c r="Z69" s="419"/>
      <c r="AA69" s="469"/>
      <c r="AB69" s="448" t="s">
        <v>473</v>
      </c>
      <c r="AC69" s="448">
        <v>732000</v>
      </c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750"/>
      <c r="AW69" s="750"/>
      <c r="AX69" s="750"/>
    </row>
    <row r="70" spans="1:51" s="5" customFormat="1" ht="40.200000000000003" customHeight="1">
      <c r="A70" s="135">
        <f t="shared" ref="A70:A116" si="20">A69+1</f>
        <v>66</v>
      </c>
      <c r="B70" s="19">
        <v>2182</v>
      </c>
      <c r="C70" s="3" t="s">
        <v>428</v>
      </c>
      <c r="D70" s="120">
        <v>3900000</v>
      </c>
      <c r="E70" s="120">
        <v>3900000</v>
      </c>
      <c r="F70" s="120">
        <f t="shared" si="11"/>
        <v>0</v>
      </c>
      <c r="G70" s="120">
        <v>2000000</v>
      </c>
      <c r="H70" s="120">
        <v>1513466</v>
      </c>
      <c r="I70" s="120"/>
      <c r="J70" s="120"/>
      <c r="K70" s="120">
        <f t="shared" si="12"/>
        <v>0</v>
      </c>
      <c r="L70" s="120">
        <f t="shared" si="13"/>
        <v>1513466</v>
      </c>
      <c r="M70" s="120">
        <f>P70+S70-830000</f>
        <v>6534</v>
      </c>
      <c r="N70" s="120">
        <f>1550000-950000+830000-400000</f>
        <v>1030000</v>
      </c>
      <c r="O70" s="120">
        <f t="shared" si="14"/>
        <v>1350000</v>
      </c>
      <c r="P70" s="120">
        <f t="shared" si="15"/>
        <v>486534</v>
      </c>
      <c r="Q70" s="357">
        <v>350000</v>
      </c>
      <c r="R70" s="120"/>
      <c r="S70" s="120">
        <f t="shared" si="16"/>
        <v>350000</v>
      </c>
      <c r="T70" s="120">
        <f t="shared" si="17"/>
        <v>830000</v>
      </c>
      <c r="U70" s="120">
        <f t="shared" si="18"/>
        <v>200000</v>
      </c>
      <c r="V70" s="120">
        <f t="shared" si="19"/>
        <v>200000</v>
      </c>
      <c r="W70" s="120"/>
      <c r="X70" s="120"/>
      <c r="Y70" s="120"/>
      <c r="Z70" s="120"/>
      <c r="AA70" s="135"/>
      <c r="AB70" s="3" t="s">
        <v>1509</v>
      </c>
      <c r="AC70" s="3">
        <v>810000</v>
      </c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217"/>
      <c r="AW70" s="217"/>
      <c r="AX70" s="217"/>
    </row>
    <row r="71" spans="1:51" s="5" customFormat="1" ht="40.200000000000003" customHeight="1">
      <c r="A71" s="135">
        <f t="shared" si="20"/>
        <v>67</v>
      </c>
      <c r="B71" s="19">
        <v>2185</v>
      </c>
      <c r="C71" s="3" t="s">
        <v>429</v>
      </c>
      <c r="D71" s="120">
        <v>40000000</v>
      </c>
      <c r="E71" s="120">
        <v>40000000</v>
      </c>
      <c r="F71" s="120">
        <f t="shared" si="11"/>
        <v>0</v>
      </c>
      <c r="G71" s="120">
        <v>5387282</v>
      </c>
      <c r="H71" s="120">
        <v>3549893</v>
      </c>
      <c r="I71" s="120"/>
      <c r="J71" s="120"/>
      <c r="K71" s="120">
        <f t="shared" si="12"/>
        <v>0</v>
      </c>
      <c r="L71" s="120">
        <f t="shared" si="13"/>
        <v>3549893</v>
      </c>
      <c r="M71" s="120">
        <f>P71+S71-1500000-330000</f>
        <v>7389</v>
      </c>
      <c r="N71" s="120">
        <f>30214093+1500000-12200000-10000000+330000-4000000</f>
        <v>5844093</v>
      </c>
      <c r="O71" s="120">
        <f t="shared" si="14"/>
        <v>30598625</v>
      </c>
      <c r="P71" s="120">
        <f t="shared" si="15"/>
        <v>1837389</v>
      </c>
      <c r="Q71" s="357">
        <f>4398625-4398625</f>
        <v>0</v>
      </c>
      <c r="R71" s="120"/>
      <c r="S71" s="120">
        <f t="shared" si="16"/>
        <v>0</v>
      </c>
      <c r="T71" s="120">
        <f t="shared" si="17"/>
        <v>1830000</v>
      </c>
      <c r="U71" s="120">
        <f t="shared" si="18"/>
        <v>4014093</v>
      </c>
      <c r="V71" s="120">
        <f t="shared" si="19"/>
        <v>4014093</v>
      </c>
      <c r="W71" s="120"/>
      <c r="X71" s="120"/>
      <c r="Y71" s="120"/>
      <c r="Z71" s="120"/>
      <c r="AA71" s="135"/>
      <c r="AB71" s="3" t="s">
        <v>828</v>
      </c>
      <c r="AC71" s="3">
        <v>810000</v>
      </c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217"/>
      <c r="AW71" s="217"/>
      <c r="AX71" s="217"/>
    </row>
    <row r="72" spans="1:51" s="5" customFormat="1" ht="40.200000000000003" customHeight="1">
      <c r="A72" s="135">
        <f t="shared" si="20"/>
        <v>68</v>
      </c>
      <c r="B72" s="19">
        <v>2191</v>
      </c>
      <c r="C72" s="3" t="s">
        <v>491</v>
      </c>
      <c r="D72" s="120">
        <v>14000000</v>
      </c>
      <c r="E72" s="120">
        <v>14000000</v>
      </c>
      <c r="F72" s="120">
        <f t="shared" si="11"/>
        <v>0</v>
      </c>
      <c r="G72" s="120">
        <v>700000</v>
      </c>
      <c r="H72" s="120">
        <v>482960</v>
      </c>
      <c r="I72" s="120"/>
      <c r="J72" s="120"/>
      <c r="K72" s="120">
        <f t="shared" si="12"/>
        <v>0</v>
      </c>
      <c r="L72" s="120">
        <f t="shared" si="13"/>
        <v>482960</v>
      </c>
      <c r="M72" s="120">
        <f>P72+S72-210000</f>
        <v>7040</v>
      </c>
      <c r="N72" s="120">
        <v>210000</v>
      </c>
      <c r="O72" s="120">
        <f t="shared" si="14"/>
        <v>13300000</v>
      </c>
      <c r="P72" s="120">
        <f t="shared" si="15"/>
        <v>217040</v>
      </c>
      <c r="Q72" s="357"/>
      <c r="R72" s="120"/>
      <c r="S72" s="120">
        <f t="shared" si="16"/>
        <v>0</v>
      </c>
      <c r="T72" s="120">
        <f t="shared" si="17"/>
        <v>210000</v>
      </c>
      <c r="U72" s="120">
        <f t="shared" si="18"/>
        <v>0</v>
      </c>
      <c r="V72" s="120">
        <f t="shared" si="19"/>
        <v>0</v>
      </c>
      <c r="W72" s="120"/>
      <c r="X72" s="120"/>
      <c r="Y72" s="120"/>
      <c r="Z72" s="120"/>
      <c r="AA72" s="135"/>
      <c r="AB72" s="3" t="s">
        <v>631</v>
      </c>
      <c r="AC72" s="3">
        <v>742000</v>
      </c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217"/>
      <c r="AW72" s="217"/>
      <c r="AX72" s="217"/>
    </row>
    <row r="73" spans="1:51" s="5" customFormat="1" ht="40.200000000000003" customHeight="1">
      <c r="A73" s="135">
        <f t="shared" si="20"/>
        <v>69</v>
      </c>
      <c r="B73" s="19">
        <v>2194</v>
      </c>
      <c r="C73" s="3" t="s">
        <v>494</v>
      </c>
      <c r="D73" s="120">
        <v>700000</v>
      </c>
      <c r="E73" s="120">
        <v>700000</v>
      </c>
      <c r="F73" s="120">
        <f t="shared" si="11"/>
        <v>0</v>
      </c>
      <c r="G73" s="120">
        <v>100000</v>
      </c>
      <c r="H73" s="120"/>
      <c r="I73" s="120"/>
      <c r="J73" s="120"/>
      <c r="K73" s="120">
        <f t="shared" si="12"/>
        <v>0</v>
      </c>
      <c r="L73" s="120">
        <f t="shared" si="13"/>
        <v>0</v>
      </c>
      <c r="M73" s="120">
        <f>P73+S73-100000</f>
        <v>0</v>
      </c>
      <c r="N73" s="120">
        <f>300000-300000</f>
        <v>0</v>
      </c>
      <c r="O73" s="120">
        <f t="shared" si="14"/>
        <v>700000</v>
      </c>
      <c r="P73" s="120">
        <f t="shared" si="15"/>
        <v>100000</v>
      </c>
      <c r="Q73" s="357"/>
      <c r="R73" s="120"/>
      <c r="S73" s="120">
        <f t="shared" si="16"/>
        <v>0</v>
      </c>
      <c r="T73" s="120">
        <f t="shared" si="17"/>
        <v>100000</v>
      </c>
      <c r="U73" s="120">
        <f t="shared" si="18"/>
        <v>-100000</v>
      </c>
      <c r="V73" s="120">
        <f t="shared" si="19"/>
        <v>-100000</v>
      </c>
      <c r="W73" s="120"/>
      <c r="X73" s="120"/>
      <c r="Y73" s="120"/>
      <c r="Z73" s="120"/>
      <c r="AA73" s="135"/>
      <c r="AB73" s="3" t="s">
        <v>632</v>
      </c>
      <c r="AC73" s="3">
        <v>742000</v>
      </c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217"/>
      <c r="AW73" s="217"/>
      <c r="AX73" s="217"/>
    </row>
    <row r="74" spans="1:51" s="5" customFormat="1" ht="40.200000000000003" customHeight="1">
      <c r="A74" s="135">
        <f t="shared" si="20"/>
        <v>70</v>
      </c>
      <c r="B74" s="19">
        <v>2195</v>
      </c>
      <c r="C74" s="3" t="s">
        <v>495</v>
      </c>
      <c r="D74" s="4">
        <v>2300000</v>
      </c>
      <c r="E74" s="4">
        <v>2300000</v>
      </c>
      <c r="F74" s="4">
        <f t="shared" si="11"/>
        <v>0</v>
      </c>
      <c r="G74" s="4">
        <v>0</v>
      </c>
      <c r="H74" s="4"/>
      <c r="I74" s="4"/>
      <c r="J74" s="4"/>
      <c r="K74" s="4">
        <f>SUM(I74:J74)</f>
        <v>0</v>
      </c>
      <c r="L74" s="4">
        <f>H74+K74</f>
        <v>0</v>
      </c>
      <c r="M74" s="4">
        <f>P74+S74-100000</f>
        <v>0</v>
      </c>
      <c r="N74" s="4">
        <f>2300000-100000-2050000-50000</f>
        <v>100000</v>
      </c>
      <c r="O74" s="4">
        <f t="shared" si="14"/>
        <v>2200000</v>
      </c>
      <c r="P74" s="4">
        <f t="shared" si="15"/>
        <v>0</v>
      </c>
      <c r="Q74" s="354">
        <v>100000</v>
      </c>
      <c r="R74" s="4"/>
      <c r="S74" s="4">
        <f t="shared" si="16"/>
        <v>100000</v>
      </c>
      <c r="T74" s="4">
        <f t="shared" si="17"/>
        <v>100000</v>
      </c>
      <c r="U74" s="4">
        <f t="shared" si="18"/>
        <v>0</v>
      </c>
      <c r="V74" s="4">
        <f>U74-AA74-W74-Z74-Y74-X74</f>
        <v>0</v>
      </c>
      <c r="W74" s="4"/>
      <c r="X74" s="4"/>
      <c r="Y74" s="4"/>
      <c r="Z74" s="4"/>
      <c r="AA74" s="3"/>
      <c r="AB74" s="3" t="s">
        <v>1510</v>
      </c>
      <c r="AC74" s="3">
        <v>742000</v>
      </c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8"/>
      <c r="AW74" s="18"/>
      <c r="AX74" s="18"/>
      <c r="AY74" s="18"/>
    </row>
    <row r="75" spans="1:51" s="5" customFormat="1" ht="40.200000000000003" customHeight="1">
      <c r="A75" s="135">
        <f t="shared" si="20"/>
        <v>71</v>
      </c>
      <c r="B75" s="19">
        <v>2196</v>
      </c>
      <c r="C75" s="3" t="s">
        <v>496</v>
      </c>
      <c r="D75" s="120">
        <v>21135000</v>
      </c>
      <c r="E75" s="120">
        <v>21135000</v>
      </c>
      <c r="F75" s="120">
        <f t="shared" si="11"/>
        <v>0</v>
      </c>
      <c r="G75" s="120">
        <v>1000000</v>
      </c>
      <c r="H75" s="120">
        <v>982316</v>
      </c>
      <c r="I75" s="120"/>
      <c r="J75" s="120"/>
      <c r="K75" s="120">
        <f t="shared" si="12"/>
        <v>0</v>
      </c>
      <c r="L75" s="120">
        <f t="shared" si="13"/>
        <v>982316</v>
      </c>
      <c r="M75" s="120">
        <f>P75+S75-510000</f>
        <v>7684</v>
      </c>
      <c r="N75" s="120">
        <v>510000</v>
      </c>
      <c r="O75" s="120">
        <f t="shared" si="14"/>
        <v>19635000</v>
      </c>
      <c r="P75" s="120">
        <f t="shared" si="15"/>
        <v>17684</v>
      </c>
      <c r="Q75" s="357">
        <f>1000000-500000</f>
        <v>500000</v>
      </c>
      <c r="R75" s="120"/>
      <c r="S75" s="120">
        <f t="shared" si="16"/>
        <v>500000</v>
      </c>
      <c r="T75" s="120">
        <f t="shared" si="17"/>
        <v>510000</v>
      </c>
      <c r="U75" s="120">
        <f t="shared" si="18"/>
        <v>0</v>
      </c>
      <c r="V75" s="120">
        <f t="shared" si="19"/>
        <v>0</v>
      </c>
      <c r="W75" s="120"/>
      <c r="X75" s="120"/>
      <c r="Y75" s="120"/>
      <c r="Z75" s="120"/>
      <c r="AA75" s="135"/>
      <c r="AB75" s="3" t="s">
        <v>633</v>
      </c>
      <c r="AC75" s="3">
        <v>742000</v>
      </c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217"/>
      <c r="AW75" s="217"/>
      <c r="AX75" s="217"/>
    </row>
    <row r="76" spans="1:51" s="5" customFormat="1" ht="40.200000000000003" customHeight="1">
      <c r="A76" s="135">
        <f t="shared" si="20"/>
        <v>72</v>
      </c>
      <c r="B76" s="19">
        <v>2197</v>
      </c>
      <c r="C76" s="3" t="s">
        <v>497</v>
      </c>
      <c r="D76" s="120">
        <v>15160000</v>
      </c>
      <c r="E76" s="120">
        <v>15160000</v>
      </c>
      <c r="F76" s="120">
        <f t="shared" si="11"/>
        <v>0</v>
      </c>
      <c r="G76" s="120">
        <v>700000</v>
      </c>
      <c r="H76" s="120">
        <v>697954</v>
      </c>
      <c r="I76" s="120"/>
      <c r="J76" s="120"/>
      <c r="K76" s="120">
        <f t="shared" si="12"/>
        <v>0</v>
      </c>
      <c r="L76" s="120">
        <f t="shared" si="13"/>
        <v>697954</v>
      </c>
      <c r="M76" s="120">
        <f t="shared" ref="M76:M94" si="21">P76+S76</f>
        <v>2046</v>
      </c>
      <c r="N76" s="120">
        <f>14460000-14460000</f>
        <v>0</v>
      </c>
      <c r="O76" s="120">
        <f t="shared" si="14"/>
        <v>14460000</v>
      </c>
      <c r="P76" s="120">
        <f t="shared" si="15"/>
        <v>2046</v>
      </c>
      <c r="Q76" s="357"/>
      <c r="R76" s="120"/>
      <c r="S76" s="120">
        <f t="shared" si="16"/>
        <v>0</v>
      </c>
      <c r="T76" s="120">
        <f t="shared" si="17"/>
        <v>0</v>
      </c>
      <c r="U76" s="120">
        <f t="shared" si="18"/>
        <v>0</v>
      </c>
      <c r="V76" s="120">
        <f t="shared" si="19"/>
        <v>0</v>
      </c>
      <c r="W76" s="120"/>
      <c r="X76" s="120"/>
      <c r="Y76" s="120"/>
      <c r="Z76" s="120"/>
      <c r="AA76" s="135"/>
      <c r="AB76" s="3" t="s">
        <v>885</v>
      </c>
      <c r="AC76" s="3">
        <v>742000</v>
      </c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217"/>
      <c r="AW76" s="217"/>
      <c r="AX76" s="217"/>
    </row>
    <row r="77" spans="1:51" s="5" customFormat="1" ht="40.200000000000003" customHeight="1">
      <c r="A77" s="135">
        <f t="shared" si="20"/>
        <v>73</v>
      </c>
      <c r="B77" s="19">
        <v>2198</v>
      </c>
      <c r="C77" s="3" t="s">
        <v>498</v>
      </c>
      <c r="D77" s="120">
        <v>16030000</v>
      </c>
      <c r="E77" s="120">
        <v>16030000</v>
      </c>
      <c r="F77" s="120">
        <f t="shared" si="11"/>
        <v>0</v>
      </c>
      <c r="G77" s="120">
        <v>800000</v>
      </c>
      <c r="H77" s="120">
        <v>740050</v>
      </c>
      <c r="I77" s="120"/>
      <c r="J77" s="120"/>
      <c r="K77" s="120">
        <f t="shared" si="12"/>
        <v>0</v>
      </c>
      <c r="L77" s="120">
        <f t="shared" si="13"/>
        <v>740050</v>
      </c>
      <c r="M77" s="120">
        <f>P77+S77-55000</f>
        <v>4950</v>
      </c>
      <c r="N77" s="120">
        <v>55000</v>
      </c>
      <c r="O77" s="120">
        <f t="shared" si="14"/>
        <v>15230000</v>
      </c>
      <c r="P77" s="120">
        <f t="shared" si="15"/>
        <v>59950</v>
      </c>
      <c r="Q77" s="357"/>
      <c r="R77" s="120"/>
      <c r="S77" s="120">
        <f t="shared" si="16"/>
        <v>0</v>
      </c>
      <c r="T77" s="120">
        <f t="shared" si="17"/>
        <v>55000</v>
      </c>
      <c r="U77" s="120">
        <f t="shared" si="18"/>
        <v>0</v>
      </c>
      <c r="V77" s="120">
        <f t="shared" si="19"/>
        <v>0</v>
      </c>
      <c r="W77" s="120"/>
      <c r="X77" s="120"/>
      <c r="Y77" s="120"/>
      <c r="Z77" s="120"/>
      <c r="AA77" s="135"/>
      <c r="AB77" s="3" t="s">
        <v>672</v>
      </c>
      <c r="AC77" s="3">
        <v>742000</v>
      </c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217"/>
      <c r="AW77" s="217"/>
      <c r="AX77" s="217"/>
    </row>
    <row r="78" spans="1:51" s="5" customFormat="1" ht="40.200000000000003" customHeight="1">
      <c r="A78" s="135">
        <f t="shared" si="20"/>
        <v>74</v>
      </c>
      <c r="B78" s="19">
        <v>2201</v>
      </c>
      <c r="C78" s="3" t="s">
        <v>476</v>
      </c>
      <c r="D78" s="120">
        <f>130000000-10000000</f>
        <v>120000000</v>
      </c>
      <c r="E78" s="120">
        <v>80000000</v>
      </c>
      <c r="F78" s="120">
        <f t="shared" si="11"/>
        <v>40000000</v>
      </c>
      <c r="G78" s="120">
        <f>2500000+2000000</f>
        <v>4500000</v>
      </c>
      <c r="H78" s="120">
        <v>6690820</v>
      </c>
      <c r="I78" s="120"/>
      <c r="J78" s="120"/>
      <c r="K78" s="120">
        <f t="shared" si="12"/>
        <v>0</v>
      </c>
      <c r="L78" s="120">
        <f t="shared" si="13"/>
        <v>6690820</v>
      </c>
      <c r="M78" s="120">
        <f>P78+S78-2880000</f>
        <v>5935</v>
      </c>
      <c r="N78" s="120">
        <f>50000000+10000000-40000000+2880000-4000000</f>
        <v>18880000</v>
      </c>
      <c r="O78" s="120">
        <f t="shared" si="14"/>
        <v>94423245</v>
      </c>
      <c r="P78" s="120">
        <f t="shared" si="15"/>
        <v>-2190820</v>
      </c>
      <c r="Q78" s="357">
        <v>5076755</v>
      </c>
      <c r="R78" s="120"/>
      <c r="S78" s="120">
        <f t="shared" si="16"/>
        <v>5076755</v>
      </c>
      <c r="T78" s="120">
        <f t="shared" si="17"/>
        <v>2880000</v>
      </c>
      <c r="U78" s="120">
        <f t="shared" si="18"/>
        <v>16000000</v>
      </c>
      <c r="V78" s="120">
        <f t="shared" si="19"/>
        <v>16000000</v>
      </c>
      <c r="W78" s="120"/>
      <c r="X78" s="120"/>
      <c r="Y78" s="120"/>
      <c r="Z78" s="120"/>
      <c r="AA78" s="135"/>
      <c r="AB78" s="3" t="s">
        <v>829</v>
      </c>
      <c r="AC78" s="3">
        <v>810000</v>
      </c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217"/>
      <c r="AW78" s="217"/>
      <c r="AX78" s="217"/>
    </row>
    <row r="79" spans="1:51" s="5" customFormat="1" ht="40.200000000000003" customHeight="1">
      <c r="A79" s="135">
        <f t="shared" si="20"/>
        <v>75</v>
      </c>
      <c r="B79" s="19">
        <v>2202</v>
      </c>
      <c r="C79" s="3" t="s">
        <v>477</v>
      </c>
      <c r="D79" s="120">
        <v>49000000</v>
      </c>
      <c r="E79" s="120">
        <v>49000000</v>
      </c>
      <c r="F79" s="120">
        <f t="shared" si="11"/>
        <v>0</v>
      </c>
      <c r="G79" s="120">
        <v>1200000</v>
      </c>
      <c r="H79" s="120">
        <v>1195951</v>
      </c>
      <c r="I79" s="120"/>
      <c r="J79" s="120">
        <v>838</v>
      </c>
      <c r="K79" s="120">
        <f t="shared" si="12"/>
        <v>838</v>
      </c>
      <c r="L79" s="120">
        <f t="shared" si="13"/>
        <v>1196789</v>
      </c>
      <c r="M79" s="120">
        <f t="shared" si="21"/>
        <v>3211</v>
      </c>
      <c r="N79" s="120">
        <f>25000000-11000000-14000000</f>
        <v>0</v>
      </c>
      <c r="O79" s="120">
        <f t="shared" si="14"/>
        <v>47800000</v>
      </c>
      <c r="P79" s="120">
        <f t="shared" si="15"/>
        <v>3211</v>
      </c>
      <c r="Q79" s="357"/>
      <c r="R79" s="120"/>
      <c r="S79" s="120">
        <f t="shared" si="16"/>
        <v>0</v>
      </c>
      <c r="T79" s="120">
        <f t="shared" si="17"/>
        <v>0</v>
      </c>
      <c r="U79" s="120">
        <f t="shared" si="18"/>
        <v>0</v>
      </c>
      <c r="V79" s="120">
        <f t="shared" si="19"/>
        <v>0</v>
      </c>
      <c r="W79" s="120"/>
      <c r="X79" s="120"/>
      <c r="Y79" s="120"/>
      <c r="Z79" s="120"/>
      <c r="AA79" s="135"/>
      <c r="AB79" s="3" t="s">
        <v>634</v>
      </c>
      <c r="AC79" s="3">
        <v>810000</v>
      </c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217"/>
      <c r="AW79" s="217"/>
      <c r="AX79" s="217"/>
    </row>
    <row r="80" spans="1:51" s="5" customFormat="1" ht="40.200000000000003" customHeight="1">
      <c r="A80" s="135">
        <f t="shared" si="20"/>
        <v>76</v>
      </c>
      <c r="B80" s="19">
        <v>2203</v>
      </c>
      <c r="C80" s="3" t="s">
        <v>719</v>
      </c>
      <c r="D80" s="120">
        <v>1700000</v>
      </c>
      <c r="E80" s="120">
        <v>1000000</v>
      </c>
      <c r="F80" s="120">
        <f t="shared" si="11"/>
        <v>700000</v>
      </c>
      <c r="G80" s="120">
        <v>1000000</v>
      </c>
      <c r="H80" s="120">
        <v>743174</v>
      </c>
      <c r="I80" s="120"/>
      <c r="J80" s="120"/>
      <c r="K80" s="120">
        <f t="shared" si="12"/>
        <v>0</v>
      </c>
      <c r="L80" s="120">
        <f t="shared" si="13"/>
        <v>743174</v>
      </c>
      <c r="M80" s="120">
        <f>P80+S80-250000</f>
        <v>6826</v>
      </c>
      <c r="N80" s="120">
        <f>700000+250000-200000</f>
        <v>750000</v>
      </c>
      <c r="O80" s="120">
        <f t="shared" si="14"/>
        <v>200000</v>
      </c>
      <c r="P80" s="120">
        <f t="shared" si="15"/>
        <v>256826</v>
      </c>
      <c r="Q80" s="357"/>
      <c r="R80" s="120"/>
      <c r="S80" s="120">
        <f t="shared" si="16"/>
        <v>0</v>
      </c>
      <c r="T80" s="120">
        <f t="shared" si="17"/>
        <v>250000</v>
      </c>
      <c r="U80" s="120">
        <f t="shared" si="18"/>
        <v>500000</v>
      </c>
      <c r="V80" s="120">
        <f t="shared" si="19"/>
        <v>500000</v>
      </c>
      <c r="W80" s="120"/>
      <c r="X80" s="120"/>
      <c r="Y80" s="120"/>
      <c r="Z80" s="120"/>
      <c r="AA80" s="135"/>
      <c r="AB80" s="3" t="s">
        <v>886</v>
      </c>
      <c r="AC80" s="342">
        <v>829000</v>
      </c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217"/>
      <c r="AW80" s="217"/>
      <c r="AX80" s="217"/>
    </row>
    <row r="81" spans="1:51" s="5" customFormat="1" ht="40.200000000000003" customHeight="1">
      <c r="A81" s="135">
        <f t="shared" si="20"/>
        <v>77</v>
      </c>
      <c r="B81" s="19">
        <v>2205</v>
      </c>
      <c r="C81" s="3" t="s">
        <v>438</v>
      </c>
      <c r="D81" s="120">
        <f>18000000+275000</f>
        <v>18275000</v>
      </c>
      <c r="E81" s="120">
        <v>18000000</v>
      </c>
      <c r="F81" s="120">
        <f t="shared" si="11"/>
        <v>275000</v>
      </c>
      <c r="G81" s="120">
        <f>10000000+2000000</f>
        <v>12000000</v>
      </c>
      <c r="H81" s="120">
        <v>16546009</v>
      </c>
      <c r="I81" s="120"/>
      <c r="J81" s="120">
        <v>22511</v>
      </c>
      <c r="K81" s="120">
        <f t="shared" si="12"/>
        <v>22511</v>
      </c>
      <c r="L81" s="120">
        <f t="shared" si="13"/>
        <v>16568520</v>
      </c>
      <c r="M81" s="120">
        <f>P81+S81-1430000</f>
        <v>1480</v>
      </c>
      <c r="N81" s="120">
        <f>275000+1430000</f>
        <v>1705000</v>
      </c>
      <c r="O81" s="120">
        <f t="shared" si="14"/>
        <v>0</v>
      </c>
      <c r="P81" s="120">
        <f t="shared" si="15"/>
        <v>-4568520</v>
      </c>
      <c r="Q81" s="357">
        <f>8000000-2000000</f>
        <v>6000000</v>
      </c>
      <c r="R81" s="120"/>
      <c r="S81" s="120">
        <f t="shared" si="16"/>
        <v>6000000</v>
      </c>
      <c r="T81" s="120">
        <f t="shared" si="17"/>
        <v>1430000</v>
      </c>
      <c r="U81" s="120">
        <f t="shared" si="18"/>
        <v>275000</v>
      </c>
      <c r="V81" s="120">
        <f t="shared" si="19"/>
        <v>275000</v>
      </c>
      <c r="W81" s="120"/>
      <c r="X81" s="120"/>
      <c r="Y81" s="120"/>
      <c r="Z81" s="120"/>
      <c r="AA81" s="135"/>
      <c r="AB81" s="19" t="s">
        <v>830</v>
      </c>
      <c r="AC81" s="3">
        <v>810000</v>
      </c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217"/>
      <c r="AW81" s="217"/>
      <c r="AX81" s="217"/>
    </row>
    <row r="82" spans="1:51" s="5" customFormat="1" ht="40.200000000000003" customHeight="1">
      <c r="A82" s="135">
        <f t="shared" si="20"/>
        <v>78</v>
      </c>
      <c r="B82" s="19">
        <v>2206</v>
      </c>
      <c r="C82" s="3" t="s">
        <v>478</v>
      </c>
      <c r="D82" s="120">
        <v>92000000</v>
      </c>
      <c r="E82" s="120">
        <v>92000000</v>
      </c>
      <c r="F82" s="120">
        <f t="shared" si="11"/>
        <v>0</v>
      </c>
      <c r="G82" s="120">
        <v>2273187</v>
      </c>
      <c r="H82" s="120">
        <v>2849931</v>
      </c>
      <c r="I82" s="120"/>
      <c r="J82" s="120"/>
      <c r="K82" s="120">
        <f t="shared" si="12"/>
        <v>0</v>
      </c>
      <c r="L82" s="120">
        <f t="shared" si="13"/>
        <v>2849931</v>
      </c>
      <c r="M82" s="120">
        <f t="shared" si="21"/>
        <v>16620</v>
      </c>
      <c r="N82" s="120">
        <f>36000000-9000000-9000000-5000000</f>
        <v>13000000</v>
      </c>
      <c r="O82" s="120">
        <f t="shared" si="14"/>
        <v>76133449</v>
      </c>
      <c r="P82" s="120">
        <f t="shared" si="15"/>
        <v>-576744</v>
      </c>
      <c r="Q82" s="357">
        <v>593364</v>
      </c>
      <c r="R82" s="120"/>
      <c r="S82" s="120">
        <f t="shared" si="16"/>
        <v>593364</v>
      </c>
      <c r="T82" s="120">
        <f t="shared" si="17"/>
        <v>0</v>
      </c>
      <c r="U82" s="120">
        <f t="shared" si="18"/>
        <v>13000000</v>
      </c>
      <c r="V82" s="120">
        <f t="shared" si="19"/>
        <v>13000000</v>
      </c>
      <c r="W82" s="120"/>
      <c r="X82" s="120"/>
      <c r="Y82" s="120"/>
      <c r="Z82" s="120"/>
      <c r="AA82" s="135"/>
      <c r="AB82" s="20" t="s">
        <v>831</v>
      </c>
      <c r="AC82" s="3">
        <v>810000</v>
      </c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217"/>
      <c r="AW82" s="217"/>
      <c r="AX82" s="217"/>
    </row>
    <row r="83" spans="1:51" s="5" customFormat="1" ht="40.200000000000003" customHeight="1">
      <c r="A83" s="135">
        <f t="shared" si="20"/>
        <v>79</v>
      </c>
      <c r="B83" s="19">
        <v>2208</v>
      </c>
      <c r="C83" s="3" t="s">
        <v>479</v>
      </c>
      <c r="D83" s="120">
        <f>12750000-12000000-250000-298391</f>
        <v>201609</v>
      </c>
      <c r="E83" s="120">
        <v>12750000</v>
      </c>
      <c r="F83" s="120">
        <f t="shared" si="11"/>
        <v>-12548391</v>
      </c>
      <c r="G83" s="120">
        <v>500000</v>
      </c>
      <c r="H83" s="120">
        <v>201609</v>
      </c>
      <c r="I83" s="120"/>
      <c r="J83" s="120"/>
      <c r="K83" s="120">
        <f t="shared" si="12"/>
        <v>0</v>
      </c>
      <c r="L83" s="120">
        <f t="shared" si="13"/>
        <v>201609</v>
      </c>
      <c r="M83" s="120">
        <f>P83+S83-250000-298391</f>
        <v>0</v>
      </c>
      <c r="N83" s="120">
        <f>6000000-6000000</f>
        <v>0</v>
      </c>
      <c r="O83" s="120">
        <f t="shared" si="14"/>
        <v>0</v>
      </c>
      <c r="P83" s="120">
        <f t="shared" si="15"/>
        <v>298391</v>
      </c>
      <c r="Q83" s="357">
        <v>250000</v>
      </c>
      <c r="R83" s="120"/>
      <c r="S83" s="120">
        <f t="shared" si="16"/>
        <v>250000</v>
      </c>
      <c r="T83" s="120">
        <f t="shared" si="17"/>
        <v>548391</v>
      </c>
      <c r="U83" s="120">
        <f t="shared" si="18"/>
        <v>-548391</v>
      </c>
      <c r="V83" s="120">
        <f t="shared" si="19"/>
        <v>-548391</v>
      </c>
      <c r="W83" s="120"/>
      <c r="X83" s="120"/>
      <c r="Y83" s="120"/>
      <c r="Z83" s="120"/>
      <c r="AA83" s="135"/>
      <c r="AB83" s="3" t="s">
        <v>1513</v>
      </c>
      <c r="AC83" s="342">
        <v>850000</v>
      </c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217"/>
      <c r="AW83" s="217"/>
      <c r="AX83" s="217"/>
    </row>
    <row r="84" spans="1:51" s="5" customFormat="1" ht="40.200000000000003" customHeight="1">
      <c r="A84" s="135">
        <f t="shared" si="20"/>
        <v>80</v>
      </c>
      <c r="B84" s="19">
        <v>2209</v>
      </c>
      <c r="C84" s="3" t="s">
        <v>480</v>
      </c>
      <c r="D84" s="120">
        <v>46500000</v>
      </c>
      <c r="E84" s="120">
        <v>46500000</v>
      </c>
      <c r="F84" s="120">
        <f t="shared" si="11"/>
        <v>0</v>
      </c>
      <c r="G84" s="120">
        <v>1500000</v>
      </c>
      <c r="H84" s="120">
        <v>1045608</v>
      </c>
      <c r="I84" s="120"/>
      <c r="J84" s="120"/>
      <c r="K84" s="120">
        <f t="shared" si="12"/>
        <v>0</v>
      </c>
      <c r="L84" s="120">
        <f t="shared" si="13"/>
        <v>1045608</v>
      </c>
      <c r="M84" s="120">
        <f>P84+S84-450000</f>
        <v>4392</v>
      </c>
      <c r="N84" s="120">
        <f>25000000-13000000-4000000+450000-2000000-1000000-450000</f>
        <v>5000000</v>
      </c>
      <c r="O84" s="120">
        <f t="shared" si="14"/>
        <v>40450000</v>
      </c>
      <c r="P84" s="120">
        <f t="shared" si="15"/>
        <v>454392</v>
      </c>
      <c r="Q84" s="357"/>
      <c r="R84" s="120"/>
      <c r="S84" s="120">
        <f t="shared" si="16"/>
        <v>0</v>
      </c>
      <c r="T84" s="120">
        <f t="shared" si="17"/>
        <v>450000</v>
      </c>
      <c r="U84" s="120">
        <f t="shared" si="18"/>
        <v>4550000</v>
      </c>
      <c r="V84" s="120">
        <f t="shared" si="19"/>
        <v>4550000</v>
      </c>
      <c r="W84" s="120"/>
      <c r="X84" s="120"/>
      <c r="Y84" s="120"/>
      <c r="Z84" s="120"/>
      <c r="AA84" s="135"/>
      <c r="AB84" s="19" t="s">
        <v>832</v>
      </c>
      <c r="AC84" s="3">
        <v>810000</v>
      </c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217"/>
      <c r="AW84" s="217"/>
      <c r="AX84" s="217"/>
    </row>
    <row r="85" spans="1:51" s="157" customFormat="1" ht="40.200000000000003" customHeight="1">
      <c r="A85" s="135">
        <f t="shared" si="20"/>
        <v>81</v>
      </c>
      <c r="B85" s="212">
        <v>2213</v>
      </c>
      <c r="C85" s="3" t="s">
        <v>449</v>
      </c>
      <c r="D85" s="120">
        <v>7100000</v>
      </c>
      <c r="E85" s="120">
        <v>7100000</v>
      </c>
      <c r="F85" s="120">
        <f t="shared" si="11"/>
        <v>0</v>
      </c>
      <c r="G85" s="120">
        <v>7100000</v>
      </c>
      <c r="H85" s="120">
        <v>5524946</v>
      </c>
      <c r="I85" s="120"/>
      <c r="J85" s="120"/>
      <c r="K85" s="120">
        <f t="shared" si="12"/>
        <v>0</v>
      </c>
      <c r="L85" s="120">
        <f t="shared" si="13"/>
        <v>5524946</v>
      </c>
      <c r="M85" s="120">
        <f>P85+S85-1570000</f>
        <v>5054</v>
      </c>
      <c r="N85" s="120">
        <v>1570000</v>
      </c>
      <c r="O85" s="120">
        <f t="shared" si="14"/>
        <v>0</v>
      </c>
      <c r="P85" s="120">
        <f t="shared" si="15"/>
        <v>1575054</v>
      </c>
      <c r="Q85" s="357"/>
      <c r="R85" s="120"/>
      <c r="S85" s="120">
        <f t="shared" si="16"/>
        <v>0</v>
      </c>
      <c r="T85" s="120">
        <f t="shared" si="17"/>
        <v>1570000</v>
      </c>
      <c r="U85" s="120">
        <f t="shared" si="18"/>
        <v>0</v>
      </c>
      <c r="V85" s="120">
        <f t="shared" si="19"/>
        <v>0</v>
      </c>
      <c r="W85" s="120"/>
      <c r="X85" s="120"/>
      <c r="Y85" s="120"/>
      <c r="Z85" s="120"/>
      <c r="AA85" s="135"/>
      <c r="AB85" s="3" t="s">
        <v>961</v>
      </c>
      <c r="AC85" s="3">
        <v>870000</v>
      </c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217"/>
      <c r="AW85" s="217"/>
      <c r="AX85" s="217"/>
    </row>
    <row r="86" spans="1:51" s="5" customFormat="1" ht="40.200000000000003" customHeight="1">
      <c r="A86" s="135">
        <f t="shared" si="20"/>
        <v>82</v>
      </c>
      <c r="B86" s="19">
        <v>2220</v>
      </c>
      <c r="C86" s="3" t="s">
        <v>459</v>
      </c>
      <c r="D86" s="120">
        <f>2200000+500000</f>
        <v>2700000</v>
      </c>
      <c r="E86" s="120">
        <v>2200000</v>
      </c>
      <c r="F86" s="120">
        <f t="shared" si="11"/>
        <v>500000</v>
      </c>
      <c r="G86" s="120">
        <v>1000000</v>
      </c>
      <c r="H86" s="120">
        <v>948844</v>
      </c>
      <c r="I86" s="120"/>
      <c r="J86" s="120"/>
      <c r="K86" s="120">
        <f t="shared" si="12"/>
        <v>0</v>
      </c>
      <c r="L86" s="120">
        <f t="shared" si="13"/>
        <v>948844</v>
      </c>
      <c r="M86" s="120">
        <f>P86+S86-1200000-50000</f>
        <v>1156</v>
      </c>
      <c r="N86" s="120">
        <f>1200000+500000+50000</f>
        <v>1750000</v>
      </c>
      <c r="O86" s="120">
        <f t="shared" si="14"/>
        <v>0</v>
      </c>
      <c r="P86" s="120">
        <f t="shared" si="15"/>
        <v>51156</v>
      </c>
      <c r="Q86" s="357">
        <v>1200000</v>
      </c>
      <c r="R86" s="120"/>
      <c r="S86" s="120">
        <f t="shared" si="16"/>
        <v>1200000</v>
      </c>
      <c r="T86" s="120">
        <f t="shared" si="17"/>
        <v>1250000</v>
      </c>
      <c r="U86" s="120">
        <f t="shared" si="18"/>
        <v>500000</v>
      </c>
      <c r="V86" s="120">
        <f t="shared" si="19"/>
        <v>500000</v>
      </c>
      <c r="W86" s="120"/>
      <c r="X86" s="120"/>
      <c r="Y86" s="120"/>
      <c r="Z86" s="120"/>
      <c r="AA86" s="135"/>
      <c r="AB86" s="3" t="s">
        <v>658</v>
      </c>
      <c r="AC86" s="3">
        <v>746000</v>
      </c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217"/>
      <c r="AW86" s="217"/>
      <c r="AX86" s="217"/>
    </row>
    <row r="87" spans="1:51" s="5" customFormat="1" ht="40.200000000000003" customHeight="1">
      <c r="A87" s="135">
        <f t="shared" si="20"/>
        <v>83</v>
      </c>
      <c r="B87" s="19">
        <v>2232</v>
      </c>
      <c r="C87" s="3" t="s">
        <v>578</v>
      </c>
      <c r="D87" s="120">
        <v>17200000</v>
      </c>
      <c r="E87" s="120">
        <v>17200000</v>
      </c>
      <c r="F87" s="120">
        <f t="shared" si="11"/>
        <v>0</v>
      </c>
      <c r="G87" s="120">
        <v>800000</v>
      </c>
      <c r="H87" s="120">
        <v>778625</v>
      </c>
      <c r="I87" s="120"/>
      <c r="J87" s="120"/>
      <c r="K87" s="120">
        <f t="shared" si="12"/>
        <v>0</v>
      </c>
      <c r="L87" s="120">
        <f t="shared" si="13"/>
        <v>778625</v>
      </c>
      <c r="M87" s="120">
        <f>P87+S87-20000</f>
        <v>1375</v>
      </c>
      <c r="N87" s="120">
        <f>16400000-8400000+20000-3000000-1000000</f>
        <v>4020000</v>
      </c>
      <c r="O87" s="120">
        <f t="shared" si="14"/>
        <v>12400000</v>
      </c>
      <c r="P87" s="120">
        <f t="shared" si="15"/>
        <v>21375</v>
      </c>
      <c r="Q87" s="357"/>
      <c r="R87" s="120"/>
      <c r="S87" s="120">
        <f t="shared" si="16"/>
        <v>0</v>
      </c>
      <c r="T87" s="120">
        <f t="shared" si="17"/>
        <v>20000</v>
      </c>
      <c r="U87" s="120">
        <f t="shared" si="18"/>
        <v>4000000</v>
      </c>
      <c r="V87" s="120">
        <f t="shared" si="19"/>
        <v>4000000</v>
      </c>
      <c r="W87" s="120"/>
      <c r="X87" s="120"/>
      <c r="Y87" s="120"/>
      <c r="Z87" s="120"/>
      <c r="AA87" s="135"/>
      <c r="AB87" s="3" t="s">
        <v>833</v>
      </c>
      <c r="AC87" s="3">
        <v>745000</v>
      </c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217"/>
      <c r="AW87" s="217"/>
      <c r="AX87" s="217"/>
    </row>
    <row r="88" spans="1:51" s="5" customFormat="1" ht="40.200000000000003" customHeight="1">
      <c r="A88" s="135">
        <f t="shared" si="20"/>
        <v>84</v>
      </c>
      <c r="B88" s="19">
        <v>2233</v>
      </c>
      <c r="C88" s="3" t="s">
        <v>579</v>
      </c>
      <c r="D88" s="120">
        <v>20250000</v>
      </c>
      <c r="E88" s="120">
        <v>20250000</v>
      </c>
      <c r="F88" s="120">
        <f t="shared" si="11"/>
        <v>0</v>
      </c>
      <c r="G88" s="120">
        <v>800000</v>
      </c>
      <c r="H88" s="120">
        <v>789541</v>
      </c>
      <c r="I88" s="120"/>
      <c r="J88" s="120"/>
      <c r="K88" s="120">
        <f t="shared" si="12"/>
        <v>0</v>
      </c>
      <c r="L88" s="120">
        <f t="shared" si="13"/>
        <v>789541</v>
      </c>
      <c r="M88" s="120">
        <f t="shared" si="21"/>
        <v>10459</v>
      </c>
      <c r="N88" s="120">
        <f>19450000-19450000</f>
        <v>0</v>
      </c>
      <c r="O88" s="120">
        <f t="shared" si="14"/>
        <v>19450000</v>
      </c>
      <c r="P88" s="120">
        <f t="shared" si="15"/>
        <v>10459</v>
      </c>
      <c r="Q88" s="357"/>
      <c r="R88" s="120"/>
      <c r="S88" s="120">
        <f t="shared" si="16"/>
        <v>0</v>
      </c>
      <c r="T88" s="120">
        <f t="shared" si="17"/>
        <v>0</v>
      </c>
      <c r="U88" s="120">
        <f t="shared" si="18"/>
        <v>0</v>
      </c>
      <c r="V88" s="120">
        <f t="shared" si="19"/>
        <v>0</v>
      </c>
      <c r="W88" s="120"/>
      <c r="X88" s="120"/>
      <c r="Y88" s="120"/>
      <c r="Z88" s="120"/>
      <c r="AA88" s="135"/>
      <c r="AB88" s="3" t="s">
        <v>834</v>
      </c>
      <c r="AC88" s="3">
        <v>745000</v>
      </c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217"/>
      <c r="AW88" s="217"/>
      <c r="AX88" s="217"/>
    </row>
    <row r="89" spans="1:51" s="5" customFormat="1" ht="40.200000000000003" customHeight="1">
      <c r="A89" s="135">
        <f t="shared" si="20"/>
        <v>85</v>
      </c>
      <c r="B89" s="19">
        <v>20004</v>
      </c>
      <c r="C89" s="3" t="s">
        <v>589</v>
      </c>
      <c r="D89" s="120">
        <v>24750000</v>
      </c>
      <c r="E89" s="120">
        <v>24750000</v>
      </c>
      <c r="F89" s="120">
        <f t="shared" si="11"/>
        <v>0</v>
      </c>
      <c r="G89" s="120">
        <v>250000</v>
      </c>
      <c r="H89" s="120">
        <v>231723</v>
      </c>
      <c r="I89" s="120"/>
      <c r="J89" s="120"/>
      <c r="K89" s="120">
        <f t="shared" si="12"/>
        <v>0</v>
      </c>
      <c r="L89" s="120">
        <f t="shared" si="13"/>
        <v>231723</v>
      </c>
      <c r="M89" s="120">
        <f t="shared" si="21"/>
        <v>18277</v>
      </c>
      <c r="N89" s="120">
        <f>18000000-9000000-2000000</f>
        <v>7000000</v>
      </c>
      <c r="O89" s="120">
        <f t="shared" si="14"/>
        <v>17500000</v>
      </c>
      <c r="P89" s="120">
        <f t="shared" si="15"/>
        <v>18277</v>
      </c>
      <c r="Q89" s="357"/>
      <c r="R89" s="120"/>
      <c r="S89" s="120">
        <f t="shared" si="16"/>
        <v>0</v>
      </c>
      <c r="T89" s="120">
        <f t="shared" si="17"/>
        <v>0</v>
      </c>
      <c r="U89" s="120">
        <f t="shared" si="18"/>
        <v>7000000</v>
      </c>
      <c r="V89" s="120">
        <f t="shared" si="19"/>
        <v>947200</v>
      </c>
      <c r="W89" s="120"/>
      <c r="X89" s="120"/>
      <c r="Y89" s="120"/>
      <c r="Z89" s="120"/>
      <c r="AA89" s="120">
        <v>6052800</v>
      </c>
      <c r="AB89" s="3" t="s">
        <v>1388</v>
      </c>
      <c r="AC89" s="3">
        <v>742000</v>
      </c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217"/>
      <c r="AW89" s="217"/>
      <c r="AX89" s="217"/>
    </row>
    <row r="90" spans="1:51" s="5" customFormat="1" ht="40.200000000000003" customHeight="1">
      <c r="A90" s="135">
        <f t="shared" si="20"/>
        <v>86</v>
      </c>
      <c r="B90" s="19">
        <v>20009</v>
      </c>
      <c r="C90" s="3" t="s">
        <v>657</v>
      </c>
      <c r="D90" s="4">
        <v>2150000</v>
      </c>
      <c r="E90" s="4">
        <v>2150000</v>
      </c>
      <c r="F90" s="4">
        <f t="shared" si="11"/>
        <v>0</v>
      </c>
      <c r="G90" s="4">
        <f>150000+50000</f>
        <v>200000</v>
      </c>
      <c r="H90" s="4">
        <v>162220</v>
      </c>
      <c r="I90" s="4"/>
      <c r="J90" s="4"/>
      <c r="K90" s="4">
        <f>SUM(I90:J90)</f>
        <v>0</v>
      </c>
      <c r="L90" s="4">
        <f>H90+K90</f>
        <v>162220</v>
      </c>
      <c r="M90" s="4">
        <f>P90+S90-35000</f>
        <v>2780</v>
      </c>
      <c r="N90" s="4">
        <f>400000-100000+35000</f>
        <v>335000</v>
      </c>
      <c r="O90" s="4">
        <f t="shared" si="14"/>
        <v>1650000</v>
      </c>
      <c r="P90" s="4">
        <f t="shared" si="15"/>
        <v>37780</v>
      </c>
      <c r="Q90" s="354"/>
      <c r="R90" s="4"/>
      <c r="S90" s="4">
        <f t="shared" si="16"/>
        <v>0</v>
      </c>
      <c r="T90" s="4">
        <f t="shared" si="17"/>
        <v>35000</v>
      </c>
      <c r="U90" s="4">
        <f t="shared" si="18"/>
        <v>300000</v>
      </c>
      <c r="V90" s="4">
        <f>U90-AA90-W90-Z90-Y90-X90</f>
        <v>300000</v>
      </c>
      <c r="W90" s="4"/>
      <c r="X90" s="4"/>
      <c r="Y90" s="4"/>
      <c r="Z90" s="4"/>
      <c r="AA90" s="3"/>
      <c r="AB90" s="3" t="s">
        <v>801</v>
      </c>
      <c r="AC90" s="3">
        <v>732000</v>
      </c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8"/>
      <c r="AW90" s="18"/>
      <c r="AX90" s="18"/>
      <c r="AY90" s="18"/>
    </row>
    <row r="91" spans="1:51" s="5" customFormat="1" ht="40.200000000000003" customHeight="1">
      <c r="A91" s="135">
        <f t="shared" si="20"/>
        <v>87</v>
      </c>
      <c r="B91" s="19">
        <v>20010</v>
      </c>
      <c r="C91" s="3" t="s">
        <v>635</v>
      </c>
      <c r="D91" s="120">
        <v>7000000</v>
      </c>
      <c r="E91" s="120">
        <v>7000000</v>
      </c>
      <c r="F91" s="120">
        <f t="shared" si="11"/>
        <v>0</v>
      </c>
      <c r="G91" s="120">
        <v>500000</v>
      </c>
      <c r="H91" s="120">
        <v>39342</v>
      </c>
      <c r="I91" s="120"/>
      <c r="J91" s="120"/>
      <c r="K91" s="120">
        <f t="shared" si="12"/>
        <v>0</v>
      </c>
      <c r="L91" s="120">
        <f t="shared" si="13"/>
        <v>39342</v>
      </c>
      <c r="M91" s="120">
        <f>P91+S91-460658</f>
        <v>0</v>
      </c>
      <c r="N91" s="120"/>
      <c r="O91" s="120">
        <f t="shared" si="14"/>
        <v>6960658</v>
      </c>
      <c r="P91" s="120">
        <f t="shared" si="15"/>
        <v>460658</v>
      </c>
      <c r="Q91" s="357"/>
      <c r="R91" s="120"/>
      <c r="S91" s="120">
        <f t="shared" si="16"/>
        <v>0</v>
      </c>
      <c r="T91" s="120">
        <f t="shared" si="17"/>
        <v>460658</v>
      </c>
      <c r="U91" s="120">
        <f t="shared" si="18"/>
        <v>-460658</v>
      </c>
      <c r="V91" s="120">
        <f t="shared" si="19"/>
        <v>-460658</v>
      </c>
      <c r="W91" s="120"/>
      <c r="X91" s="120"/>
      <c r="Y91" s="120"/>
      <c r="Z91" s="120"/>
      <c r="AA91" s="135"/>
      <c r="AB91" s="3" t="s">
        <v>1429</v>
      </c>
      <c r="AC91" s="3">
        <v>810000</v>
      </c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217"/>
      <c r="AW91" s="217"/>
      <c r="AX91" s="217"/>
    </row>
    <row r="92" spans="1:51" s="5" customFormat="1" ht="40.200000000000003" customHeight="1">
      <c r="A92" s="135">
        <f t="shared" si="20"/>
        <v>88</v>
      </c>
      <c r="B92" s="19">
        <v>20011</v>
      </c>
      <c r="C92" s="3" t="s">
        <v>1317</v>
      </c>
      <c r="D92" s="120">
        <f>18500000+3000000</f>
        <v>21500000</v>
      </c>
      <c r="E92" s="120">
        <v>18500000</v>
      </c>
      <c r="F92" s="120">
        <f t="shared" si="11"/>
        <v>3000000</v>
      </c>
      <c r="G92" s="120">
        <v>600000</v>
      </c>
      <c r="H92" s="120">
        <v>881319</v>
      </c>
      <c r="I92" s="120"/>
      <c r="J92" s="120"/>
      <c r="K92" s="120">
        <f t="shared" si="12"/>
        <v>0</v>
      </c>
      <c r="L92" s="120">
        <f t="shared" si="13"/>
        <v>881319</v>
      </c>
      <c r="M92" s="120">
        <f>P92+S92-110000</f>
        <v>8681</v>
      </c>
      <c r="N92" s="120">
        <f>20500000-13500000-500000+110000-500000</f>
        <v>6110000</v>
      </c>
      <c r="O92" s="120">
        <f t="shared" si="14"/>
        <v>14500000</v>
      </c>
      <c r="P92" s="120">
        <f t="shared" si="15"/>
        <v>-281319</v>
      </c>
      <c r="Q92" s="357">
        <v>400000</v>
      </c>
      <c r="R92" s="120"/>
      <c r="S92" s="120">
        <f t="shared" si="16"/>
        <v>400000</v>
      </c>
      <c r="T92" s="120">
        <f t="shared" si="17"/>
        <v>110000</v>
      </c>
      <c r="U92" s="120">
        <f t="shared" si="18"/>
        <v>6000000</v>
      </c>
      <c r="V92" s="120">
        <f t="shared" si="19"/>
        <v>500490</v>
      </c>
      <c r="W92" s="120"/>
      <c r="X92" s="120"/>
      <c r="Y92" s="120"/>
      <c r="Z92" s="120"/>
      <c r="AA92" s="120">
        <f>1748816+244834+1500000+1600000+405860</f>
        <v>5499510</v>
      </c>
      <c r="AB92" s="3" t="s">
        <v>1430</v>
      </c>
      <c r="AC92" s="3">
        <v>810000</v>
      </c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217"/>
      <c r="AW92" s="217"/>
      <c r="AX92" s="217"/>
    </row>
    <row r="93" spans="1:51" s="5" customFormat="1" ht="40.200000000000003" customHeight="1">
      <c r="A93" s="135">
        <f t="shared" si="20"/>
        <v>89</v>
      </c>
      <c r="B93" s="19">
        <v>20013</v>
      </c>
      <c r="C93" s="3" t="s">
        <v>736</v>
      </c>
      <c r="D93" s="120">
        <f>1000000+21000000-21000000</f>
        <v>1000000</v>
      </c>
      <c r="E93" s="120">
        <v>1000000</v>
      </c>
      <c r="F93" s="120">
        <f t="shared" si="11"/>
        <v>0</v>
      </c>
      <c r="G93" s="120">
        <v>550000</v>
      </c>
      <c r="H93" s="120">
        <v>637852</v>
      </c>
      <c r="I93" s="120"/>
      <c r="J93" s="120"/>
      <c r="K93" s="120">
        <f t="shared" si="12"/>
        <v>0</v>
      </c>
      <c r="L93" s="120">
        <f t="shared" si="13"/>
        <v>637852</v>
      </c>
      <c r="M93" s="120">
        <f>P93+S93-360000</f>
        <v>2148</v>
      </c>
      <c r="N93" s="120">
        <v>360000</v>
      </c>
      <c r="O93" s="120">
        <f t="shared" si="14"/>
        <v>0</v>
      </c>
      <c r="P93" s="120">
        <f t="shared" si="15"/>
        <v>-87852</v>
      </c>
      <c r="Q93" s="357">
        <v>450000</v>
      </c>
      <c r="R93" s="120"/>
      <c r="S93" s="120">
        <f t="shared" si="16"/>
        <v>450000</v>
      </c>
      <c r="T93" s="120">
        <f t="shared" si="17"/>
        <v>360000</v>
      </c>
      <c r="U93" s="120">
        <f t="shared" si="18"/>
        <v>0</v>
      </c>
      <c r="V93" s="120">
        <f t="shared" si="19"/>
        <v>0</v>
      </c>
      <c r="W93" s="120"/>
      <c r="X93" s="120"/>
      <c r="Y93" s="120"/>
      <c r="Z93" s="120"/>
      <c r="AA93" s="135"/>
      <c r="AB93" s="3" t="s">
        <v>656</v>
      </c>
      <c r="AC93" s="3">
        <v>810000</v>
      </c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217"/>
      <c r="AW93" s="217"/>
      <c r="AX93" s="217"/>
    </row>
    <row r="94" spans="1:51" s="5" customFormat="1" ht="40.200000000000003" customHeight="1">
      <c r="A94" s="135">
        <f t="shared" si="20"/>
        <v>90</v>
      </c>
      <c r="B94" s="19">
        <v>20014</v>
      </c>
      <c r="C94" s="3" t="s">
        <v>959</v>
      </c>
      <c r="D94" s="120">
        <v>1500000</v>
      </c>
      <c r="E94" s="120">
        <v>800000</v>
      </c>
      <c r="F94" s="120">
        <f t="shared" si="11"/>
        <v>700000</v>
      </c>
      <c r="G94" s="120">
        <v>300000</v>
      </c>
      <c r="H94" s="120">
        <v>300000</v>
      </c>
      <c r="I94" s="120"/>
      <c r="J94" s="120"/>
      <c r="K94" s="120">
        <f t="shared" si="12"/>
        <v>0</v>
      </c>
      <c r="L94" s="120">
        <f t="shared" si="13"/>
        <v>300000</v>
      </c>
      <c r="M94" s="120">
        <f t="shared" si="21"/>
        <v>0</v>
      </c>
      <c r="N94" s="120">
        <f>1200000-200000-850000</f>
        <v>150000</v>
      </c>
      <c r="O94" s="120">
        <f t="shared" si="14"/>
        <v>1050000</v>
      </c>
      <c r="P94" s="120">
        <f t="shared" si="15"/>
        <v>0</v>
      </c>
      <c r="Q94" s="357"/>
      <c r="R94" s="120"/>
      <c r="S94" s="120">
        <f t="shared" si="16"/>
        <v>0</v>
      </c>
      <c r="T94" s="120">
        <f t="shared" si="17"/>
        <v>0</v>
      </c>
      <c r="U94" s="120">
        <f t="shared" si="18"/>
        <v>150000</v>
      </c>
      <c r="V94" s="120">
        <f t="shared" si="19"/>
        <v>150000</v>
      </c>
      <c r="W94" s="120"/>
      <c r="X94" s="120"/>
      <c r="Y94" s="120"/>
      <c r="Z94" s="120"/>
      <c r="AA94" s="135"/>
      <c r="AB94" s="3" t="s">
        <v>1431</v>
      </c>
      <c r="AC94" s="3">
        <v>829000</v>
      </c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217"/>
      <c r="AW94" s="217"/>
      <c r="AX94" s="217"/>
    </row>
    <row r="95" spans="1:51" s="5" customFormat="1" ht="40.200000000000003" customHeight="1">
      <c r="A95" s="135">
        <f t="shared" si="20"/>
        <v>91</v>
      </c>
      <c r="B95" s="19">
        <v>20015</v>
      </c>
      <c r="C95" s="3" t="s">
        <v>637</v>
      </c>
      <c r="D95" s="120">
        <f>2500000-360000-923</f>
        <v>2139077</v>
      </c>
      <c r="E95" s="120">
        <v>2500000</v>
      </c>
      <c r="F95" s="120">
        <f t="shared" si="11"/>
        <v>-360923</v>
      </c>
      <c r="G95" s="120">
        <f>2000000+100000</f>
        <v>2100000</v>
      </c>
      <c r="H95" s="120">
        <v>2139077</v>
      </c>
      <c r="I95" s="120"/>
      <c r="J95" s="120"/>
      <c r="K95" s="120">
        <f t="shared" si="12"/>
        <v>0</v>
      </c>
      <c r="L95" s="120">
        <f t="shared" si="13"/>
        <v>2139077</v>
      </c>
      <c r="M95" s="120">
        <f>P95+S95-300000-60000-923</f>
        <v>0</v>
      </c>
      <c r="N95" s="120"/>
      <c r="O95" s="120">
        <f t="shared" si="14"/>
        <v>0</v>
      </c>
      <c r="P95" s="120">
        <f t="shared" si="15"/>
        <v>-39077</v>
      </c>
      <c r="Q95" s="357">
        <f>500000-100000</f>
        <v>400000</v>
      </c>
      <c r="R95" s="120"/>
      <c r="S95" s="120">
        <f t="shared" si="16"/>
        <v>400000</v>
      </c>
      <c r="T95" s="120">
        <f t="shared" si="17"/>
        <v>360923</v>
      </c>
      <c r="U95" s="120">
        <f t="shared" si="18"/>
        <v>-360923</v>
      </c>
      <c r="V95" s="120">
        <f t="shared" si="19"/>
        <v>-360923</v>
      </c>
      <c r="W95" s="120"/>
      <c r="X95" s="120"/>
      <c r="Y95" s="120"/>
      <c r="Z95" s="120"/>
      <c r="AA95" s="135"/>
      <c r="AB95" s="3" t="s">
        <v>1432</v>
      </c>
      <c r="AC95" s="3">
        <v>829000</v>
      </c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217"/>
      <c r="AW95" s="217"/>
      <c r="AX95" s="217"/>
    </row>
    <row r="96" spans="1:51" s="5" customFormat="1" ht="40.200000000000003" customHeight="1">
      <c r="A96" s="135">
        <f t="shared" si="20"/>
        <v>92</v>
      </c>
      <c r="B96" s="19">
        <v>20016</v>
      </c>
      <c r="C96" s="3" t="s">
        <v>664</v>
      </c>
      <c r="D96" s="120">
        <f>2500000</f>
        <v>2500000</v>
      </c>
      <c r="E96" s="120">
        <v>1000000</v>
      </c>
      <c r="F96" s="120">
        <f t="shared" si="11"/>
        <v>1500000</v>
      </c>
      <c r="G96" s="120">
        <f>500000+200000</f>
        <v>700000</v>
      </c>
      <c r="H96" s="120">
        <v>690530</v>
      </c>
      <c r="I96" s="120"/>
      <c r="J96" s="120"/>
      <c r="K96" s="120">
        <f t="shared" si="12"/>
        <v>0</v>
      </c>
      <c r="L96" s="120">
        <f t="shared" si="13"/>
        <v>690530</v>
      </c>
      <c r="M96" s="120">
        <f>P96+S96-305000</f>
        <v>4470</v>
      </c>
      <c r="N96" s="120">
        <f>1500000-500000-200000+305000-100000</f>
        <v>1005000</v>
      </c>
      <c r="O96" s="120">
        <f t="shared" si="14"/>
        <v>800000</v>
      </c>
      <c r="P96" s="120">
        <f t="shared" si="15"/>
        <v>9470</v>
      </c>
      <c r="Q96" s="357">
        <f>500000-200000</f>
        <v>300000</v>
      </c>
      <c r="R96" s="120"/>
      <c r="S96" s="120">
        <f t="shared" si="16"/>
        <v>300000</v>
      </c>
      <c r="T96" s="120">
        <f t="shared" si="17"/>
        <v>305000</v>
      </c>
      <c r="U96" s="120">
        <f t="shared" si="18"/>
        <v>700000</v>
      </c>
      <c r="V96" s="120">
        <f t="shared" si="19"/>
        <v>700000</v>
      </c>
      <c r="W96" s="120"/>
      <c r="X96" s="120"/>
      <c r="Y96" s="120"/>
      <c r="Z96" s="120"/>
      <c r="AA96" s="135"/>
      <c r="AB96" s="3" t="s">
        <v>661</v>
      </c>
      <c r="AC96" s="3">
        <v>826000</v>
      </c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217"/>
      <c r="AW96" s="217"/>
      <c r="AX96" s="217"/>
    </row>
    <row r="97" spans="1:59" s="5" customFormat="1" ht="40.200000000000003" customHeight="1">
      <c r="A97" s="135">
        <f t="shared" si="20"/>
        <v>93</v>
      </c>
      <c r="B97" s="19">
        <v>20017</v>
      </c>
      <c r="C97" s="3" t="s">
        <v>1441</v>
      </c>
      <c r="D97" s="120">
        <v>10000000</v>
      </c>
      <c r="E97" s="120">
        <v>10000000</v>
      </c>
      <c r="F97" s="120">
        <f t="shared" si="11"/>
        <v>0</v>
      </c>
      <c r="G97" s="120">
        <v>350000</v>
      </c>
      <c r="H97" s="120">
        <v>303035</v>
      </c>
      <c r="I97" s="120"/>
      <c r="J97" s="120"/>
      <c r="K97" s="120">
        <f t="shared" si="12"/>
        <v>0</v>
      </c>
      <c r="L97" s="120">
        <f t="shared" si="13"/>
        <v>303035</v>
      </c>
      <c r="M97" s="120">
        <f>P97+S97-1500000-545000</f>
        <v>1965</v>
      </c>
      <c r="N97" s="120">
        <f>7650000-3650000-1000000+545000-1000000</f>
        <v>2545000</v>
      </c>
      <c r="O97" s="120">
        <f t="shared" si="14"/>
        <v>7150000</v>
      </c>
      <c r="P97" s="120">
        <f t="shared" si="15"/>
        <v>46965</v>
      </c>
      <c r="Q97" s="357">
        <v>2000000</v>
      </c>
      <c r="R97" s="120"/>
      <c r="S97" s="120">
        <f t="shared" si="16"/>
        <v>2000000</v>
      </c>
      <c r="T97" s="120">
        <f t="shared" si="17"/>
        <v>2045000</v>
      </c>
      <c r="U97" s="120">
        <f t="shared" si="18"/>
        <v>500000</v>
      </c>
      <c r="V97" s="120">
        <f t="shared" si="19"/>
        <v>500000</v>
      </c>
      <c r="W97" s="120"/>
      <c r="X97" s="120"/>
      <c r="Y97" s="120"/>
      <c r="Z97" s="120"/>
      <c r="AA97" s="135"/>
      <c r="AB97" s="3" t="s">
        <v>1442</v>
      </c>
      <c r="AC97" s="3">
        <v>850000</v>
      </c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217"/>
      <c r="AW97" s="217"/>
      <c r="AX97" s="217"/>
    </row>
    <row r="98" spans="1:59" s="5" customFormat="1" ht="40.200000000000003" customHeight="1">
      <c r="A98" s="135">
        <f t="shared" si="20"/>
        <v>94</v>
      </c>
      <c r="B98" s="19">
        <v>20018</v>
      </c>
      <c r="C98" s="3" t="s">
        <v>662</v>
      </c>
      <c r="D98" s="120">
        <v>45000000</v>
      </c>
      <c r="E98" s="120">
        <v>1000000</v>
      </c>
      <c r="F98" s="120">
        <f t="shared" si="11"/>
        <v>44000000</v>
      </c>
      <c r="G98" s="120">
        <v>1000000</v>
      </c>
      <c r="H98" s="120">
        <v>956644</v>
      </c>
      <c r="I98" s="120"/>
      <c r="J98" s="120"/>
      <c r="K98" s="120">
        <f t="shared" si="12"/>
        <v>0</v>
      </c>
      <c r="L98" s="120">
        <f t="shared" si="13"/>
        <v>956644</v>
      </c>
      <c r="M98" s="120">
        <f>P98+S98-40000</f>
        <v>3356</v>
      </c>
      <c r="N98" s="120">
        <f>25000000-8000000-5000000+40000-500000</f>
        <v>11540000</v>
      </c>
      <c r="O98" s="120">
        <f t="shared" si="14"/>
        <v>32500000</v>
      </c>
      <c r="P98" s="120">
        <f t="shared" si="15"/>
        <v>43356</v>
      </c>
      <c r="Q98" s="357"/>
      <c r="R98" s="120"/>
      <c r="S98" s="120">
        <f t="shared" si="16"/>
        <v>0</v>
      </c>
      <c r="T98" s="120">
        <f t="shared" si="17"/>
        <v>40000</v>
      </c>
      <c r="U98" s="120">
        <f t="shared" si="18"/>
        <v>11500000</v>
      </c>
      <c r="V98" s="120">
        <f t="shared" si="19"/>
        <v>0</v>
      </c>
      <c r="W98" s="120"/>
      <c r="X98" s="120"/>
      <c r="Y98" s="120"/>
      <c r="Z98" s="120"/>
      <c r="AA98" s="120">
        <f>12000000+1500000-12000000+10000000</f>
        <v>11500000</v>
      </c>
      <c r="AB98" s="3" t="s">
        <v>1389</v>
      </c>
      <c r="AC98" s="3">
        <v>826000</v>
      </c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217"/>
      <c r="AW98" s="217"/>
      <c r="AX98" s="217"/>
    </row>
    <row r="99" spans="1:59" s="157" customFormat="1" ht="40.200000000000003" customHeight="1">
      <c r="A99" s="135">
        <f t="shared" si="20"/>
        <v>95</v>
      </c>
      <c r="B99" s="19">
        <v>20024</v>
      </c>
      <c r="C99" s="3" t="s">
        <v>704</v>
      </c>
      <c r="D99" s="120">
        <f>880000-62208</f>
        <v>817792</v>
      </c>
      <c r="E99" s="120">
        <v>880000</v>
      </c>
      <c r="F99" s="120">
        <f t="shared" si="11"/>
        <v>-62208</v>
      </c>
      <c r="G99" s="120">
        <v>880000</v>
      </c>
      <c r="H99" s="120">
        <v>817792</v>
      </c>
      <c r="I99" s="120"/>
      <c r="J99" s="120"/>
      <c r="K99" s="120">
        <f t="shared" si="12"/>
        <v>0</v>
      </c>
      <c r="L99" s="120">
        <f t="shared" si="13"/>
        <v>817792</v>
      </c>
      <c r="M99" s="120">
        <f>P99+S99-62208</f>
        <v>0</v>
      </c>
      <c r="N99" s="120"/>
      <c r="O99" s="120">
        <f t="shared" si="14"/>
        <v>0</v>
      </c>
      <c r="P99" s="120">
        <f t="shared" si="15"/>
        <v>62208</v>
      </c>
      <c r="Q99" s="357"/>
      <c r="R99" s="120"/>
      <c r="S99" s="120">
        <f t="shared" si="16"/>
        <v>0</v>
      </c>
      <c r="T99" s="120">
        <f t="shared" si="17"/>
        <v>62208</v>
      </c>
      <c r="U99" s="120">
        <f t="shared" si="18"/>
        <v>-62208</v>
      </c>
      <c r="V99" s="120">
        <f t="shared" si="19"/>
        <v>0</v>
      </c>
      <c r="W99" s="120">
        <v>-62208</v>
      </c>
      <c r="X99" s="120"/>
      <c r="Y99" s="120"/>
      <c r="Z99" s="120"/>
      <c r="AA99" s="135"/>
      <c r="AB99" s="3" t="s">
        <v>1461</v>
      </c>
      <c r="AC99" s="3">
        <v>747000</v>
      </c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217"/>
      <c r="AW99" s="217"/>
      <c r="AX99" s="217"/>
    </row>
    <row r="100" spans="1:59" customFormat="1" ht="40.200000000000003" customHeight="1">
      <c r="A100" s="135">
        <f t="shared" si="20"/>
        <v>96</v>
      </c>
      <c r="B100" s="19">
        <v>20028</v>
      </c>
      <c r="C100" s="3" t="s">
        <v>660</v>
      </c>
      <c r="D100" s="120">
        <f>620000-21384</f>
        <v>598616</v>
      </c>
      <c r="E100" s="120">
        <v>620000</v>
      </c>
      <c r="F100" s="120">
        <f t="shared" si="11"/>
        <v>-21384</v>
      </c>
      <c r="G100" s="120">
        <v>620000</v>
      </c>
      <c r="H100" s="120">
        <v>598616</v>
      </c>
      <c r="I100" s="120"/>
      <c r="J100" s="120"/>
      <c r="K100" s="120">
        <f t="shared" si="12"/>
        <v>0</v>
      </c>
      <c r="L100" s="120">
        <f t="shared" si="13"/>
        <v>598616</v>
      </c>
      <c r="M100" s="120">
        <f>P100+S100-21384</f>
        <v>0</v>
      </c>
      <c r="N100" s="120"/>
      <c r="O100" s="120">
        <f t="shared" si="14"/>
        <v>0</v>
      </c>
      <c r="P100" s="120">
        <f t="shared" si="15"/>
        <v>21384</v>
      </c>
      <c r="Q100" s="357"/>
      <c r="R100" s="120"/>
      <c r="S100" s="120">
        <f t="shared" si="16"/>
        <v>0</v>
      </c>
      <c r="T100" s="120">
        <f t="shared" si="17"/>
        <v>21384</v>
      </c>
      <c r="U100" s="120">
        <f t="shared" si="18"/>
        <v>-21384</v>
      </c>
      <c r="V100" s="120">
        <f t="shared" si="19"/>
        <v>0</v>
      </c>
      <c r="W100" s="120">
        <v>-21384</v>
      </c>
      <c r="X100" s="120"/>
      <c r="Y100" s="120"/>
      <c r="Z100" s="120"/>
      <c r="AA100" s="135"/>
      <c r="AB100" s="3" t="s">
        <v>1462</v>
      </c>
      <c r="AC100" s="3">
        <v>810000</v>
      </c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217"/>
      <c r="AW100" s="217"/>
      <c r="AX100" s="217"/>
    </row>
    <row r="101" spans="1:59" s="5" customFormat="1" ht="55.2">
      <c r="A101" s="135">
        <f t="shared" si="20"/>
        <v>97</v>
      </c>
      <c r="B101" s="19">
        <v>20063</v>
      </c>
      <c r="C101" s="3" t="s">
        <v>913</v>
      </c>
      <c r="D101" s="120">
        <f>46500000-45500000+750000</f>
        <v>1750000</v>
      </c>
      <c r="E101" s="120">
        <v>1000000</v>
      </c>
      <c r="F101" s="120">
        <f t="shared" si="11"/>
        <v>750000</v>
      </c>
      <c r="G101" s="120">
        <v>150000</v>
      </c>
      <c r="H101" s="120">
        <v>379788</v>
      </c>
      <c r="I101" s="120"/>
      <c r="J101" s="120"/>
      <c r="K101" s="120">
        <f t="shared" si="12"/>
        <v>0</v>
      </c>
      <c r="L101" s="120">
        <f t="shared" si="13"/>
        <v>379788</v>
      </c>
      <c r="M101" s="120">
        <f>P101+S101-250000+130000</f>
        <v>212</v>
      </c>
      <c r="N101" s="120">
        <f>1500000-130000-500000</f>
        <v>870000</v>
      </c>
      <c r="O101" s="120">
        <f t="shared" si="14"/>
        <v>500000</v>
      </c>
      <c r="P101" s="120">
        <f t="shared" si="15"/>
        <v>-229788</v>
      </c>
      <c r="Q101" s="357">
        <v>350000</v>
      </c>
      <c r="R101" s="120"/>
      <c r="S101" s="120">
        <f t="shared" si="16"/>
        <v>350000</v>
      </c>
      <c r="T101" s="120">
        <f t="shared" si="17"/>
        <v>120000</v>
      </c>
      <c r="U101" s="120">
        <f t="shared" si="18"/>
        <v>750000</v>
      </c>
      <c r="V101" s="120">
        <f t="shared" si="19"/>
        <v>750000</v>
      </c>
      <c r="W101" s="120"/>
      <c r="X101" s="120"/>
      <c r="Y101" s="120"/>
      <c r="Z101" s="120"/>
      <c r="AA101" s="135"/>
      <c r="AB101" s="3" t="s">
        <v>837</v>
      </c>
      <c r="AC101" s="3">
        <v>850000</v>
      </c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217"/>
      <c r="AW101" s="217"/>
      <c r="AX101" s="217"/>
    </row>
    <row r="102" spans="1:59" s="5" customFormat="1" ht="40.200000000000003" customHeight="1">
      <c r="A102" s="135">
        <f t="shared" si="20"/>
        <v>98</v>
      </c>
      <c r="B102" s="3">
        <v>20064</v>
      </c>
      <c r="C102" s="3" t="s">
        <v>783</v>
      </c>
      <c r="D102" s="120">
        <v>2000000</v>
      </c>
      <c r="E102" s="120">
        <v>2000000</v>
      </c>
      <c r="F102" s="120">
        <f t="shared" si="11"/>
        <v>0</v>
      </c>
      <c r="G102" s="120">
        <v>100000</v>
      </c>
      <c r="H102" s="120">
        <v>125286</v>
      </c>
      <c r="I102" s="120"/>
      <c r="J102" s="120"/>
      <c r="K102" s="120">
        <f t="shared" si="12"/>
        <v>0</v>
      </c>
      <c r="L102" s="120">
        <f t="shared" si="13"/>
        <v>125286</v>
      </c>
      <c r="M102" s="120">
        <f>P102+S102-300000-70000</f>
        <v>4714</v>
      </c>
      <c r="N102" s="120">
        <f>300000+70000+100000</f>
        <v>470000</v>
      </c>
      <c r="O102" s="120">
        <f t="shared" si="14"/>
        <v>1400000</v>
      </c>
      <c r="P102" s="120">
        <f t="shared" si="15"/>
        <v>-25286</v>
      </c>
      <c r="Q102" s="357">
        <v>400000</v>
      </c>
      <c r="R102" s="120"/>
      <c r="S102" s="120">
        <f t="shared" si="16"/>
        <v>400000</v>
      </c>
      <c r="T102" s="120">
        <f t="shared" si="17"/>
        <v>370000</v>
      </c>
      <c r="U102" s="120">
        <f t="shared" si="18"/>
        <v>100000</v>
      </c>
      <c r="V102" s="120">
        <f t="shared" si="19"/>
        <v>100000</v>
      </c>
      <c r="W102" s="120"/>
      <c r="X102" s="120"/>
      <c r="Y102" s="120"/>
      <c r="Z102" s="120"/>
      <c r="AA102" s="135"/>
      <c r="AB102" s="3" t="s">
        <v>887</v>
      </c>
      <c r="AC102" s="3">
        <v>732000</v>
      </c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217"/>
      <c r="AW102" s="217"/>
      <c r="AX102" s="217"/>
    </row>
    <row r="103" spans="1:59" s="5" customFormat="1" ht="40.200000000000003" customHeight="1">
      <c r="A103" s="135">
        <f t="shared" si="20"/>
        <v>99</v>
      </c>
      <c r="B103" s="3">
        <v>20081</v>
      </c>
      <c r="C103" s="3" t="s">
        <v>946</v>
      </c>
      <c r="D103" s="120">
        <f>39000000+11000000+7500000</f>
        <v>57500000</v>
      </c>
      <c r="E103" s="120">
        <v>39000000</v>
      </c>
      <c r="F103" s="120">
        <f t="shared" si="11"/>
        <v>18500000</v>
      </c>
      <c r="G103" s="120">
        <f>10500000+28500000</f>
        <v>39000000</v>
      </c>
      <c r="H103" s="120">
        <v>33957035</v>
      </c>
      <c r="I103" s="120"/>
      <c r="J103" s="120"/>
      <c r="K103" s="120">
        <f t="shared" si="12"/>
        <v>0</v>
      </c>
      <c r="L103" s="120">
        <f t="shared" si="13"/>
        <v>33957035</v>
      </c>
      <c r="M103" s="120">
        <f>P103+S103-5000000-40000</f>
        <v>2965</v>
      </c>
      <c r="N103" s="120">
        <f>11000000+7500000+5000000-2000000+40000</f>
        <v>21540000</v>
      </c>
      <c r="O103" s="120">
        <f t="shared" si="14"/>
        <v>2000000</v>
      </c>
      <c r="P103" s="120">
        <f t="shared" si="15"/>
        <v>5042965</v>
      </c>
      <c r="Q103" s="357"/>
      <c r="R103" s="120">
        <f>28500000-28500000</f>
        <v>0</v>
      </c>
      <c r="S103" s="120">
        <f t="shared" si="16"/>
        <v>0</v>
      </c>
      <c r="T103" s="120">
        <f t="shared" si="17"/>
        <v>5040000</v>
      </c>
      <c r="U103" s="120">
        <f t="shared" si="18"/>
        <v>16500000</v>
      </c>
      <c r="V103" s="120">
        <f t="shared" si="19"/>
        <v>16500000</v>
      </c>
      <c r="W103" s="120"/>
      <c r="X103" s="120"/>
      <c r="Y103" s="120"/>
      <c r="Z103" s="120"/>
      <c r="AA103" s="135"/>
      <c r="AB103" s="3" t="s">
        <v>1646</v>
      </c>
      <c r="AC103" s="3">
        <v>829000</v>
      </c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217"/>
      <c r="AW103" s="217"/>
      <c r="AX103" s="217"/>
    </row>
    <row r="104" spans="1:59" s="5" customFormat="1" ht="40.200000000000003" customHeight="1">
      <c r="A104" s="135">
        <f t="shared" si="20"/>
        <v>100</v>
      </c>
      <c r="B104" s="3">
        <v>20082</v>
      </c>
      <c r="C104" s="3" t="s">
        <v>927</v>
      </c>
      <c r="D104" s="120">
        <v>500000</v>
      </c>
      <c r="E104" s="120">
        <v>500000</v>
      </c>
      <c r="F104" s="120">
        <f t="shared" si="11"/>
        <v>0</v>
      </c>
      <c r="G104" s="120">
        <v>500000</v>
      </c>
      <c r="H104" s="120">
        <v>7131</v>
      </c>
      <c r="I104" s="120"/>
      <c r="J104" s="120"/>
      <c r="K104" s="120">
        <f t="shared" si="12"/>
        <v>0</v>
      </c>
      <c r="L104" s="120">
        <f t="shared" si="13"/>
        <v>7131</v>
      </c>
      <c r="M104" s="120">
        <f>P104+S104-490000</f>
        <v>2869</v>
      </c>
      <c r="N104" s="120">
        <v>490000</v>
      </c>
      <c r="O104" s="120">
        <f t="shared" si="14"/>
        <v>0</v>
      </c>
      <c r="P104" s="120">
        <f t="shared" si="15"/>
        <v>492869</v>
      </c>
      <c r="Q104" s="357"/>
      <c r="R104" s="120"/>
      <c r="S104" s="120">
        <f t="shared" si="16"/>
        <v>0</v>
      </c>
      <c r="T104" s="120">
        <f t="shared" si="17"/>
        <v>490000</v>
      </c>
      <c r="U104" s="120">
        <f t="shared" si="18"/>
        <v>0</v>
      </c>
      <c r="V104" s="120">
        <f t="shared" si="19"/>
        <v>0</v>
      </c>
      <c r="W104" s="120"/>
      <c r="X104" s="120"/>
      <c r="Y104" s="120"/>
      <c r="Z104" s="120"/>
      <c r="AA104" s="135"/>
      <c r="AB104" s="3" t="s">
        <v>949</v>
      </c>
      <c r="AC104" s="3">
        <v>810000</v>
      </c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217"/>
      <c r="AW104" s="217"/>
      <c r="AX104" s="217"/>
    </row>
    <row r="105" spans="1:59" s="452" customFormat="1" ht="40.200000000000003" customHeight="1">
      <c r="A105" s="469">
        <f t="shared" si="20"/>
        <v>101</v>
      </c>
      <c r="B105" s="448">
        <v>20083</v>
      </c>
      <c r="C105" s="448" t="s">
        <v>928</v>
      </c>
      <c r="D105" s="419">
        <v>500000</v>
      </c>
      <c r="E105" s="419">
        <v>500000</v>
      </c>
      <c r="F105" s="419">
        <f>D105-E105</f>
        <v>0</v>
      </c>
      <c r="G105" s="419">
        <v>500000</v>
      </c>
      <c r="H105" s="419">
        <v>0</v>
      </c>
      <c r="I105" s="419"/>
      <c r="J105" s="419"/>
      <c r="K105" s="419">
        <f>SUM(I105:J105)</f>
        <v>0</v>
      </c>
      <c r="L105" s="419">
        <f>K105+H105</f>
        <v>0</v>
      </c>
      <c r="M105" s="419">
        <f>P105+S105-500000</f>
        <v>0</v>
      </c>
      <c r="N105" s="419">
        <v>250000</v>
      </c>
      <c r="O105" s="419">
        <f>D105-L105-M105-N105</f>
        <v>250000</v>
      </c>
      <c r="P105" s="419">
        <f>G105-L105</f>
        <v>500000</v>
      </c>
      <c r="Q105" s="626"/>
      <c r="R105" s="419"/>
      <c r="S105" s="419">
        <f>SUM(Q105:R105)</f>
        <v>0</v>
      </c>
      <c r="T105" s="419">
        <f>P105-M105+S105</f>
        <v>500000</v>
      </c>
      <c r="U105" s="419">
        <f>N105-T105</f>
        <v>-250000</v>
      </c>
      <c r="V105" s="419">
        <f>U105-Z105-X105-AA105-W105-Y105</f>
        <v>-250000</v>
      </c>
      <c r="W105" s="419"/>
      <c r="X105" s="419"/>
      <c r="Y105" s="419"/>
      <c r="Z105" s="419"/>
      <c r="AA105" s="469"/>
      <c r="AB105" s="448" t="s">
        <v>948</v>
      </c>
      <c r="AC105" s="448">
        <v>810000</v>
      </c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750"/>
      <c r="AW105" s="750"/>
      <c r="AX105" s="750"/>
    </row>
    <row r="106" spans="1:59" s="452" customFormat="1" ht="40.200000000000003" customHeight="1">
      <c r="A106" s="469">
        <f t="shared" si="20"/>
        <v>102</v>
      </c>
      <c r="B106" s="448">
        <v>20084</v>
      </c>
      <c r="C106" s="448" t="s">
        <v>929</v>
      </c>
      <c r="D106" s="419">
        <f>129500000-20500000</f>
        <v>109000000</v>
      </c>
      <c r="E106" s="419">
        <v>500000</v>
      </c>
      <c r="F106" s="419">
        <f>D106-E106</f>
        <v>108500000</v>
      </c>
      <c r="G106" s="419">
        <v>500000</v>
      </c>
      <c r="H106" s="419">
        <v>194491</v>
      </c>
      <c r="I106" s="419"/>
      <c r="J106" s="419">
        <v>300314</v>
      </c>
      <c r="K106" s="419">
        <f>SUM(I106:J106)</f>
        <v>300314</v>
      </c>
      <c r="L106" s="419">
        <f>K106+H106</f>
        <v>494805</v>
      </c>
      <c r="M106" s="419">
        <f>P106+S106</f>
        <v>5195</v>
      </c>
      <c r="N106" s="419">
        <f>33000000-8000000-10000000</f>
        <v>15000000</v>
      </c>
      <c r="O106" s="419">
        <f>D106-L106-M106-N106</f>
        <v>93500000</v>
      </c>
      <c r="P106" s="419">
        <f>G106-L106</f>
        <v>5195</v>
      </c>
      <c r="Q106" s="626"/>
      <c r="R106" s="419"/>
      <c r="S106" s="419">
        <f>SUM(Q106:R106)</f>
        <v>0</v>
      </c>
      <c r="T106" s="419">
        <f>P106-M106+S106</f>
        <v>0</v>
      </c>
      <c r="U106" s="419">
        <f>N106-T106</f>
        <v>15000000</v>
      </c>
      <c r="V106" s="419">
        <f>U106-Z106-X106-AA106-W106-Y106</f>
        <v>0</v>
      </c>
      <c r="W106" s="419"/>
      <c r="X106" s="419"/>
      <c r="Y106" s="419">
        <v>14736186</v>
      </c>
      <c r="Z106" s="419"/>
      <c r="AA106" s="419">
        <f>3510000+263814-3510000</f>
        <v>263814</v>
      </c>
      <c r="AB106" s="448" t="s">
        <v>1512</v>
      </c>
      <c r="AC106" s="448">
        <v>742000</v>
      </c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750"/>
      <c r="AW106" s="750"/>
      <c r="AX106" s="750"/>
    </row>
    <row r="107" spans="1:59" s="5" customFormat="1" ht="40.200000000000003" customHeight="1">
      <c r="A107" s="135">
        <f t="shared" si="20"/>
        <v>103</v>
      </c>
      <c r="B107" s="3">
        <v>20087</v>
      </c>
      <c r="C107" s="3" t="s">
        <v>930</v>
      </c>
      <c r="D107" s="120">
        <f>7500000+1000000</f>
        <v>8500000</v>
      </c>
      <c r="E107" s="120">
        <v>7500000</v>
      </c>
      <c r="F107" s="120">
        <f>D107-E107</f>
        <v>1000000</v>
      </c>
      <c r="G107" s="120">
        <v>0</v>
      </c>
      <c r="H107" s="120">
        <v>1624132</v>
      </c>
      <c r="I107" s="120"/>
      <c r="J107" s="120"/>
      <c r="K107" s="120">
        <f>SUM(I107:J107)</f>
        <v>0</v>
      </c>
      <c r="L107" s="120">
        <f>K107+H107</f>
        <v>1624132</v>
      </c>
      <c r="M107" s="120">
        <f>P107+S107-6500000+1000000+500000-870000</f>
        <v>5868</v>
      </c>
      <c r="N107" s="120">
        <f>6500000-1000000+1000000-500000+870000</f>
        <v>6870000</v>
      </c>
      <c r="O107" s="120">
        <f>D107-L107-M107-N107</f>
        <v>0</v>
      </c>
      <c r="P107" s="120">
        <f>G107-L107</f>
        <v>-1624132</v>
      </c>
      <c r="Q107" s="357"/>
      <c r="R107" s="120">
        <v>7500000</v>
      </c>
      <c r="S107" s="120">
        <f>SUM(Q107:R107)</f>
        <v>7500000</v>
      </c>
      <c r="T107" s="120">
        <f>P107-M107+S107</f>
        <v>5870000</v>
      </c>
      <c r="U107" s="120">
        <f>N107-T107</f>
        <v>1000000</v>
      </c>
      <c r="V107" s="120">
        <f>U107-Z107-X107-AA107-W107-Y107</f>
        <v>0</v>
      </c>
      <c r="W107" s="120"/>
      <c r="X107" s="120"/>
      <c r="Y107" s="120">
        <v>1000000</v>
      </c>
      <c r="Z107" s="120"/>
      <c r="AA107" s="135"/>
      <c r="AB107" s="3" t="s">
        <v>1511</v>
      </c>
      <c r="AC107" s="3">
        <v>742000</v>
      </c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217"/>
      <c r="AW107" s="217"/>
      <c r="AX107" s="217"/>
    </row>
    <row r="108" spans="1:59" s="5" customFormat="1" ht="40.200000000000003" customHeight="1">
      <c r="A108" s="135">
        <f t="shared" si="20"/>
        <v>104</v>
      </c>
      <c r="B108" s="3">
        <v>20093</v>
      </c>
      <c r="C108" s="3" t="s">
        <v>931</v>
      </c>
      <c r="D108" s="120">
        <v>12000000</v>
      </c>
      <c r="E108" s="120">
        <v>250000</v>
      </c>
      <c r="F108" s="120">
        <f>D108-E108</f>
        <v>11750000</v>
      </c>
      <c r="G108" s="120">
        <v>250000</v>
      </c>
      <c r="H108" s="120">
        <v>14270</v>
      </c>
      <c r="I108" s="120"/>
      <c r="J108" s="120"/>
      <c r="K108" s="120">
        <f>SUM(I108:J108)</f>
        <v>0</v>
      </c>
      <c r="L108" s="120">
        <f>K108+H108</f>
        <v>14270</v>
      </c>
      <c r="M108" s="120">
        <f>P108+S108-230000</f>
        <v>5730</v>
      </c>
      <c r="N108" s="120">
        <f>11750000+230000-1750000</f>
        <v>10230000</v>
      </c>
      <c r="O108" s="120">
        <f>D108-L108-M108-N108</f>
        <v>1750000</v>
      </c>
      <c r="P108" s="120">
        <f>G108-L108</f>
        <v>235730</v>
      </c>
      <c r="Q108" s="357"/>
      <c r="R108" s="120"/>
      <c r="S108" s="120">
        <f>SUM(Q108:R108)</f>
        <v>0</v>
      </c>
      <c r="T108" s="120">
        <f>P108-M108+S108</f>
        <v>230000</v>
      </c>
      <c r="U108" s="120">
        <f>N108-T108</f>
        <v>10000000</v>
      </c>
      <c r="V108" s="120">
        <f>U108-Z108-X108-AA108-W108-Y108</f>
        <v>7523000</v>
      </c>
      <c r="W108" s="120"/>
      <c r="X108" s="120"/>
      <c r="Y108" s="120"/>
      <c r="Z108" s="120"/>
      <c r="AA108" s="120">
        <v>2477000</v>
      </c>
      <c r="AB108" s="3" t="s">
        <v>1390</v>
      </c>
      <c r="AC108" s="3">
        <v>829000</v>
      </c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217"/>
      <c r="AW108" s="217"/>
      <c r="AX108" s="217"/>
    </row>
    <row r="109" spans="1:59" s="5" customFormat="1" ht="40.200000000000003" customHeight="1">
      <c r="A109" s="135">
        <f t="shared" si="20"/>
        <v>105</v>
      </c>
      <c r="B109" s="3">
        <v>20097</v>
      </c>
      <c r="C109" s="3" t="s">
        <v>932</v>
      </c>
      <c r="D109" s="120">
        <v>2900000</v>
      </c>
      <c r="E109" s="120">
        <v>1000000</v>
      </c>
      <c r="F109" s="120">
        <f>D109-E109</f>
        <v>1900000</v>
      </c>
      <c r="G109" s="120">
        <v>0</v>
      </c>
      <c r="H109" s="120"/>
      <c r="I109" s="120"/>
      <c r="J109" s="120"/>
      <c r="K109" s="120">
        <f>SUM(I109:J109)</f>
        <v>0</v>
      </c>
      <c r="L109" s="120">
        <f>K109+H109</f>
        <v>0</v>
      </c>
      <c r="M109" s="120">
        <f>P109+S109</f>
        <v>0</v>
      </c>
      <c r="N109" s="120">
        <v>2900000</v>
      </c>
      <c r="O109" s="120">
        <f>D109-L109-M109-N109</f>
        <v>0</v>
      </c>
      <c r="P109" s="120">
        <f>G109-L109</f>
        <v>0</v>
      </c>
      <c r="Q109" s="357"/>
      <c r="R109" s="120"/>
      <c r="S109" s="120">
        <f>SUM(Q109:R109)</f>
        <v>0</v>
      </c>
      <c r="T109" s="120">
        <f>P109-M109+S109</f>
        <v>0</v>
      </c>
      <c r="U109" s="120">
        <f>N109-T109</f>
        <v>2900000</v>
      </c>
      <c r="V109" s="120">
        <f>U109-Z109-X109-AA109-W109-Y109</f>
        <v>2300000</v>
      </c>
      <c r="W109" s="120"/>
      <c r="X109" s="120"/>
      <c r="Y109" s="120"/>
      <c r="Z109" s="120"/>
      <c r="AA109" s="120">
        <v>600000</v>
      </c>
      <c r="AB109" s="3" t="s">
        <v>1647</v>
      </c>
      <c r="AC109" s="3">
        <v>930000</v>
      </c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217"/>
      <c r="AW109" s="217"/>
      <c r="AX109" s="217"/>
    </row>
    <row r="110" spans="1:59" s="5" customFormat="1" ht="40.200000000000003" customHeight="1">
      <c r="A110" s="135">
        <f t="shared" si="20"/>
        <v>106</v>
      </c>
      <c r="B110" s="3">
        <v>20098</v>
      </c>
      <c r="C110" s="3" t="s">
        <v>933</v>
      </c>
      <c r="D110" s="120">
        <f>250000+250000</f>
        <v>500000</v>
      </c>
      <c r="E110" s="120">
        <v>250000</v>
      </c>
      <c r="F110" s="120">
        <f t="shared" si="11"/>
        <v>250000</v>
      </c>
      <c r="G110" s="120">
        <v>250000</v>
      </c>
      <c r="H110" s="120">
        <v>24336</v>
      </c>
      <c r="I110" s="120"/>
      <c r="J110" s="120"/>
      <c r="K110" s="120">
        <f t="shared" si="12"/>
        <v>0</v>
      </c>
      <c r="L110" s="120">
        <f t="shared" si="13"/>
        <v>24336</v>
      </c>
      <c r="M110" s="120">
        <f>P110+S110-200000-25000</f>
        <v>664</v>
      </c>
      <c r="N110" s="120">
        <f>450000-250000+25000</f>
        <v>225000</v>
      </c>
      <c r="O110" s="120">
        <f t="shared" si="14"/>
        <v>250000</v>
      </c>
      <c r="P110" s="120">
        <f t="shared" si="15"/>
        <v>225664</v>
      </c>
      <c r="Q110" s="357"/>
      <c r="R110" s="120"/>
      <c r="S110" s="120">
        <f t="shared" si="16"/>
        <v>0</v>
      </c>
      <c r="T110" s="120">
        <f t="shared" si="17"/>
        <v>225000</v>
      </c>
      <c r="U110" s="120">
        <f t="shared" si="18"/>
        <v>0</v>
      </c>
      <c r="V110" s="120">
        <f t="shared" si="19"/>
        <v>0</v>
      </c>
      <c r="W110" s="120"/>
      <c r="X110" s="120"/>
      <c r="Y110" s="120"/>
      <c r="Z110" s="120"/>
      <c r="AA110" s="135"/>
      <c r="AB110" s="3" t="s">
        <v>947</v>
      </c>
      <c r="AC110" s="3">
        <v>742000</v>
      </c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217"/>
      <c r="AW110" s="217"/>
      <c r="AX110" s="217"/>
    </row>
    <row r="111" spans="1:59" s="5" customFormat="1" ht="40.200000000000003" customHeight="1">
      <c r="A111" s="135">
        <f t="shared" si="20"/>
        <v>107</v>
      </c>
      <c r="B111" s="19">
        <v>20109</v>
      </c>
      <c r="C111" s="135" t="s">
        <v>962</v>
      </c>
      <c r="D111" s="419">
        <v>1500000</v>
      </c>
      <c r="E111" s="419"/>
      <c r="F111" s="419">
        <f t="shared" si="11"/>
        <v>1500000</v>
      </c>
      <c r="G111" s="419">
        <v>0</v>
      </c>
      <c r="H111" s="419"/>
      <c r="I111" s="419"/>
      <c r="J111" s="419"/>
      <c r="K111" s="419">
        <f t="shared" ref="K111:K112" si="22">I111+J111</f>
        <v>0</v>
      </c>
      <c r="L111" s="419">
        <f t="shared" ref="L111:L112" si="23">H111+K111</f>
        <v>0</v>
      </c>
      <c r="M111" s="419">
        <f t="shared" ref="M111:M112" si="24">P111+S111</f>
        <v>0</v>
      </c>
      <c r="N111" s="419">
        <v>1500000</v>
      </c>
      <c r="O111" s="120">
        <f t="shared" si="14"/>
        <v>0</v>
      </c>
      <c r="P111" s="120">
        <f t="shared" si="15"/>
        <v>0</v>
      </c>
      <c r="Q111" s="120"/>
      <c r="R111" s="120"/>
      <c r="S111" s="120">
        <f t="shared" ref="S111:S112" si="25">SUM(Q111:R111)</f>
        <v>0</v>
      </c>
      <c r="T111" s="120">
        <f t="shared" si="17"/>
        <v>0</v>
      </c>
      <c r="U111" s="120">
        <f t="shared" si="18"/>
        <v>1500000</v>
      </c>
      <c r="V111" s="120">
        <f t="shared" ref="V111:V114" si="26">U111-W111-Z111-AA111</f>
        <v>1500000</v>
      </c>
      <c r="W111" s="120"/>
      <c r="X111" s="120"/>
      <c r="Y111" s="120"/>
      <c r="Z111" s="120"/>
      <c r="AA111" s="120"/>
      <c r="AB111" s="3" t="s">
        <v>1648</v>
      </c>
      <c r="AC111" s="3">
        <v>840000</v>
      </c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272"/>
      <c r="AZ111" s="272"/>
      <c r="BA111" s="272"/>
      <c r="BB111" s="272"/>
      <c r="BC111" s="272"/>
      <c r="BD111" s="272"/>
      <c r="BE111" s="272"/>
      <c r="BF111" s="272"/>
      <c r="BG111" s="272"/>
    </row>
    <row r="112" spans="1:59" s="5" customFormat="1" ht="40.200000000000003" customHeight="1">
      <c r="A112" s="135">
        <f t="shared" si="20"/>
        <v>108</v>
      </c>
      <c r="B112" s="19">
        <v>20110</v>
      </c>
      <c r="C112" s="135" t="s">
        <v>965</v>
      </c>
      <c r="D112" s="120">
        <v>600000</v>
      </c>
      <c r="E112" s="120"/>
      <c r="F112" s="120">
        <f t="shared" si="11"/>
        <v>600000</v>
      </c>
      <c r="G112" s="120">
        <v>0</v>
      </c>
      <c r="H112" s="120"/>
      <c r="I112" s="120"/>
      <c r="J112" s="120"/>
      <c r="K112" s="120">
        <f t="shared" si="22"/>
        <v>0</v>
      </c>
      <c r="L112" s="120">
        <f t="shared" si="23"/>
        <v>0</v>
      </c>
      <c r="M112" s="120">
        <f t="shared" si="24"/>
        <v>0</v>
      </c>
      <c r="N112" s="120">
        <f>600000-100000</f>
        <v>500000</v>
      </c>
      <c r="O112" s="120">
        <f t="shared" si="14"/>
        <v>100000</v>
      </c>
      <c r="P112" s="120">
        <f t="shared" si="15"/>
        <v>0</v>
      </c>
      <c r="Q112" s="120"/>
      <c r="R112" s="120"/>
      <c r="S112" s="120">
        <f t="shared" si="25"/>
        <v>0</v>
      </c>
      <c r="T112" s="120">
        <f t="shared" si="17"/>
        <v>0</v>
      </c>
      <c r="U112" s="120">
        <f t="shared" si="18"/>
        <v>500000</v>
      </c>
      <c r="V112" s="120">
        <f>U112-W112-Z112-AA112-Y112</f>
        <v>0</v>
      </c>
      <c r="W112" s="120"/>
      <c r="X112" s="120"/>
      <c r="Y112" s="120">
        <v>500000</v>
      </c>
      <c r="Z112" s="120"/>
      <c r="AA112" s="120"/>
      <c r="AB112" s="3" t="s">
        <v>1411</v>
      </c>
      <c r="AC112" s="3">
        <v>810000</v>
      </c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272"/>
      <c r="AZ112" s="272"/>
      <c r="BA112" s="272"/>
      <c r="BB112" s="272"/>
      <c r="BC112" s="272"/>
      <c r="BD112" s="272"/>
      <c r="BE112" s="272"/>
      <c r="BF112" s="272"/>
      <c r="BG112" s="272"/>
    </row>
    <row r="113" spans="1:51" s="5" customFormat="1" ht="40.200000000000003" customHeight="1">
      <c r="A113" s="135">
        <f t="shared" si="20"/>
        <v>109</v>
      </c>
      <c r="B113" s="19">
        <v>20111</v>
      </c>
      <c r="C113" s="135" t="s">
        <v>1313</v>
      </c>
      <c r="D113" s="120">
        <v>3400000</v>
      </c>
      <c r="E113" s="120"/>
      <c r="F113" s="120">
        <f t="shared" si="11"/>
        <v>3400000</v>
      </c>
      <c r="G113" s="120"/>
      <c r="H113" s="120"/>
      <c r="I113" s="120"/>
      <c r="J113" s="120"/>
      <c r="K113" s="120"/>
      <c r="L113" s="120"/>
      <c r="M113" s="120"/>
      <c r="N113" s="120">
        <f>2500000-1000000</f>
        <v>1500000</v>
      </c>
      <c r="O113" s="120">
        <f t="shared" si="14"/>
        <v>1900000</v>
      </c>
      <c r="P113" s="120"/>
      <c r="Q113" s="120"/>
      <c r="R113" s="120"/>
      <c r="S113" s="120"/>
      <c r="T113" s="120"/>
      <c r="U113" s="120">
        <f t="shared" si="18"/>
        <v>1500000</v>
      </c>
      <c r="V113" s="120">
        <f t="shared" si="26"/>
        <v>1500000</v>
      </c>
      <c r="W113" s="120"/>
      <c r="X113" s="120"/>
      <c r="Y113" s="120"/>
      <c r="Z113" s="120"/>
      <c r="AA113" s="120"/>
      <c r="AB113" s="3" t="s">
        <v>1342</v>
      </c>
      <c r="AC113" s="3">
        <v>742000</v>
      </c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</row>
    <row r="114" spans="1:51" s="5" customFormat="1" ht="40.200000000000003" customHeight="1">
      <c r="A114" s="135">
        <f t="shared" si="20"/>
        <v>110</v>
      </c>
      <c r="B114" s="19">
        <v>20112</v>
      </c>
      <c r="C114" s="135" t="s">
        <v>1314</v>
      </c>
      <c r="D114" s="120">
        <f>5500000-800000</f>
        <v>4700000</v>
      </c>
      <c r="E114" s="120"/>
      <c r="F114" s="120">
        <f t="shared" si="11"/>
        <v>4700000</v>
      </c>
      <c r="G114" s="120"/>
      <c r="H114" s="120"/>
      <c r="I114" s="120"/>
      <c r="J114" s="120"/>
      <c r="K114" s="120"/>
      <c r="L114" s="120"/>
      <c r="M114" s="120"/>
      <c r="N114" s="120">
        <f>2750000-1750000</f>
        <v>1000000</v>
      </c>
      <c r="O114" s="120">
        <f t="shared" si="14"/>
        <v>3700000</v>
      </c>
      <c r="P114" s="120"/>
      <c r="Q114" s="120"/>
      <c r="R114" s="120"/>
      <c r="S114" s="120"/>
      <c r="T114" s="120"/>
      <c r="U114" s="120">
        <f t="shared" si="18"/>
        <v>1000000</v>
      </c>
      <c r="V114" s="120">
        <f t="shared" si="26"/>
        <v>1000000</v>
      </c>
      <c r="W114" s="120"/>
      <c r="X114" s="120"/>
      <c r="Y114" s="120"/>
      <c r="Z114" s="120"/>
      <c r="AA114" s="120"/>
      <c r="AB114" s="3" t="s">
        <v>1352</v>
      </c>
      <c r="AC114" s="3">
        <v>746000</v>
      </c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</row>
    <row r="115" spans="1:51" s="5" customFormat="1" ht="40.200000000000003" customHeight="1">
      <c r="A115" s="135">
        <f t="shared" si="20"/>
        <v>111</v>
      </c>
      <c r="B115" s="19">
        <v>20113</v>
      </c>
      <c r="C115" s="135" t="s">
        <v>1340</v>
      </c>
      <c r="D115" s="120">
        <v>2030000</v>
      </c>
      <c r="E115" s="120"/>
      <c r="F115" s="120">
        <f>D115-E115</f>
        <v>2030000</v>
      </c>
      <c r="G115" s="120"/>
      <c r="H115" s="120"/>
      <c r="I115" s="120"/>
      <c r="J115" s="120"/>
      <c r="K115" s="120"/>
      <c r="L115" s="120"/>
      <c r="M115" s="120"/>
      <c r="N115" s="120">
        <f>2030000-1030000</f>
        <v>1000000</v>
      </c>
      <c r="O115" s="120">
        <f>D115-L115-M115-N115</f>
        <v>1030000</v>
      </c>
      <c r="P115" s="120"/>
      <c r="Q115" s="120"/>
      <c r="R115" s="120"/>
      <c r="S115" s="120"/>
      <c r="T115" s="120"/>
      <c r="U115" s="120">
        <f>N115-T115</f>
        <v>1000000</v>
      </c>
      <c r="V115" s="120">
        <f>U115-W115-Z115-AA115</f>
        <v>1000000</v>
      </c>
      <c r="W115" s="120"/>
      <c r="X115" s="120"/>
      <c r="Y115" s="120"/>
      <c r="Z115" s="120"/>
      <c r="AA115" s="120"/>
      <c r="AB115" s="3" t="s">
        <v>1341</v>
      </c>
      <c r="AC115" s="3">
        <v>742000</v>
      </c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</row>
    <row r="116" spans="1:51" s="5" customFormat="1" ht="40.200000000000003" customHeight="1">
      <c r="A116" s="135">
        <f t="shared" si="20"/>
        <v>112</v>
      </c>
      <c r="B116" s="19">
        <v>20114</v>
      </c>
      <c r="C116" s="135" t="s">
        <v>1377</v>
      </c>
      <c r="D116" s="120">
        <v>5000000</v>
      </c>
      <c r="E116" s="120"/>
      <c r="F116" s="120">
        <f>D116-E116</f>
        <v>5000000</v>
      </c>
      <c r="G116" s="120"/>
      <c r="H116" s="120"/>
      <c r="I116" s="120"/>
      <c r="J116" s="120"/>
      <c r="K116" s="120"/>
      <c r="L116" s="120"/>
      <c r="M116" s="120"/>
      <c r="N116" s="120">
        <f>5000000-3000000</f>
        <v>2000000</v>
      </c>
      <c r="O116" s="120">
        <f>D116-L116-M116-N116</f>
        <v>3000000</v>
      </c>
      <c r="P116" s="120"/>
      <c r="Q116" s="120"/>
      <c r="R116" s="120"/>
      <c r="S116" s="120"/>
      <c r="T116" s="120"/>
      <c r="U116" s="120">
        <f>N116-T116</f>
        <v>2000000</v>
      </c>
      <c r="V116" s="120">
        <f>U116-W116-Z116-AA116</f>
        <v>1790000</v>
      </c>
      <c r="W116" s="120"/>
      <c r="X116" s="120"/>
      <c r="Y116" s="120"/>
      <c r="Z116" s="120"/>
      <c r="AA116" s="120">
        <f>70000*3</f>
        <v>210000</v>
      </c>
      <c r="AB116" s="3" t="s">
        <v>1410</v>
      </c>
      <c r="AC116" s="3">
        <v>810000</v>
      </c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</row>
    <row r="117" spans="1:51" s="223" customFormat="1" ht="40.200000000000003" customHeight="1">
      <c r="A117" s="137">
        <f>COUNT(A5:A116)</f>
        <v>112</v>
      </c>
      <c r="B117" s="222"/>
      <c r="C117" s="137" t="s">
        <v>167</v>
      </c>
      <c r="D117" s="138">
        <f t="shared" ref="D117:AA117" si="27">SUM(D5:D116)</f>
        <v>2719909650</v>
      </c>
      <c r="E117" s="138">
        <f t="shared" si="27"/>
        <v>2371453556</v>
      </c>
      <c r="F117" s="138">
        <f t="shared" si="27"/>
        <v>348456094</v>
      </c>
      <c r="G117" s="138">
        <f t="shared" si="27"/>
        <v>1028072314</v>
      </c>
      <c r="H117" s="138">
        <f t="shared" si="27"/>
        <v>1002704785</v>
      </c>
      <c r="I117" s="138">
        <f t="shared" si="27"/>
        <v>449944</v>
      </c>
      <c r="J117" s="138">
        <f t="shared" si="27"/>
        <v>1996222</v>
      </c>
      <c r="K117" s="138">
        <f t="shared" si="27"/>
        <v>2446166</v>
      </c>
      <c r="L117" s="138">
        <f t="shared" si="27"/>
        <v>1005150951</v>
      </c>
      <c r="M117" s="138">
        <f t="shared" si="27"/>
        <v>617780</v>
      </c>
      <c r="N117" s="138">
        <f t="shared" si="27"/>
        <v>364647940</v>
      </c>
      <c r="O117" s="138">
        <f t="shared" si="27"/>
        <v>1349492979</v>
      </c>
      <c r="P117" s="138">
        <f t="shared" si="27"/>
        <v>22921363</v>
      </c>
      <c r="Q117" s="138">
        <f t="shared" si="27"/>
        <v>84241899</v>
      </c>
      <c r="R117" s="138">
        <f t="shared" si="27"/>
        <v>7500000</v>
      </c>
      <c r="S117" s="138">
        <f t="shared" si="27"/>
        <v>91741899</v>
      </c>
      <c r="T117" s="138">
        <f t="shared" si="27"/>
        <v>114045482</v>
      </c>
      <c r="U117" s="138">
        <f t="shared" si="27"/>
        <v>250602458</v>
      </c>
      <c r="V117" s="138">
        <f t="shared" si="27"/>
        <v>170276061</v>
      </c>
      <c r="W117" s="138">
        <f t="shared" si="27"/>
        <v>2216408</v>
      </c>
      <c r="X117" s="138">
        <f t="shared" si="27"/>
        <v>0</v>
      </c>
      <c r="Y117" s="138">
        <f t="shared" si="27"/>
        <v>16236186</v>
      </c>
      <c r="Z117" s="138">
        <f t="shared" si="27"/>
        <v>0</v>
      </c>
      <c r="AA117" s="138">
        <f t="shared" si="27"/>
        <v>61873803</v>
      </c>
      <c r="AB117" s="138">
        <f>SUM(AB5:AB110)</f>
        <v>0</v>
      </c>
      <c r="AC117" s="138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217"/>
      <c r="AW117" s="217"/>
      <c r="AX117" s="217"/>
      <c r="AY117" s="225"/>
    </row>
    <row r="118" spans="1:51" s="223" customFormat="1" ht="40.200000000000003" customHeight="1">
      <c r="A118" s="137"/>
      <c r="B118" s="222"/>
      <c r="C118" s="137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20">
        <f>G118-L118</f>
        <v>0</v>
      </c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217"/>
      <c r="AW118" s="217"/>
      <c r="AX118" s="217"/>
    </row>
    <row r="119" spans="1:51" s="223" customFormat="1" ht="40.200000000000003" customHeight="1">
      <c r="A119" s="137"/>
      <c r="B119" s="222"/>
      <c r="C119" s="137" t="s">
        <v>124</v>
      </c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20">
        <f>G119-L119</f>
        <v>0</v>
      </c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3"/>
      <c r="AC119" s="137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217"/>
      <c r="AW119" s="217"/>
      <c r="AX119" s="217"/>
    </row>
    <row r="120" spans="1:51" s="134" customFormat="1" ht="40.200000000000003" customHeight="1">
      <c r="A120" s="135">
        <f>A117+1</f>
        <v>113</v>
      </c>
      <c r="B120" s="135">
        <v>1547</v>
      </c>
      <c r="C120" s="135" t="s">
        <v>383</v>
      </c>
      <c r="D120" s="120">
        <v>144000000</v>
      </c>
      <c r="E120" s="120">
        <v>144000000</v>
      </c>
      <c r="F120" s="120">
        <f>D120-E120</f>
        <v>0</v>
      </c>
      <c r="G120" s="120">
        <v>114000000</v>
      </c>
      <c r="H120" s="120">
        <v>113874221</v>
      </c>
      <c r="I120" s="120"/>
      <c r="J120" s="120"/>
      <c r="K120" s="120">
        <f>SUM(I120:J120)</f>
        <v>0</v>
      </c>
      <c r="L120" s="120">
        <f>K120+H120</f>
        <v>113874221</v>
      </c>
      <c r="M120" s="120">
        <f>P120+S120-125000</f>
        <v>779</v>
      </c>
      <c r="N120" s="120">
        <f>15000000-7000000-2000000+125000-125000</f>
        <v>6000000</v>
      </c>
      <c r="O120" s="120">
        <f>D120-L120-M120-N120</f>
        <v>24125000</v>
      </c>
      <c r="P120" s="120">
        <f>G120-L120</f>
        <v>125779</v>
      </c>
      <c r="Q120" s="357"/>
      <c r="R120" s="120"/>
      <c r="S120" s="120">
        <f>SUM(Q120:R120)</f>
        <v>0</v>
      </c>
      <c r="T120" s="120">
        <f>P120-M120+S120</f>
        <v>125000</v>
      </c>
      <c r="U120" s="120">
        <f>N120-T120</f>
        <v>5875000</v>
      </c>
      <c r="V120" s="120">
        <f>U120-Z120-X120-AA120-W120-Y120</f>
        <v>375000</v>
      </c>
      <c r="W120" s="120"/>
      <c r="X120" s="120"/>
      <c r="Y120" s="120"/>
      <c r="Z120" s="120"/>
      <c r="AA120" s="120">
        <v>5500000</v>
      </c>
      <c r="AB120" s="135" t="s">
        <v>1391</v>
      </c>
      <c r="AC120" s="135">
        <v>742000</v>
      </c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217"/>
      <c r="AW120" s="217"/>
      <c r="AX120" s="217"/>
    </row>
    <row r="121" spans="1:51" ht="40.200000000000003" customHeight="1">
      <c r="A121" s="135">
        <f t="shared" ref="A121:A131" si="28">A120+1</f>
        <v>114</v>
      </c>
      <c r="B121" s="220">
        <v>1827</v>
      </c>
      <c r="C121" s="135" t="s">
        <v>384</v>
      </c>
      <c r="D121" s="120">
        <v>100000000</v>
      </c>
      <c r="E121" s="120">
        <v>100000000</v>
      </c>
      <c r="F121" s="120">
        <f t="shared" ref="F121:F131" si="29">D121-E121</f>
        <v>0</v>
      </c>
      <c r="G121" s="120">
        <v>89000000</v>
      </c>
      <c r="H121" s="120">
        <v>92668742</v>
      </c>
      <c r="I121" s="120"/>
      <c r="J121" s="120"/>
      <c r="K121" s="120">
        <f t="shared" ref="K121:K131" si="30">SUM(I121:J121)</f>
        <v>0</v>
      </c>
      <c r="L121" s="120">
        <f t="shared" ref="L121:L131" si="31">K121+H121</f>
        <v>92668742</v>
      </c>
      <c r="M121" s="120">
        <f>P121+S121-7300000</f>
        <v>31258</v>
      </c>
      <c r="N121" s="120">
        <v>7300000</v>
      </c>
      <c r="O121" s="120">
        <f t="shared" ref="O121:O131" si="32">D121-L121-M121-N121</f>
        <v>0</v>
      </c>
      <c r="P121" s="120">
        <f t="shared" ref="P121:P131" si="33">G121-L121</f>
        <v>-3668742</v>
      </c>
      <c r="Q121" s="357">
        <v>11000000</v>
      </c>
      <c r="R121" s="120"/>
      <c r="S121" s="120">
        <f t="shared" ref="S121:S131" si="34">SUM(Q121:R121)</f>
        <v>11000000</v>
      </c>
      <c r="T121" s="120">
        <f t="shared" ref="T121:T131" si="35">P121-M121+S121</f>
        <v>7300000</v>
      </c>
      <c r="U121" s="120">
        <f t="shared" ref="U121:U131" si="36">N121-T121</f>
        <v>0</v>
      </c>
      <c r="V121" s="120">
        <f t="shared" ref="V121:V131" si="37">U121-Z121-X121-AA121-W121-Y121</f>
        <v>0</v>
      </c>
      <c r="W121" s="120"/>
      <c r="X121" s="120"/>
      <c r="Y121" s="120"/>
      <c r="Z121" s="120"/>
      <c r="AA121" s="135"/>
      <c r="AB121" s="135" t="s">
        <v>1330</v>
      </c>
      <c r="AC121" s="135">
        <v>746000</v>
      </c>
    </row>
    <row r="122" spans="1:51" s="134" customFormat="1" ht="40.200000000000003" customHeight="1">
      <c r="A122" s="135">
        <f t="shared" si="28"/>
        <v>115</v>
      </c>
      <c r="B122" s="135">
        <v>1905</v>
      </c>
      <c r="C122" s="135" t="s">
        <v>101</v>
      </c>
      <c r="D122" s="120">
        <v>3366000</v>
      </c>
      <c r="E122" s="120">
        <v>3366000</v>
      </c>
      <c r="F122" s="120">
        <f t="shared" si="29"/>
        <v>0</v>
      </c>
      <c r="G122" s="120">
        <v>3366000</v>
      </c>
      <c r="H122" s="120"/>
      <c r="I122" s="120"/>
      <c r="J122" s="120"/>
      <c r="K122" s="120">
        <f t="shared" si="30"/>
        <v>0</v>
      </c>
      <c r="L122" s="120">
        <f t="shared" si="31"/>
        <v>0</v>
      </c>
      <c r="M122" s="120">
        <f>P122+S122-3366000</f>
        <v>0</v>
      </c>
      <c r="N122" s="120">
        <v>3366000</v>
      </c>
      <c r="O122" s="120">
        <f t="shared" si="32"/>
        <v>0</v>
      </c>
      <c r="P122" s="120">
        <f t="shared" si="33"/>
        <v>3366000</v>
      </c>
      <c r="Q122" s="357"/>
      <c r="R122" s="120"/>
      <c r="S122" s="120">
        <f t="shared" si="34"/>
        <v>0</v>
      </c>
      <c r="T122" s="120">
        <f t="shared" si="35"/>
        <v>3366000</v>
      </c>
      <c r="U122" s="120">
        <f t="shared" si="36"/>
        <v>0</v>
      </c>
      <c r="V122" s="120">
        <f t="shared" si="37"/>
        <v>0</v>
      </c>
      <c r="W122" s="120"/>
      <c r="X122" s="120"/>
      <c r="Y122" s="120"/>
      <c r="Z122" s="120"/>
      <c r="AA122" s="135"/>
      <c r="AB122" s="135" t="s">
        <v>332</v>
      </c>
      <c r="AC122" s="135">
        <v>746000</v>
      </c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217"/>
      <c r="AW122" s="217"/>
      <c r="AX122" s="217"/>
    </row>
    <row r="123" spans="1:51" s="134" customFormat="1" ht="40.200000000000003" customHeight="1">
      <c r="A123" s="135">
        <f t="shared" si="28"/>
        <v>116</v>
      </c>
      <c r="B123" s="135">
        <v>1908</v>
      </c>
      <c r="C123" s="135" t="s">
        <v>115</v>
      </c>
      <c r="D123" s="120">
        <f>19054496-849</f>
        <v>19053647</v>
      </c>
      <c r="E123" s="120">
        <v>19054496</v>
      </c>
      <c r="F123" s="120">
        <f t="shared" si="29"/>
        <v>-849</v>
      </c>
      <c r="G123" s="120">
        <v>19054496</v>
      </c>
      <c r="H123" s="120">
        <v>19053647</v>
      </c>
      <c r="I123" s="120"/>
      <c r="J123" s="120"/>
      <c r="K123" s="120">
        <f t="shared" si="30"/>
        <v>0</v>
      </c>
      <c r="L123" s="120">
        <f t="shared" si="31"/>
        <v>19053647</v>
      </c>
      <c r="M123" s="120">
        <f>P123+S123-849</f>
        <v>0</v>
      </c>
      <c r="N123" s="120"/>
      <c r="O123" s="120">
        <f t="shared" si="32"/>
        <v>0</v>
      </c>
      <c r="P123" s="120">
        <f t="shared" si="33"/>
        <v>849</v>
      </c>
      <c r="Q123" s="357"/>
      <c r="R123" s="120"/>
      <c r="S123" s="120">
        <f t="shared" si="34"/>
        <v>0</v>
      </c>
      <c r="T123" s="120">
        <f t="shared" si="35"/>
        <v>849</v>
      </c>
      <c r="U123" s="120">
        <f t="shared" si="36"/>
        <v>-849</v>
      </c>
      <c r="V123" s="120">
        <f t="shared" si="37"/>
        <v>-849</v>
      </c>
      <c r="W123" s="120"/>
      <c r="X123" s="120"/>
      <c r="Y123" s="120"/>
      <c r="Z123" s="120"/>
      <c r="AA123" s="135"/>
      <c r="AB123" s="224" t="s">
        <v>1469</v>
      </c>
      <c r="AC123" s="135">
        <v>810000</v>
      </c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217"/>
      <c r="AW123" s="217"/>
      <c r="AX123" s="217"/>
    </row>
    <row r="124" spans="1:51" ht="40.200000000000003" customHeight="1">
      <c r="A124" s="135">
        <f t="shared" si="28"/>
        <v>117</v>
      </c>
      <c r="B124" s="220">
        <v>1909</v>
      </c>
      <c r="C124" s="135" t="s">
        <v>412</v>
      </c>
      <c r="D124" s="120">
        <v>184500000</v>
      </c>
      <c r="E124" s="120">
        <v>184500000</v>
      </c>
      <c r="F124" s="120">
        <f t="shared" si="29"/>
        <v>0</v>
      </c>
      <c r="G124" s="120">
        <v>169145785</v>
      </c>
      <c r="H124" s="120">
        <v>169128282</v>
      </c>
      <c r="I124" s="120"/>
      <c r="J124" s="120"/>
      <c r="K124" s="120">
        <f t="shared" si="30"/>
        <v>0</v>
      </c>
      <c r="L124" s="120">
        <f t="shared" si="31"/>
        <v>169128282</v>
      </c>
      <c r="M124" s="120">
        <f>P124+S124-15000</f>
        <v>2503</v>
      </c>
      <c r="N124" s="120">
        <f>15354215+15000-4000000</f>
        <v>11369215</v>
      </c>
      <c r="O124" s="120">
        <f t="shared" si="32"/>
        <v>4000000</v>
      </c>
      <c r="P124" s="120">
        <f t="shared" si="33"/>
        <v>17503</v>
      </c>
      <c r="Q124" s="357"/>
      <c r="R124" s="120"/>
      <c r="S124" s="120">
        <f t="shared" si="34"/>
        <v>0</v>
      </c>
      <c r="T124" s="120">
        <f t="shared" si="35"/>
        <v>15000</v>
      </c>
      <c r="U124" s="120">
        <f t="shared" si="36"/>
        <v>11354215</v>
      </c>
      <c r="V124" s="120">
        <f t="shared" si="37"/>
        <v>6147109</v>
      </c>
      <c r="W124" s="120"/>
      <c r="X124" s="120"/>
      <c r="Y124" s="120"/>
      <c r="Z124" s="120"/>
      <c r="AA124" s="120">
        <f>4470073+737033</f>
        <v>5207106</v>
      </c>
      <c r="AB124" s="221" t="s">
        <v>701</v>
      </c>
      <c r="AC124" s="135">
        <v>810000</v>
      </c>
    </row>
    <row r="125" spans="1:51" ht="40.200000000000003" customHeight="1">
      <c r="A125" s="135">
        <f t="shared" si="28"/>
        <v>118</v>
      </c>
      <c r="B125" s="220">
        <v>1911</v>
      </c>
      <c r="C125" s="135" t="s">
        <v>264</v>
      </c>
      <c r="D125" s="120">
        <f>27236240-300000</f>
        <v>26936240</v>
      </c>
      <c r="E125" s="120">
        <v>27236240</v>
      </c>
      <c r="F125" s="120">
        <f t="shared" si="29"/>
        <v>-300000</v>
      </c>
      <c r="G125" s="120">
        <v>27236240</v>
      </c>
      <c r="H125" s="120">
        <v>26634223</v>
      </c>
      <c r="I125" s="120"/>
      <c r="J125" s="120"/>
      <c r="K125" s="120">
        <f t="shared" si="30"/>
        <v>0</v>
      </c>
      <c r="L125" s="120">
        <f t="shared" si="31"/>
        <v>26634223</v>
      </c>
      <c r="M125" s="120">
        <f>P125+S125-600000</f>
        <v>2017</v>
      </c>
      <c r="N125" s="120">
        <v>300000</v>
      </c>
      <c r="O125" s="120">
        <f t="shared" si="32"/>
        <v>0</v>
      </c>
      <c r="P125" s="120">
        <f t="shared" si="33"/>
        <v>602017</v>
      </c>
      <c r="Q125" s="357"/>
      <c r="R125" s="120"/>
      <c r="S125" s="120">
        <f t="shared" si="34"/>
        <v>0</v>
      </c>
      <c r="T125" s="120">
        <f t="shared" si="35"/>
        <v>600000</v>
      </c>
      <c r="U125" s="120">
        <f t="shared" si="36"/>
        <v>-300000</v>
      </c>
      <c r="V125" s="120">
        <f t="shared" si="37"/>
        <v>-300000</v>
      </c>
      <c r="W125" s="120"/>
      <c r="X125" s="120"/>
      <c r="Y125" s="120"/>
      <c r="Z125" s="120"/>
      <c r="AA125" s="135"/>
      <c r="AB125" s="221" t="s">
        <v>1371</v>
      </c>
      <c r="AC125" s="135">
        <v>810000</v>
      </c>
    </row>
    <row r="126" spans="1:51" ht="40.200000000000003" customHeight="1">
      <c r="A126" s="135">
        <f t="shared" si="28"/>
        <v>119</v>
      </c>
      <c r="B126" s="220">
        <v>1912</v>
      </c>
      <c r="C126" s="135" t="s">
        <v>385</v>
      </c>
      <c r="D126" s="120">
        <v>430000000</v>
      </c>
      <c r="E126" s="120">
        <v>430000000</v>
      </c>
      <c r="F126" s="120">
        <f t="shared" si="29"/>
        <v>0</v>
      </c>
      <c r="G126" s="120">
        <f>287713073+11691178</f>
        <v>299404251</v>
      </c>
      <c r="H126" s="120">
        <v>299054983</v>
      </c>
      <c r="I126" s="120"/>
      <c r="J126" s="120"/>
      <c r="K126" s="120">
        <f t="shared" si="30"/>
        <v>0</v>
      </c>
      <c r="L126" s="120">
        <f t="shared" si="31"/>
        <v>299054983</v>
      </c>
      <c r="M126" s="120">
        <f>P126+S126-345000</f>
        <v>4268</v>
      </c>
      <c r="N126" s="120">
        <f>100000000-30000000+345000-5000000</f>
        <v>65345000</v>
      </c>
      <c r="O126" s="120">
        <f t="shared" si="32"/>
        <v>65595749</v>
      </c>
      <c r="P126" s="120">
        <f t="shared" si="33"/>
        <v>349268</v>
      </c>
      <c r="Q126" s="357"/>
      <c r="R126" s="120"/>
      <c r="S126" s="120">
        <f t="shared" si="34"/>
        <v>0</v>
      </c>
      <c r="T126" s="120">
        <f t="shared" si="35"/>
        <v>345000</v>
      </c>
      <c r="U126" s="120">
        <f t="shared" si="36"/>
        <v>65000000</v>
      </c>
      <c r="V126" s="120">
        <f t="shared" si="37"/>
        <v>52872606</v>
      </c>
      <c r="W126" s="120"/>
      <c r="X126" s="120"/>
      <c r="Y126" s="120"/>
      <c r="Z126" s="120"/>
      <c r="AA126" s="120">
        <f>2741672+3436847+5948875</f>
        <v>12127394</v>
      </c>
      <c r="AB126" s="221" t="s">
        <v>1372</v>
      </c>
      <c r="AC126" s="135">
        <v>810000</v>
      </c>
    </row>
    <row r="127" spans="1:51" ht="40.200000000000003" customHeight="1">
      <c r="A127" s="135">
        <f t="shared" si="28"/>
        <v>120</v>
      </c>
      <c r="B127" s="220">
        <v>1914</v>
      </c>
      <c r="C127" s="135" t="s">
        <v>114</v>
      </c>
      <c r="D127" s="120">
        <v>8100000</v>
      </c>
      <c r="E127" s="120">
        <v>8100000</v>
      </c>
      <c r="F127" s="120">
        <f t="shared" si="29"/>
        <v>0</v>
      </c>
      <c r="G127" s="120">
        <v>8100000</v>
      </c>
      <c r="H127" s="120">
        <v>7872635</v>
      </c>
      <c r="I127" s="120"/>
      <c r="J127" s="120"/>
      <c r="K127" s="120">
        <f t="shared" si="30"/>
        <v>0</v>
      </c>
      <c r="L127" s="120">
        <f t="shared" si="31"/>
        <v>7872635</v>
      </c>
      <c r="M127" s="120">
        <f>P127+S127-225000</f>
        <v>2365</v>
      </c>
      <c r="N127" s="120">
        <v>225000</v>
      </c>
      <c r="O127" s="120">
        <f t="shared" si="32"/>
        <v>0</v>
      </c>
      <c r="P127" s="120">
        <f t="shared" si="33"/>
        <v>227365</v>
      </c>
      <c r="Q127" s="357"/>
      <c r="R127" s="120"/>
      <c r="S127" s="120">
        <f t="shared" si="34"/>
        <v>0</v>
      </c>
      <c r="T127" s="120">
        <f t="shared" si="35"/>
        <v>225000</v>
      </c>
      <c r="U127" s="120">
        <f t="shared" si="36"/>
        <v>0</v>
      </c>
      <c r="V127" s="120">
        <f t="shared" si="37"/>
        <v>0</v>
      </c>
      <c r="W127" s="120"/>
      <c r="X127" s="120"/>
      <c r="Y127" s="120"/>
      <c r="Z127" s="120"/>
      <c r="AA127" s="135"/>
      <c r="AB127" s="278" t="s">
        <v>1326</v>
      </c>
      <c r="AC127" s="135">
        <v>810000</v>
      </c>
    </row>
    <row r="128" spans="1:51" ht="40.200000000000003" customHeight="1">
      <c r="A128" s="135">
        <f t="shared" si="28"/>
        <v>121</v>
      </c>
      <c r="B128" s="220">
        <v>1919</v>
      </c>
      <c r="C128" s="135" t="s">
        <v>104</v>
      </c>
      <c r="D128" s="120">
        <v>135100000</v>
      </c>
      <c r="E128" s="120">
        <v>135100000</v>
      </c>
      <c r="F128" s="120"/>
      <c r="G128" s="120">
        <v>72024834</v>
      </c>
      <c r="H128" s="120">
        <v>72015642</v>
      </c>
      <c r="I128" s="120"/>
      <c r="J128" s="120"/>
      <c r="K128" s="120">
        <f t="shared" si="30"/>
        <v>0</v>
      </c>
      <c r="L128" s="120">
        <f t="shared" si="31"/>
        <v>72015642</v>
      </c>
      <c r="M128" s="120">
        <f t="shared" ref="M128" si="38">P128+S128</f>
        <v>9192</v>
      </c>
      <c r="N128" s="120">
        <f>13500000-5500000</f>
        <v>8000000</v>
      </c>
      <c r="O128" s="120">
        <f t="shared" si="32"/>
        <v>55075166</v>
      </c>
      <c r="P128" s="120">
        <f t="shared" si="33"/>
        <v>9192</v>
      </c>
      <c r="Q128" s="357"/>
      <c r="R128" s="120"/>
      <c r="S128" s="120">
        <f t="shared" si="34"/>
        <v>0</v>
      </c>
      <c r="T128" s="120">
        <f t="shared" si="35"/>
        <v>0</v>
      </c>
      <c r="U128" s="120">
        <f t="shared" si="36"/>
        <v>8000000</v>
      </c>
      <c r="V128" s="120">
        <f t="shared" si="37"/>
        <v>8000000</v>
      </c>
      <c r="W128" s="120"/>
      <c r="X128" s="120"/>
      <c r="Y128" s="120"/>
      <c r="Z128" s="120"/>
      <c r="AA128" s="135"/>
      <c r="AB128" s="135" t="s">
        <v>1459</v>
      </c>
      <c r="AC128" s="135">
        <v>742000</v>
      </c>
    </row>
    <row r="129" spans="1:51" ht="40.200000000000003" customHeight="1">
      <c r="A129" s="135">
        <f t="shared" si="28"/>
        <v>122</v>
      </c>
      <c r="B129" s="220">
        <v>1960</v>
      </c>
      <c r="C129" s="135" t="s">
        <v>265</v>
      </c>
      <c r="D129" s="120">
        <f>24710000-3230000</f>
        <v>21480000</v>
      </c>
      <c r="E129" s="120">
        <v>24710000</v>
      </c>
      <c r="F129" s="120">
        <f t="shared" si="29"/>
        <v>-3230000</v>
      </c>
      <c r="G129" s="120">
        <v>22421744</v>
      </c>
      <c r="H129" s="120">
        <v>20975550</v>
      </c>
      <c r="I129" s="120"/>
      <c r="J129" s="120"/>
      <c r="K129" s="120">
        <f t="shared" si="30"/>
        <v>0</v>
      </c>
      <c r="L129" s="120">
        <f t="shared" si="31"/>
        <v>20975550</v>
      </c>
      <c r="M129" s="120">
        <f>P129+S129-3730000</f>
        <v>4450</v>
      </c>
      <c r="N129" s="120">
        <v>500000</v>
      </c>
      <c r="O129" s="120">
        <f t="shared" si="32"/>
        <v>0</v>
      </c>
      <c r="P129" s="120">
        <f t="shared" si="33"/>
        <v>1446194</v>
      </c>
      <c r="Q129" s="357">
        <v>2288256</v>
      </c>
      <c r="R129" s="120"/>
      <c r="S129" s="120">
        <f t="shared" si="34"/>
        <v>2288256</v>
      </c>
      <c r="T129" s="120">
        <f t="shared" si="35"/>
        <v>3730000</v>
      </c>
      <c r="U129" s="120">
        <f t="shared" si="36"/>
        <v>-3230000</v>
      </c>
      <c r="V129" s="120">
        <f t="shared" si="37"/>
        <v>-3352590</v>
      </c>
      <c r="W129" s="120"/>
      <c r="X129" s="120"/>
      <c r="Y129" s="120"/>
      <c r="Z129" s="120"/>
      <c r="AA129" s="120">
        <f>2846661-2724071</f>
        <v>122590</v>
      </c>
      <c r="AB129" s="221" t="s">
        <v>1418</v>
      </c>
      <c r="AC129" s="135">
        <v>810000</v>
      </c>
    </row>
    <row r="130" spans="1:51" ht="40.200000000000003" customHeight="1">
      <c r="A130" s="135">
        <f t="shared" si="28"/>
        <v>123</v>
      </c>
      <c r="B130" s="220">
        <v>1962</v>
      </c>
      <c r="C130" s="135" t="s">
        <v>122</v>
      </c>
      <c r="D130" s="120">
        <v>20000000</v>
      </c>
      <c r="E130" s="120">
        <v>20000000</v>
      </c>
      <c r="F130" s="120">
        <f t="shared" si="29"/>
        <v>0</v>
      </c>
      <c r="G130" s="120">
        <v>100000</v>
      </c>
      <c r="H130" s="120"/>
      <c r="I130" s="120"/>
      <c r="J130" s="120"/>
      <c r="K130" s="120">
        <f t="shared" si="30"/>
        <v>0</v>
      </c>
      <c r="L130" s="120">
        <f t="shared" si="31"/>
        <v>0</v>
      </c>
      <c r="M130" s="120">
        <f>P130+S130-100000</f>
        <v>0</v>
      </c>
      <c r="N130" s="120">
        <v>100000</v>
      </c>
      <c r="O130" s="120">
        <f t="shared" si="32"/>
        <v>19900000</v>
      </c>
      <c r="P130" s="120">
        <f t="shared" si="33"/>
        <v>100000</v>
      </c>
      <c r="Q130" s="357"/>
      <c r="R130" s="120"/>
      <c r="S130" s="120">
        <f t="shared" si="34"/>
        <v>0</v>
      </c>
      <c r="T130" s="120">
        <f t="shared" si="35"/>
        <v>100000</v>
      </c>
      <c r="U130" s="120">
        <f t="shared" si="36"/>
        <v>0</v>
      </c>
      <c r="V130" s="120">
        <f t="shared" si="37"/>
        <v>0</v>
      </c>
      <c r="W130" s="120"/>
      <c r="X130" s="120"/>
      <c r="Y130" s="120"/>
      <c r="Z130" s="120"/>
      <c r="AA130" s="135"/>
      <c r="AB130" s="221" t="s">
        <v>475</v>
      </c>
      <c r="AC130" s="135">
        <v>742000</v>
      </c>
    </row>
    <row r="131" spans="1:51" ht="40.200000000000003" customHeight="1">
      <c r="A131" s="135">
        <f t="shared" si="28"/>
        <v>124</v>
      </c>
      <c r="B131" s="135">
        <v>1965</v>
      </c>
      <c r="C131" s="135" t="s">
        <v>266</v>
      </c>
      <c r="D131" s="120">
        <f>97500000-8500000-2000000</f>
        <v>87000000</v>
      </c>
      <c r="E131" s="120">
        <v>35000000</v>
      </c>
      <c r="F131" s="120">
        <f t="shared" si="29"/>
        <v>52000000</v>
      </c>
      <c r="G131" s="120">
        <v>2100000</v>
      </c>
      <c r="H131" s="120">
        <v>2066817</v>
      </c>
      <c r="I131" s="120"/>
      <c r="J131" s="120"/>
      <c r="K131" s="120">
        <f t="shared" si="30"/>
        <v>0</v>
      </c>
      <c r="L131" s="120">
        <f t="shared" si="31"/>
        <v>2066817</v>
      </c>
      <c r="M131" s="120">
        <f>P131+S131-30000</f>
        <v>3183</v>
      </c>
      <c r="N131" s="120">
        <f>60000000-40000000+30000-2000000</f>
        <v>18030000</v>
      </c>
      <c r="O131" s="120">
        <f t="shared" si="32"/>
        <v>66900000</v>
      </c>
      <c r="P131" s="120">
        <f t="shared" si="33"/>
        <v>33183</v>
      </c>
      <c r="Q131" s="357"/>
      <c r="R131" s="120"/>
      <c r="S131" s="120">
        <f t="shared" si="34"/>
        <v>0</v>
      </c>
      <c r="T131" s="120">
        <f t="shared" si="35"/>
        <v>30000</v>
      </c>
      <c r="U131" s="120">
        <f t="shared" si="36"/>
        <v>18000000</v>
      </c>
      <c r="V131" s="120">
        <f t="shared" si="37"/>
        <v>6751594</v>
      </c>
      <c r="W131" s="120"/>
      <c r="X131" s="120"/>
      <c r="Y131" s="120"/>
      <c r="Z131" s="120"/>
      <c r="AA131" s="120">
        <f>9696902+1551504</f>
        <v>11248406</v>
      </c>
      <c r="AB131" s="278" t="s">
        <v>1514</v>
      </c>
      <c r="AC131" s="135">
        <v>810000</v>
      </c>
    </row>
    <row r="132" spans="1:51" s="223" customFormat="1" ht="40.200000000000003" customHeight="1">
      <c r="A132" s="219">
        <f>COUNT(A120:A131)</f>
        <v>12</v>
      </c>
      <c r="B132" s="222"/>
      <c r="C132" s="137" t="s">
        <v>267</v>
      </c>
      <c r="D132" s="138">
        <f t="shared" ref="D132:AB132" si="39">SUM(D120:D131)</f>
        <v>1179535887</v>
      </c>
      <c r="E132" s="138">
        <f t="shared" si="39"/>
        <v>1131066736</v>
      </c>
      <c r="F132" s="138">
        <f t="shared" si="39"/>
        <v>48469151</v>
      </c>
      <c r="G132" s="138">
        <f t="shared" si="39"/>
        <v>825953350</v>
      </c>
      <c r="H132" s="138">
        <f t="shared" si="39"/>
        <v>823344742</v>
      </c>
      <c r="I132" s="138">
        <f t="shared" si="39"/>
        <v>0</v>
      </c>
      <c r="J132" s="138">
        <f t="shared" si="39"/>
        <v>0</v>
      </c>
      <c r="K132" s="138">
        <f t="shared" si="39"/>
        <v>0</v>
      </c>
      <c r="L132" s="138">
        <f t="shared" si="39"/>
        <v>823344742</v>
      </c>
      <c r="M132" s="138">
        <f t="shared" si="39"/>
        <v>60015</v>
      </c>
      <c r="N132" s="138">
        <f t="shared" si="39"/>
        <v>120535215</v>
      </c>
      <c r="O132" s="138">
        <f t="shared" si="39"/>
        <v>235595915</v>
      </c>
      <c r="P132" s="138">
        <f t="shared" si="39"/>
        <v>2608608</v>
      </c>
      <c r="Q132" s="138">
        <f t="shared" si="39"/>
        <v>13288256</v>
      </c>
      <c r="R132" s="138">
        <f t="shared" si="39"/>
        <v>0</v>
      </c>
      <c r="S132" s="138">
        <f t="shared" si="39"/>
        <v>13288256</v>
      </c>
      <c r="T132" s="138">
        <f t="shared" si="39"/>
        <v>15836849</v>
      </c>
      <c r="U132" s="138">
        <f t="shared" si="39"/>
        <v>104698366</v>
      </c>
      <c r="V132" s="138">
        <f t="shared" si="39"/>
        <v>70492870</v>
      </c>
      <c r="W132" s="138">
        <f t="shared" si="39"/>
        <v>0</v>
      </c>
      <c r="X132" s="138">
        <f t="shared" si="39"/>
        <v>0</v>
      </c>
      <c r="Y132" s="138">
        <f t="shared" si="39"/>
        <v>0</v>
      </c>
      <c r="Z132" s="138">
        <f t="shared" si="39"/>
        <v>0</v>
      </c>
      <c r="AA132" s="138">
        <f t="shared" si="39"/>
        <v>34205496</v>
      </c>
      <c r="AB132" s="138">
        <f t="shared" si="39"/>
        <v>0</v>
      </c>
      <c r="AC132" s="138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217"/>
      <c r="AW132" s="217"/>
      <c r="AX132" s="217"/>
    </row>
    <row r="133" spans="1:51" s="288" customFormat="1" ht="40.200000000000003" customHeight="1">
      <c r="A133" s="246">
        <f>A131</f>
        <v>124</v>
      </c>
      <c r="B133" s="246"/>
      <c r="C133" s="20" t="s">
        <v>435</v>
      </c>
      <c r="D133" s="287">
        <f t="shared" ref="D133:AC133" si="40">D132+D117</f>
        <v>3899445537</v>
      </c>
      <c r="E133" s="287">
        <f t="shared" si="40"/>
        <v>3502520292</v>
      </c>
      <c r="F133" s="287">
        <f t="shared" si="40"/>
        <v>396925245</v>
      </c>
      <c r="G133" s="287">
        <f t="shared" si="40"/>
        <v>1854025664</v>
      </c>
      <c r="H133" s="287">
        <f t="shared" si="40"/>
        <v>1826049527</v>
      </c>
      <c r="I133" s="287">
        <f t="shared" si="40"/>
        <v>449944</v>
      </c>
      <c r="J133" s="287">
        <f t="shared" si="40"/>
        <v>1996222</v>
      </c>
      <c r="K133" s="287">
        <f t="shared" si="40"/>
        <v>2446166</v>
      </c>
      <c r="L133" s="287">
        <f t="shared" si="40"/>
        <v>1828495693</v>
      </c>
      <c r="M133" s="287">
        <f t="shared" si="40"/>
        <v>677795</v>
      </c>
      <c r="N133" s="287">
        <f t="shared" si="40"/>
        <v>485183155</v>
      </c>
      <c r="O133" s="287">
        <f t="shared" si="40"/>
        <v>1585088894</v>
      </c>
      <c r="P133" s="287">
        <f t="shared" si="40"/>
        <v>25529971</v>
      </c>
      <c r="Q133" s="287">
        <f t="shared" si="40"/>
        <v>97530155</v>
      </c>
      <c r="R133" s="287">
        <f t="shared" si="40"/>
        <v>7500000</v>
      </c>
      <c r="S133" s="287">
        <f t="shared" si="40"/>
        <v>105030155</v>
      </c>
      <c r="T133" s="287">
        <f t="shared" si="40"/>
        <v>129882331</v>
      </c>
      <c r="U133" s="287">
        <f t="shared" si="40"/>
        <v>355300824</v>
      </c>
      <c r="V133" s="287">
        <f t="shared" si="40"/>
        <v>240768931</v>
      </c>
      <c r="W133" s="287">
        <f t="shared" si="40"/>
        <v>2216408</v>
      </c>
      <c r="X133" s="287">
        <f t="shared" si="40"/>
        <v>0</v>
      </c>
      <c r="Y133" s="287">
        <f t="shared" si="40"/>
        <v>16236186</v>
      </c>
      <c r="Z133" s="287">
        <f t="shared" si="40"/>
        <v>0</v>
      </c>
      <c r="AA133" s="287">
        <f t="shared" si="40"/>
        <v>96079299</v>
      </c>
      <c r="AB133" s="287">
        <f t="shared" si="40"/>
        <v>0</v>
      </c>
      <c r="AC133" s="287">
        <f t="shared" si="40"/>
        <v>0</v>
      </c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217"/>
      <c r="AW133" s="217"/>
      <c r="AX133" s="217"/>
      <c r="AY133" s="358"/>
    </row>
    <row r="134" spans="1:51" hidden="1">
      <c r="D134" s="348">
        <f>SUM(L133:O133)</f>
        <v>3899445537</v>
      </c>
      <c r="F134" s="132">
        <f>D133-E133</f>
        <v>396925245</v>
      </c>
      <c r="L134" s="348">
        <f>H133+K133</f>
        <v>1828495693</v>
      </c>
      <c r="P134" s="348">
        <f>G133-L134</f>
        <v>25529971</v>
      </c>
      <c r="T134" s="348">
        <f>P134+S133-M133</f>
        <v>129882331</v>
      </c>
      <c r="U134" s="348">
        <f>N133-T134</f>
        <v>355300824</v>
      </c>
      <c r="V134" s="132"/>
      <c r="W134" s="132"/>
      <c r="X134" s="132"/>
      <c r="Y134" s="132"/>
      <c r="Z134" s="132"/>
      <c r="AA134" s="132"/>
    </row>
    <row r="135" spans="1:51" hidden="1">
      <c r="D135" s="348">
        <f>D133-D134</f>
        <v>0</v>
      </c>
      <c r="L135" s="348">
        <f>L133-L134</f>
        <v>0</v>
      </c>
      <c r="P135" s="348">
        <f>P133-P134</f>
        <v>0</v>
      </c>
      <c r="T135" s="348">
        <f>T133-T134</f>
        <v>0</v>
      </c>
      <c r="U135" s="348">
        <f>U133-U134</f>
        <v>0</v>
      </c>
      <c r="V135" s="132"/>
      <c r="W135" s="132"/>
      <c r="X135" s="132"/>
      <c r="Y135" s="132"/>
      <c r="Z135" s="132"/>
      <c r="AA135" s="132"/>
    </row>
    <row r="136" spans="1:51" hidden="1">
      <c r="U136" s="132"/>
      <c r="V136" s="132"/>
      <c r="W136" s="132"/>
      <c r="X136" s="132"/>
      <c r="Y136" s="132"/>
      <c r="Z136" s="132"/>
      <c r="AA136" s="132"/>
      <c r="AB136" s="132"/>
      <c r="AC136" s="132"/>
    </row>
    <row r="137" spans="1:51">
      <c r="U137" s="132"/>
      <c r="V137" s="132"/>
      <c r="W137" s="132"/>
      <c r="X137" s="132"/>
      <c r="Y137" s="132"/>
      <c r="Z137" s="132"/>
      <c r="AA137" s="132"/>
      <c r="AB137" s="132"/>
      <c r="AC137" s="132"/>
    </row>
    <row r="138" spans="1:51">
      <c r="U138" s="132"/>
      <c r="V138" s="132"/>
      <c r="W138" s="132"/>
      <c r="X138" s="132"/>
      <c r="Y138" s="132"/>
      <c r="Z138" s="132"/>
      <c r="AA138" s="132"/>
      <c r="AB138" s="132"/>
      <c r="AC138" s="132"/>
    </row>
    <row r="139" spans="1:51">
      <c r="U139" s="132"/>
      <c r="V139" s="132"/>
      <c r="W139" s="132"/>
      <c r="X139" s="132"/>
      <c r="Y139" s="132"/>
      <c r="Z139" s="132"/>
      <c r="AA139" s="132"/>
      <c r="AB139" s="132"/>
      <c r="AC139" s="132"/>
    </row>
    <row r="140" spans="1:51">
      <c r="U140" s="132"/>
      <c r="V140" s="132"/>
      <c r="W140" s="132"/>
      <c r="X140" s="132"/>
      <c r="Y140" s="132"/>
      <c r="Z140" s="132"/>
      <c r="AA140" s="132"/>
      <c r="AB140" s="132"/>
      <c r="AC140" s="132"/>
    </row>
    <row r="141" spans="1:51">
      <c r="AB141" s="131"/>
    </row>
    <row r="142" spans="1:51">
      <c r="AB142" s="131"/>
    </row>
    <row r="143" spans="1:51">
      <c r="AB143" s="131"/>
    </row>
    <row r="144" spans="1:51">
      <c r="AB144" s="131"/>
    </row>
    <row r="145" spans="28:28">
      <c r="AB145" s="131"/>
    </row>
    <row r="146" spans="28:28">
      <c r="AB146" s="131"/>
    </row>
    <row r="147" spans="28:28">
      <c r="AB147" s="131"/>
    </row>
    <row r="148" spans="28:28">
      <c r="AB148" s="131"/>
    </row>
    <row r="149" spans="28:28">
      <c r="AB149" s="131"/>
    </row>
    <row r="150" spans="28:28">
      <c r="AB150" s="131"/>
    </row>
    <row r="151" spans="28:28">
      <c r="AB151" s="131"/>
    </row>
    <row r="152" spans="28:28">
      <c r="AB152" s="131"/>
    </row>
    <row r="153" spans="28:28">
      <c r="AB153" s="131"/>
    </row>
    <row r="154" spans="28:28">
      <c r="AB154" s="131"/>
    </row>
    <row r="155" spans="28:28">
      <c r="AB155" s="131"/>
    </row>
    <row r="156" spans="28:28">
      <c r="AB156" s="131"/>
    </row>
    <row r="157" spans="28:28">
      <c r="AB157" s="131"/>
    </row>
    <row r="158" spans="28:28">
      <c r="AB158" s="131"/>
    </row>
  </sheetData>
  <sheetProtection formatCells="0" formatColumns="0" formatRows="0" insertColumns="0" insertRows="0" insertHyperlinks="0" deleteColumns="0" deleteRows="0" sort="0" autoFilter="0" pivotTables="0"/>
  <conditionalFormatting sqref="O18">
    <cfRule type="cellIs" dxfId="442" priority="13" operator="lessThan">
      <formula>0</formula>
    </cfRule>
  </conditionalFormatting>
  <conditionalFormatting sqref="O74">
    <cfRule type="cellIs" dxfId="441" priority="12" operator="lessThan">
      <formula>0</formula>
    </cfRule>
  </conditionalFormatting>
  <conditionalFormatting sqref="O90">
    <cfRule type="cellIs" dxfId="440" priority="11" operator="lessThan">
      <formula>0</formula>
    </cfRule>
  </conditionalFormatting>
  <conditionalFormatting sqref="AB4">
    <cfRule type="cellIs" dxfId="439" priority="30" operator="equal">
      <formula>0</formula>
    </cfRule>
  </conditionalFormatting>
  <conditionalFormatting sqref="AF4">
    <cfRule type="cellIs" dxfId="438" priority="5" operator="equal">
      <formula>0</formula>
    </cfRule>
  </conditionalFormatting>
  <conditionalFormatting sqref="AG4">
    <cfRule type="cellIs" dxfId="437" priority="4" operator="equal">
      <formula>0</formula>
    </cfRule>
  </conditionalFormatting>
  <conditionalFormatting sqref="AJ4">
    <cfRule type="cellIs" dxfId="436" priority="2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35"/>
  <sheetViews>
    <sheetView showZeros="0" rightToLeft="1" zoomScaleNormal="100" workbookViewId="0">
      <pane xSplit="3" ySplit="4" topLeftCell="D104" activePane="bottomRight" state="frozen"/>
      <selection activeCell="A104" sqref="A104:XFD104"/>
      <selection pane="topRight" activeCell="A104" sqref="A104:XFD104"/>
      <selection pane="bottomLeft" activeCell="A104" sqref="A104:XFD104"/>
      <selection pane="bottomRight" activeCell="C109" sqref="C109"/>
    </sheetView>
  </sheetViews>
  <sheetFormatPr defaultColWidth="9.109375" defaultRowHeight="13.8"/>
  <cols>
    <col min="1" max="1" width="3.6640625" style="131" customWidth="1"/>
    <col min="2" max="2" width="5.6640625" style="216" customWidth="1"/>
    <col min="3" max="3" width="15.6640625" style="139" customWidth="1"/>
    <col min="4" max="4" width="11.6640625" style="132" customWidth="1"/>
    <col min="5" max="5" width="12.6640625" style="132" hidden="1" customWidth="1"/>
    <col min="6" max="6" width="12.109375" style="132" hidden="1" customWidth="1"/>
    <col min="7" max="7" width="13" style="132" hidden="1" customWidth="1"/>
    <col min="8" max="8" width="14.33203125" style="132" hidden="1" customWidth="1"/>
    <col min="9" max="11" width="10.6640625" style="132" hidden="1" customWidth="1"/>
    <col min="12" max="12" width="11.6640625" style="132" customWidth="1"/>
    <col min="13" max="14" width="10.6640625" style="132" customWidth="1"/>
    <col min="15" max="15" width="11.6640625" style="132" customWidth="1"/>
    <col min="16" max="17" width="11.109375" style="132" hidden="1" customWidth="1"/>
    <col min="18" max="18" width="10.6640625" style="132" hidden="1" customWidth="1"/>
    <col min="19" max="19" width="13" style="132" hidden="1" customWidth="1"/>
    <col min="20" max="20" width="9.6640625" style="132" customWidth="1"/>
    <col min="21" max="22" width="10.6640625" style="131" customWidth="1"/>
    <col min="23" max="23" width="9.6640625" style="131" customWidth="1"/>
    <col min="24" max="24" width="10.6640625" style="131" hidden="1" customWidth="1"/>
    <col min="25" max="25" width="7.6640625" style="131" customWidth="1"/>
    <col min="26" max="26" width="8.33203125" style="131" hidden="1" customWidth="1"/>
    <col min="27" max="27" width="9.6640625" style="131" customWidth="1"/>
    <col min="28" max="28" width="32.6640625" style="234" customWidth="1"/>
    <col min="29" max="29" width="10.6640625" style="131" hidden="1" customWidth="1"/>
    <col min="30" max="32" width="23.6640625" style="134" customWidth="1"/>
    <col min="33" max="33" width="25.88671875" style="134" customWidth="1"/>
    <col min="34" max="34" width="23.6640625" style="134" customWidth="1"/>
    <col min="35" max="35" width="12.109375" style="134" customWidth="1"/>
    <col min="36" max="16384" width="9.109375" style="131"/>
  </cols>
  <sheetData>
    <row r="1" spans="1:35" s="141" customFormat="1" ht="18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215"/>
      <c r="AD1" s="134"/>
      <c r="AE1" s="134"/>
      <c r="AF1" s="134"/>
      <c r="AG1" s="134"/>
      <c r="AH1" s="134"/>
      <c r="AI1" s="134"/>
    </row>
    <row r="2" spans="1:35" ht="18">
      <c r="A2" s="154" t="s">
        <v>171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39"/>
    </row>
    <row r="3" spans="1:35">
      <c r="U3" s="132"/>
    </row>
    <row r="4" spans="1:35" s="217" customFormat="1" ht="69">
      <c r="A4" s="326" t="s">
        <v>623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296" t="s">
        <v>11</v>
      </c>
      <c r="M4" s="133" t="s">
        <v>707</v>
      </c>
      <c r="N4" s="133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" t="s">
        <v>13</v>
      </c>
      <c r="W4" s="1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356" t="s">
        <v>242</v>
      </c>
      <c r="AC4" s="133" t="s">
        <v>16</v>
      </c>
      <c r="AD4" s="134"/>
      <c r="AE4" s="134"/>
      <c r="AF4" s="134"/>
      <c r="AG4" s="134"/>
      <c r="AH4" s="134"/>
      <c r="AI4" s="134"/>
    </row>
    <row r="5" spans="1:35" s="134" customFormat="1" ht="45" customHeight="1">
      <c r="A5" s="135">
        <v>1</v>
      </c>
      <c r="B5" s="135">
        <f>'תקציב החברה לפיתוח 2024'!B5</f>
        <v>382</v>
      </c>
      <c r="C5" s="235" t="str">
        <f>'תקציב החברה לפיתוח 2024'!C5</f>
        <v xml:space="preserve">מערכת כבישים   באזור תעשייה מערבי </v>
      </c>
      <c r="D5" s="120">
        <f>'תקציב החברה לפיתוח 2024'!D5</f>
        <v>111381330</v>
      </c>
      <c r="E5" s="120">
        <f>'תקציב החברה לפיתוח 2024'!E5</f>
        <v>111381330</v>
      </c>
      <c r="F5" s="120">
        <f>'תקציב החברה לפיתוח 2024'!F5</f>
        <v>0</v>
      </c>
      <c r="G5" s="120">
        <f>'תקציב החברה לפיתוח 2024'!G5</f>
        <v>71381330</v>
      </c>
      <c r="H5" s="120">
        <f>'תקציב החברה לפיתוח 2024'!H5</f>
        <v>63822457</v>
      </c>
      <c r="I5" s="120">
        <f>'תקציב החברה לפיתוח 2024'!I5</f>
        <v>0</v>
      </c>
      <c r="J5" s="120">
        <f>'תקציב החברה לפיתוח 2024'!J5</f>
        <v>0</v>
      </c>
      <c r="K5" s="120">
        <f>'תקציב החברה לפיתוח 2024'!K5</f>
        <v>0</v>
      </c>
      <c r="L5" s="120">
        <f>'תקציב החברה לפיתוח 2024'!L5</f>
        <v>63822457</v>
      </c>
      <c r="M5" s="120">
        <f>'תקציב החברה לפיתוח 2024'!M5</f>
        <v>8873</v>
      </c>
      <c r="N5" s="120">
        <f>'תקציב החברה לפיתוח 2024'!N5</f>
        <v>13550000</v>
      </c>
      <c r="O5" s="120">
        <f>'תקציב החברה לפיתוח 2024'!O5</f>
        <v>34000000</v>
      </c>
      <c r="P5" s="120">
        <f>'תקציב החברה לפיתוח 2024'!P5</f>
        <v>7558873</v>
      </c>
      <c r="Q5" s="120">
        <f>'תקציב החברה לפיתוח 2024'!Q5</f>
        <v>6000000</v>
      </c>
      <c r="R5" s="120">
        <f>'תקציב החברה לפיתוח 2024'!R5</f>
        <v>0</v>
      </c>
      <c r="S5" s="120">
        <f>'תקציב החברה לפיתוח 2024'!S5</f>
        <v>6000000</v>
      </c>
      <c r="T5" s="120">
        <f>'תקציב החברה לפיתוח 2024'!T5</f>
        <v>13550000</v>
      </c>
      <c r="U5" s="120">
        <f>'תקציב החברה לפיתוח 2024'!U5</f>
        <v>0</v>
      </c>
      <c r="V5" s="120">
        <f>'תקציב החברה לפיתוח 2024'!V5</f>
        <v>-1200000</v>
      </c>
      <c r="W5" s="120">
        <f>'תקציב החברה לפיתוח 2024'!W5</f>
        <v>0</v>
      </c>
      <c r="X5" s="120">
        <f>'תקציב החברה לפיתוח 2024'!X5</f>
        <v>0</v>
      </c>
      <c r="Y5" s="120">
        <f>'תקציב החברה לפיתוח 2024'!Y5</f>
        <v>0</v>
      </c>
      <c r="Z5" s="120">
        <f>'תקציב החברה לפיתוח 2024'!Z5</f>
        <v>0</v>
      </c>
      <c r="AA5" s="120">
        <f>'תקציב החברה לפיתוח 2024'!AA5</f>
        <v>1200000</v>
      </c>
      <c r="AB5" s="235" t="str">
        <f>'תקציב החברה לפיתוח 2024'!AB5</f>
        <v xml:space="preserve">המשך ביצוע רח' משכית, ביצוע עבודות פיתוח רח' שנקר כולל ביצוע פיילוט עבודות הצללה. מימון מ. הגנת הסביבה. </v>
      </c>
      <c r="AC5" s="135">
        <v>742000</v>
      </c>
    </row>
    <row r="6" spans="1:35" s="136" customFormat="1" ht="45" customHeight="1">
      <c r="A6" s="135">
        <f t="shared" ref="A6:A37" si="0">A5+1</f>
        <v>2</v>
      </c>
      <c r="B6" s="135">
        <f>'תקציב החברה לפיתוח 2024'!B6</f>
        <v>532</v>
      </c>
      <c r="C6" s="235" t="str">
        <f>'תקציב החברה לפיתוח 2024'!C6</f>
        <v>פיתוח מתחם המסילה ודב הוז</v>
      </c>
      <c r="D6" s="120">
        <f>'תקציב החברה לפיתוח 2024'!D6</f>
        <v>80090000</v>
      </c>
      <c r="E6" s="120">
        <f>'תקציב החברה לפיתוח 2024'!E6</f>
        <v>80090000</v>
      </c>
      <c r="F6" s="120">
        <f>'תקציב החברה לפיתוח 2024'!F6</f>
        <v>0</v>
      </c>
      <c r="G6" s="120">
        <f>'תקציב החברה לפיתוח 2024'!G6</f>
        <v>80090000</v>
      </c>
      <c r="H6" s="120">
        <f>'תקציב החברה לפיתוח 2024'!H6</f>
        <v>79860343</v>
      </c>
      <c r="I6" s="120">
        <f>'תקציב החברה לפיתוח 2024'!I6</f>
        <v>0</v>
      </c>
      <c r="J6" s="120">
        <f>'תקציב החברה לפיתוח 2024'!J6</f>
        <v>0</v>
      </c>
      <c r="K6" s="120">
        <f>'תקציב החברה לפיתוח 2024'!K6</f>
        <v>0</v>
      </c>
      <c r="L6" s="120">
        <f>'תקציב החברה לפיתוח 2024'!L6</f>
        <v>79860343</v>
      </c>
      <c r="M6" s="120">
        <f>'תקציב החברה לפיתוח 2024'!M6</f>
        <v>9657</v>
      </c>
      <c r="N6" s="120">
        <f>'תקציב החברה לפיתוח 2024'!N6</f>
        <v>70000</v>
      </c>
      <c r="O6" s="120">
        <f>'תקציב החברה לפיתוח 2024'!O6</f>
        <v>150000</v>
      </c>
      <c r="P6" s="120">
        <f>'תקציב החברה לפיתוח 2024'!P6</f>
        <v>229657</v>
      </c>
      <c r="Q6" s="120">
        <f>'תקציב החברה לפיתוח 2024'!Q6</f>
        <v>0</v>
      </c>
      <c r="R6" s="120">
        <f>'תקציב החברה לפיתוח 2024'!R6</f>
        <v>0</v>
      </c>
      <c r="S6" s="120">
        <f>'תקציב החברה לפיתוח 2024'!S6</f>
        <v>0</v>
      </c>
      <c r="T6" s="120">
        <f>'תקציב החברה לפיתוח 2024'!T6</f>
        <v>220000</v>
      </c>
      <c r="U6" s="120">
        <f>'תקציב החברה לפיתוח 2024'!U6</f>
        <v>-150000</v>
      </c>
      <c r="V6" s="120">
        <f>'תקציב החברה לפיתוח 2024'!V6</f>
        <v>-150000</v>
      </c>
      <c r="W6" s="120">
        <f>'תקציב החברה לפיתוח 2024'!W6</f>
        <v>0</v>
      </c>
      <c r="X6" s="120">
        <f>'תקציב החברה לפיתוח 2024'!X6</f>
        <v>0</v>
      </c>
      <c r="Y6" s="120">
        <f>'תקציב החברה לפיתוח 2024'!Y6</f>
        <v>0</v>
      </c>
      <c r="Z6" s="120">
        <f>'תקציב החברה לפיתוח 2024'!Z6</f>
        <v>0</v>
      </c>
      <c r="AA6" s="120">
        <f>'תקציב החברה לפיתוח 2024'!AA6</f>
        <v>0</v>
      </c>
      <c r="AB6" s="235" t="str">
        <f>'תקציב החברה לפיתוח 2024'!AB6</f>
        <v>עבודות השלמת שצ"פים וגינת כלבים. חן סופיים. התב"ר לסגירה.</v>
      </c>
      <c r="AC6" s="135">
        <v>742000</v>
      </c>
      <c r="AD6" s="134"/>
      <c r="AE6" s="134"/>
      <c r="AF6" s="134"/>
      <c r="AG6" s="134"/>
      <c r="AH6" s="134"/>
      <c r="AI6" s="134"/>
    </row>
    <row r="7" spans="1:35" s="136" customFormat="1" ht="45" customHeight="1">
      <c r="A7" s="135">
        <f t="shared" si="0"/>
        <v>3</v>
      </c>
      <c r="B7" s="135">
        <f>'תקציב החברה לפיתוח 2024'!B7</f>
        <v>576</v>
      </c>
      <c r="C7" s="235" t="str">
        <f>'תקציב החברה לפיתוח 2024'!C7</f>
        <v>בית העלמין החדש</v>
      </c>
      <c r="D7" s="120">
        <f>'תקציב החברה לפיתוח 2024'!D7</f>
        <v>78113000</v>
      </c>
      <c r="E7" s="120">
        <f>'תקציב החברה לפיתוח 2024'!E7</f>
        <v>58113000</v>
      </c>
      <c r="F7" s="120">
        <f>'תקציב החברה לפיתוח 2024'!F7</f>
        <v>20000000</v>
      </c>
      <c r="G7" s="120">
        <f>'תקציב החברה לפיתוח 2024'!G7</f>
        <v>58113000</v>
      </c>
      <c r="H7" s="120">
        <f>'תקציב החברה לפיתוח 2024'!H7</f>
        <v>57720940</v>
      </c>
      <c r="I7" s="120">
        <f>'תקציב החברה לפיתוח 2024'!I7</f>
        <v>0</v>
      </c>
      <c r="J7" s="120">
        <f>'תקציב החברה לפיתוח 2024'!J7</f>
        <v>0</v>
      </c>
      <c r="K7" s="120">
        <f>'תקציב החברה לפיתוח 2024'!K7</f>
        <v>0</v>
      </c>
      <c r="L7" s="120">
        <f>'תקציב החברה לפיתוח 2024'!L7</f>
        <v>57720940</v>
      </c>
      <c r="M7" s="120">
        <f>'תקציב החברה לפיתוח 2024'!M7</f>
        <v>2060</v>
      </c>
      <c r="N7" s="120">
        <f>'תקציב החברה לפיתוח 2024'!N7</f>
        <v>390000</v>
      </c>
      <c r="O7" s="120">
        <f>'תקציב החברה לפיתוח 2024'!O7</f>
        <v>20000000</v>
      </c>
      <c r="P7" s="120">
        <f>'תקציב החברה לפיתוח 2024'!P7</f>
        <v>392060</v>
      </c>
      <c r="Q7" s="120">
        <f>'תקציב החברה לפיתוח 2024'!Q7</f>
        <v>0</v>
      </c>
      <c r="R7" s="120">
        <f>'תקציב החברה לפיתוח 2024'!R7</f>
        <v>0</v>
      </c>
      <c r="S7" s="120">
        <f>'תקציב החברה לפיתוח 2024'!S7</f>
        <v>0</v>
      </c>
      <c r="T7" s="120">
        <f>'תקציב החברה לפיתוח 2024'!T7</f>
        <v>390000</v>
      </c>
      <c r="U7" s="120">
        <f>'תקציב החברה לפיתוח 2024'!U7</f>
        <v>0</v>
      </c>
      <c r="V7" s="120">
        <f>'תקציב החברה לפיתוח 2024'!V7</f>
        <v>0</v>
      </c>
      <c r="W7" s="120">
        <f>'תקציב החברה לפיתוח 2024'!W7</f>
        <v>0</v>
      </c>
      <c r="X7" s="120">
        <f>'תקציב החברה לפיתוח 2024'!X7</f>
        <v>0</v>
      </c>
      <c r="Y7" s="120">
        <f>'תקציב החברה לפיתוח 2024'!Y7</f>
        <v>0</v>
      </c>
      <c r="Z7" s="120">
        <f>'תקציב החברה לפיתוח 2024'!Z7</f>
        <v>0</v>
      </c>
      <c r="AA7" s="120">
        <f>'תקציב החברה לפיתוח 2024'!AA7</f>
        <v>0</v>
      </c>
      <c r="AB7" s="235" t="str">
        <f>'תקציב החברה לפיתוח 2024'!AB7</f>
        <v>עבודות הרחבת והכשרת חלקות נוספות חצרות 6+7 בבית העלמין החדש. מימון תאגיד הקבורה.</v>
      </c>
      <c r="AC7" s="135">
        <v>760000</v>
      </c>
      <c r="AD7" s="134"/>
      <c r="AE7" s="134"/>
      <c r="AF7" s="134"/>
      <c r="AG7" s="134"/>
      <c r="AH7" s="134"/>
      <c r="AI7" s="134"/>
    </row>
    <row r="8" spans="1:35" s="134" customFormat="1" ht="45" customHeight="1">
      <c r="A8" s="135">
        <f t="shared" si="0"/>
        <v>4</v>
      </c>
      <c r="B8" s="135">
        <f>'תקציב החברה לפיתוח 2024'!B8</f>
        <v>1067</v>
      </c>
      <c r="C8" s="235" t="str">
        <f>'תקציב החברה לפיתוח 2024'!C8</f>
        <v>עבודות פיתוח קטנות</v>
      </c>
      <c r="D8" s="120">
        <f>'תקציב החברה לפיתוח 2024'!D8</f>
        <v>5475000</v>
      </c>
      <c r="E8" s="120">
        <f>'תקציב החברה לפיתוח 2024'!E8</f>
        <v>4975000</v>
      </c>
      <c r="F8" s="120">
        <f>'תקציב החברה לפיתוח 2024'!F8</f>
        <v>500000</v>
      </c>
      <c r="G8" s="120">
        <f>'תקציב החברה לפיתוח 2024'!G8</f>
        <v>4475000</v>
      </c>
      <c r="H8" s="120">
        <f>'תקציב החברה לפיתוח 2024'!H8</f>
        <v>4513801</v>
      </c>
      <c r="I8" s="120">
        <f>'תקציב החברה לפיתוח 2024'!I8</f>
        <v>0</v>
      </c>
      <c r="J8" s="120">
        <f>'תקציב החברה לפיתוח 2024'!J8</f>
        <v>0</v>
      </c>
      <c r="K8" s="120">
        <f>'תקציב החברה לפיתוח 2024'!K8</f>
        <v>0</v>
      </c>
      <c r="L8" s="120">
        <f>'תקציב החברה לפיתוח 2024'!L8</f>
        <v>4513801</v>
      </c>
      <c r="M8" s="120">
        <f>'תקציב החברה לפיתוח 2024'!M8</f>
        <v>1199</v>
      </c>
      <c r="N8" s="120">
        <f>'תקציב החברה לפיתוח 2024'!N8</f>
        <v>660000</v>
      </c>
      <c r="O8" s="120">
        <f>'תקציב החברה לפיתוח 2024'!O8</f>
        <v>300000</v>
      </c>
      <c r="P8" s="120">
        <f>'תקציב החברה לפיתוח 2024'!P8</f>
        <v>-38801</v>
      </c>
      <c r="Q8" s="120">
        <f>'תקציב החברה לפיתוח 2024'!Q8</f>
        <v>500000</v>
      </c>
      <c r="R8" s="120">
        <f>'תקציב החברה לפיתוח 2024'!R8</f>
        <v>0</v>
      </c>
      <c r="S8" s="120">
        <f>'תקציב החברה לפיתוח 2024'!S8</f>
        <v>500000</v>
      </c>
      <c r="T8" s="120">
        <f>'תקציב החברה לפיתוח 2024'!T8</f>
        <v>460000</v>
      </c>
      <c r="U8" s="120">
        <f>'תקציב החברה לפיתוח 2024'!U8</f>
        <v>200000</v>
      </c>
      <c r="V8" s="120">
        <f>'תקציב החברה לפיתוח 2024'!V8</f>
        <v>200000</v>
      </c>
      <c r="W8" s="120">
        <f>'תקציב החברה לפיתוח 2024'!W8</f>
        <v>0</v>
      </c>
      <c r="X8" s="120">
        <f>'תקציב החברה לפיתוח 2024'!X8</f>
        <v>0</v>
      </c>
      <c r="Y8" s="120">
        <f>'תקציב החברה לפיתוח 2024'!Y8</f>
        <v>0</v>
      </c>
      <c r="Z8" s="120">
        <f>'תקציב החברה לפיתוח 2024'!Z8</f>
        <v>0</v>
      </c>
      <c r="AA8" s="120">
        <f>'תקציב החברה לפיתוח 2024'!AA8</f>
        <v>0</v>
      </c>
      <c r="AB8" s="235" t="str">
        <f>'תקציב החברה לפיתוח 2024'!AB8</f>
        <v>סל עבודות קטנות עפ"י דרישה.</v>
      </c>
      <c r="AC8" s="135">
        <v>742000</v>
      </c>
    </row>
    <row r="9" spans="1:35" s="136" customFormat="1" ht="45" customHeight="1">
      <c r="A9" s="135">
        <f t="shared" si="0"/>
        <v>5</v>
      </c>
      <c r="B9" s="135">
        <f>'תקציב החברה לפיתוח 2024'!B9</f>
        <v>1207</v>
      </c>
      <c r="C9" s="235" t="str">
        <f>'תקציב החברה לפיתוח 2024'!C9</f>
        <v>מתחם זרובבל</v>
      </c>
      <c r="D9" s="120">
        <f>'תקציב החברה לפיתוח 2024'!D9</f>
        <v>45650000</v>
      </c>
      <c r="E9" s="120">
        <f>'תקציב החברה לפיתוח 2024'!E9</f>
        <v>45650000</v>
      </c>
      <c r="F9" s="120">
        <f>'תקציב החברה לפיתוח 2024'!F9</f>
        <v>0</v>
      </c>
      <c r="G9" s="120">
        <f>'תקציב החברה לפיתוח 2024'!G9</f>
        <v>44770000</v>
      </c>
      <c r="H9" s="120">
        <f>'תקציב החברה לפיתוח 2024'!H9</f>
        <v>43349903</v>
      </c>
      <c r="I9" s="120">
        <f>'תקציב החברה לפיתוח 2024'!I9</f>
        <v>0</v>
      </c>
      <c r="J9" s="120">
        <f>'תקציב החברה לפיתוח 2024'!J9</f>
        <v>0</v>
      </c>
      <c r="K9" s="120">
        <f>'תקציב החברה לפיתוח 2024'!K9</f>
        <v>0</v>
      </c>
      <c r="L9" s="120">
        <f>'תקציב החברה לפיתוח 2024'!L9</f>
        <v>43349903</v>
      </c>
      <c r="M9" s="120">
        <f>'תקציב החברה לפיתוח 2024'!M9</f>
        <v>20097</v>
      </c>
      <c r="N9" s="120">
        <f>'תקציב החברה לפיתוח 2024'!N9</f>
        <v>0</v>
      </c>
      <c r="O9" s="120">
        <f>'תקציב החברה לפיתוח 2024'!O9</f>
        <v>2280000</v>
      </c>
      <c r="P9" s="120">
        <f>'תקציב החברה לפיתוח 2024'!P9</f>
        <v>1420097</v>
      </c>
      <c r="Q9" s="120">
        <f>'תקציב החברה לפיתוח 2024'!Q9</f>
        <v>0</v>
      </c>
      <c r="R9" s="120">
        <f>'תקציב החברה לפיתוח 2024'!R9</f>
        <v>0</v>
      </c>
      <c r="S9" s="120">
        <f>'תקציב החברה לפיתוח 2024'!S9</f>
        <v>0</v>
      </c>
      <c r="T9" s="120">
        <f>'תקציב החברה לפיתוח 2024'!T9</f>
        <v>1400000</v>
      </c>
      <c r="U9" s="120">
        <f>'תקציב החברה לפיתוח 2024'!U9</f>
        <v>-1400000</v>
      </c>
      <c r="V9" s="120">
        <f>'תקציב החברה לפיתוח 2024'!V9</f>
        <v>-1400000</v>
      </c>
      <c r="W9" s="120">
        <f>'תקציב החברה לפיתוח 2024'!W9</f>
        <v>0</v>
      </c>
      <c r="X9" s="120">
        <f>'תקציב החברה לפיתוח 2024'!X9</f>
        <v>0</v>
      </c>
      <c r="Y9" s="120">
        <f>'תקציב החברה לפיתוח 2024'!Y9</f>
        <v>0</v>
      </c>
      <c r="Z9" s="120">
        <f>'תקציב החברה לפיתוח 2024'!Z9</f>
        <v>0</v>
      </c>
      <c r="AA9" s="120">
        <f>'תקציב החברה לפיתוח 2024'!AA9</f>
        <v>0</v>
      </c>
      <c r="AB9" s="235" t="str">
        <f>'תקציב החברה לפיתוח 2024'!AB9</f>
        <v xml:space="preserve">המשך עבודות פיתוח במתחם. פיתוח השצ"פ. </v>
      </c>
      <c r="AC9" s="135">
        <v>742000</v>
      </c>
      <c r="AD9" s="134"/>
      <c r="AE9" s="134"/>
      <c r="AF9" s="134"/>
      <c r="AG9" s="134"/>
      <c r="AH9" s="134"/>
      <c r="AI9" s="134"/>
    </row>
    <row r="10" spans="1:35" s="136" customFormat="1" ht="45" customHeight="1">
      <c r="A10" s="135">
        <f t="shared" si="0"/>
        <v>6</v>
      </c>
      <c r="B10" s="135">
        <f>'תקציב החברה לפיתוח 2024'!B10</f>
        <v>1238</v>
      </c>
      <c r="C10" s="235" t="str">
        <f>'תקציב החברה לפיתוח 2024'!C10</f>
        <v xml:space="preserve">פיתוח   פארק רבין </v>
      </c>
      <c r="D10" s="120">
        <f>'תקציב החברה לפיתוח 2024'!D10</f>
        <v>40500000</v>
      </c>
      <c r="E10" s="120">
        <f>'תקציב החברה לפיתוח 2024'!E10</f>
        <v>40500000</v>
      </c>
      <c r="F10" s="120">
        <f>'תקציב החברה לפיתוח 2024'!F10</f>
        <v>0</v>
      </c>
      <c r="G10" s="120">
        <f>'תקציב החברה לפיתוח 2024'!G10</f>
        <v>26000000</v>
      </c>
      <c r="H10" s="120">
        <f>'תקציב החברה לפיתוח 2024'!H10</f>
        <v>26038535</v>
      </c>
      <c r="I10" s="120">
        <f>'תקציב החברה לפיתוח 2024'!I10</f>
        <v>0</v>
      </c>
      <c r="J10" s="120">
        <f>'תקציב החברה לפיתוח 2024'!J10</f>
        <v>0</v>
      </c>
      <c r="K10" s="120">
        <f>'תקציב החברה לפיתוח 2024'!K10</f>
        <v>0</v>
      </c>
      <c r="L10" s="120">
        <f>'תקציב החברה לפיתוח 2024'!L10</f>
        <v>26038535</v>
      </c>
      <c r="M10" s="120">
        <f>'תקציב החברה לפיתוח 2024'!M10</f>
        <v>1465</v>
      </c>
      <c r="N10" s="120">
        <f>'תקציב החברה לפיתוח 2024'!N10</f>
        <v>6960000</v>
      </c>
      <c r="O10" s="120">
        <f>'תקציב החברה לפיתוח 2024'!O10</f>
        <v>7500000</v>
      </c>
      <c r="P10" s="120">
        <f>'תקציב החברה לפיתוח 2024'!P10</f>
        <v>-38535</v>
      </c>
      <c r="Q10" s="120">
        <f>'תקציב החברה לפיתוח 2024'!Q10</f>
        <v>2000000</v>
      </c>
      <c r="R10" s="120">
        <f>'תקציב החברה לפיתוח 2024'!R10</f>
        <v>0</v>
      </c>
      <c r="S10" s="120">
        <f>'תקציב החברה לפיתוח 2024'!S10</f>
        <v>2000000</v>
      </c>
      <c r="T10" s="120">
        <f>'תקציב החברה לפיתוח 2024'!T10</f>
        <v>1960000</v>
      </c>
      <c r="U10" s="120">
        <f>'תקציב החברה לפיתוח 2024'!U10</f>
        <v>5000000</v>
      </c>
      <c r="V10" s="120">
        <f>'תקציב החברה לפיתוח 2024'!V10</f>
        <v>500000</v>
      </c>
      <c r="W10" s="120">
        <f>'תקציב החברה לפיתוח 2024'!W10</f>
        <v>0</v>
      </c>
      <c r="X10" s="120">
        <f>'תקציב החברה לפיתוח 2024'!X10</f>
        <v>0</v>
      </c>
      <c r="Y10" s="120">
        <f>'תקציב החברה לפיתוח 2024'!Y10</f>
        <v>0</v>
      </c>
      <c r="Z10" s="120">
        <f>'תקציב החברה לפיתוח 2024'!Z10</f>
        <v>0</v>
      </c>
      <c r="AA10" s="120">
        <f>'תקציב החברה לפיתוח 2024'!AA10</f>
        <v>4500000</v>
      </c>
      <c r="AB10" s="235" t="str">
        <f>'תקציב החברה לפיתוח 2024'!AB10</f>
        <v>השלמת ביצוע פארק רבין צפון. מימון רמ"י ( שצ"פים מכרז "בית קורקס" , "גליל ים ג'")</v>
      </c>
      <c r="AC10" s="135">
        <v>742000</v>
      </c>
      <c r="AD10" s="134"/>
      <c r="AE10" s="134"/>
      <c r="AF10" s="134"/>
      <c r="AG10" s="134"/>
      <c r="AH10" s="134"/>
      <c r="AI10" s="134"/>
    </row>
    <row r="11" spans="1:35" s="136" customFormat="1" ht="45" customHeight="1">
      <c r="A11" s="135">
        <f t="shared" si="0"/>
        <v>7</v>
      </c>
      <c r="B11" s="135">
        <f>'תקציב החברה לפיתוח 2024'!B11</f>
        <v>1298</v>
      </c>
      <c r="C11" s="235" t="str">
        <f>'תקציב החברה לפיתוח 2024'!C11</f>
        <v>תכנונים כלליים</v>
      </c>
      <c r="D11" s="120">
        <f>'תקציב החברה לפיתוח 2024'!D11</f>
        <v>6600000</v>
      </c>
      <c r="E11" s="120">
        <f>'תקציב החברה לפיתוח 2024'!E11</f>
        <v>6100000</v>
      </c>
      <c r="F11" s="120">
        <f>'תקציב החברה לפיתוח 2024'!F11</f>
        <v>500000</v>
      </c>
      <c r="G11" s="120">
        <f>'תקציב החברה לפיתוח 2024'!G11</f>
        <v>5800000</v>
      </c>
      <c r="H11" s="120">
        <f>'תקציב החברה לפיתוח 2024'!H11</f>
        <v>5766092</v>
      </c>
      <c r="I11" s="120">
        <f>'תקציב החברה לפיתוח 2024'!I11</f>
        <v>0</v>
      </c>
      <c r="J11" s="120">
        <f>'תקציב החברה לפיתוח 2024'!J11</f>
        <v>0</v>
      </c>
      <c r="K11" s="120">
        <f>'תקציב החברה לפיתוח 2024'!K11</f>
        <v>0</v>
      </c>
      <c r="L11" s="120">
        <f>'תקציב החברה לפיתוח 2024'!L11</f>
        <v>5766092</v>
      </c>
      <c r="M11" s="120">
        <f>'תקציב החברה לפיתוח 2024'!M11</f>
        <v>3908</v>
      </c>
      <c r="N11" s="120">
        <f>'תקציב החברה לפיתוח 2024'!N11</f>
        <v>600000</v>
      </c>
      <c r="O11" s="120">
        <f>'תקציב החברה לפיתוח 2024'!O11</f>
        <v>230000</v>
      </c>
      <c r="P11" s="120">
        <f>'תקציב החברה לפיתוח 2024'!P11</f>
        <v>33908</v>
      </c>
      <c r="Q11" s="120">
        <f>'תקציב החברה לפיתוח 2024'!Q11</f>
        <v>300000</v>
      </c>
      <c r="R11" s="120">
        <f>'תקציב החברה לפיתוח 2024'!R11</f>
        <v>0</v>
      </c>
      <c r="S11" s="120">
        <f>'תקציב החברה לפיתוח 2024'!S11</f>
        <v>300000</v>
      </c>
      <c r="T11" s="120">
        <f>'תקציב החברה לפיתוח 2024'!T11</f>
        <v>330000</v>
      </c>
      <c r="U11" s="120">
        <f>'תקציב החברה לפיתוח 2024'!U11</f>
        <v>270000</v>
      </c>
      <c r="V11" s="120">
        <f>'תקציב החברה לפיתוח 2024'!V11</f>
        <v>270000</v>
      </c>
      <c r="W11" s="120">
        <f>'תקציב החברה לפיתוח 2024'!W11</f>
        <v>0</v>
      </c>
      <c r="X11" s="120">
        <f>'תקציב החברה לפיתוח 2024'!X11</f>
        <v>0</v>
      </c>
      <c r="Y11" s="120">
        <f>'תקציב החברה לפיתוח 2024'!Y11</f>
        <v>0</v>
      </c>
      <c r="Z11" s="120">
        <f>'תקציב החברה לפיתוח 2024'!Z11</f>
        <v>0</v>
      </c>
      <c r="AA11" s="120">
        <f>'תקציב החברה לפיתוח 2024'!AA11</f>
        <v>0</v>
      </c>
      <c r="AB11" s="235" t="str">
        <f>'תקציב החברה לפיתוח 2024'!AB11</f>
        <v>סל עבודות תכנון עפ"י דרישה.</v>
      </c>
      <c r="AC11" s="135">
        <v>742000</v>
      </c>
      <c r="AD11" s="134"/>
      <c r="AE11" s="134"/>
      <c r="AF11" s="134"/>
      <c r="AG11" s="134"/>
      <c r="AH11" s="134"/>
      <c r="AI11" s="134"/>
    </row>
    <row r="12" spans="1:35" s="134" customFormat="1" ht="45" customHeight="1">
      <c r="A12" s="135">
        <f t="shared" si="0"/>
        <v>8</v>
      </c>
      <c r="B12" s="135" t="e">
        <f>'תקציב החברה לפיתוח 2024'!#REF!</f>
        <v>#REF!</v>
      </c>
      <c r="C12" s="235" t="e">
        <f>'תקציב החברה לפיתוח 2024'!#REF!</f>
        <v>#REF!</v>
      </c>
      <c r="D12" s="120" t="e">
        <f>'תקציב החברה לפיתוח 2024'!#REF!</f>
        <v>#REF!</v>
      </c>
      <c r="E12" s="120" t="e">
        <f>'תקציב החברה לפיתוח 2024'!#REF!</f>
        <v>#REF!</v>
      </c>
      <c r="F12" s="120" t="e">
        <f>'תקציב החברה לפיתוח 2024'!#REF!</f>
        <v>#REF!</v>
      </c>
      <c r="G12" s="120" t="e">
        <f>'תקציב החברה לפיתוח 2024'!#REF!</f>
        <v>#REF!</v>
      </c>
      <c r="H12" s="120" t="e">
        <f>'תקציב החברה לפיתוח 2024'!#REF!</f>
        <v>#REF!</v>
      </c>
      <c r="I12" s="120" t="e">
        <f>'תקציב החברה לפיתוח 2024'!#REF!</f>
        <v>#REF!</v>
      </c>
      <c r="J12" s="120" t="e">
        <f>'תקציב החברה לפיתוח 2024'!#REF!</f>
        <v>#REF!</v>
      </c>
      <c r="K12" s="120" t="e">
        <f>'תקציב החברה לפיתוח 2024'!#REF!</f>
        <v>#REF!</v>
      </c>
      <c r="L12" s="120" t="e">
        <f>'תקציב החברה לפיתוח 2024'!#REF!</f>
        <v>#REF!</v>
      </c>
      <c r="M12" s="120" t="e">
        <f>'תקציב החברה לפיתוח 2024'!#REF!</f>
        <v>#REF!</v>
      </c>
      <c r="N12" s="120" t="e">
        <f>'תקציב החברה לפיתוח 2024'!#REF!</f>
        <v>#REF!</v>
      </c>
      <c r="O12" s="120" t="e">
        <f>'תקציב החברה לפיתוח 2024'!#REF!</f>
        <v>#REF!</v>
      </c>
      <c r="P12" s="120" t="e">
        <f>'תקציב החברה לפיתוח 2024'!#REF!</f>
        <v>#REF!</v>
      </c>
      <c r="Q12" s="120" t="e">
        <f>'תקציב החברה לפיתוח 2024'!#REF!</f>
        <v>#REF!</v>
      </c>
      <c r="R12" s="120" t="e">
        <f>'תקציב החברה לפיתוח 2024'!#REF!</f>
        <v>#REF!</v>
      </c>
      <c r="S12" s="120" t="e">
        <f>'תקציב החברה לפיתוח 2024'!#REF!</f>
        <v>#REF!</v>
      </c>
      <c r="T12" s="120" t="e">
        <f>'תקציב החברה לפיתוח 2024'!#REF!</f>
        <v>#REF!</v>
      </c>
      <c r="U12" s="120" t="e">
        <f>'תקציב החברה לפיתוח 2024'!#REF!</f>
        <v>#REF!</v>
      </c>
      <c r="V12" s="120" t="e">
        <f>'תקציב החברה לפיתוח 2024'!#REF!</f>
        <v>#REF!</v>
      </c>
      <c r="W12" s="120" t="e">
        <f>'תקציב החברה לפיתוח 2024'!#REF!</f>
        <v>#REF!</v>
      </c>
      <c r="X12" s="120" t="e">
        <f>'תקציב החברה לפיתוח 2024'!#REF!</f>
        <v>#REF!</v>
      </c>
      <c r="Y12" s="120" t="e">
        <f>'תקציב החברה לפיתוח 2024'!#REF!</f>
        <v>#REF!</v>
      </c>
      <c r="Z12" s="120" t="e">
        <f>'תקציב החברה לפיתוח 2024'!#REF!</f>
        <v>#REF!</v>
      </c>
      <c r="AA12" s="120" t="e">
        <f>'תקציב החברה לפיתוח 2024'!#REF!</f>
        <v>#REF!</v>
      </c>
      <c r="AB12" s="235" t="e">
        <f>'תקציב החברה לפיתוח 2024'!#REF!</f>
        <v>#REF!</v>
      </c>
      <c r="AC12" s="135">
        <v>930000</v>
      </c>
    </row>
    <row r="13" spans="1:35" s="5" customFormat="1" ht="45" customHeight="1">
      <c r="A13" s="135">
        <f t="shared" si="0"/>
        <v>9</v>
      </c>
      <c r="B13" s="135">
        <f>'תקציב החברה לפיתוח 2024'!B12</f>
        <v>1314</v>
      </c>
      <c r="C13" s="235" t="str">
        <f>'תקציב החברה לפיתוח 2024'!C12</f>
        <v>רח' גבעת החלומות פיתוח</v>
      </c>
      <c r="D13" s="120">
        <f>'תקציב החברה לפיתוח 2024'!D12</f>
        <v>5200000</v>
      </c>
      <c r="E13" s="120">
        <f>'תקציב החברה לפיתוח 2024'!E12</f>
        <v>5200000</v>
      </c>
      <c r="F13" s="120">
        <f>'תקציב החברה לפיתוח 2024'!F12</f>
        <v>0</v>
      </c>
      <c r="G13" s="120">
        <f>'תקציב החברה לפיתוח 2024'!G12</f>
        <v>5200000</v>
      </c>
      <c r="H13" s="120">
        <f>'תקציב החברה לפיתוח 2024'!H12</f>
        <v>5177082</v>
      </c>
      <c r="I13" s="120">
        <f>'תקציב החברה לפיתוח 2024'!I12</f>
        <v>0</v>
      </c>
      <c r="J13" s="120">
        <f>'תקציב החברה לפיתוח 2024'!J12</f>
        <v>0</v>
      </c>
      <c r="K13" s="120">
        <f>'תקציב החברה לפיתוח 2024'!K12</f>
        <v>0</v>
      </c>
      <c r="L13" s="120">
        <f>'תקציב החברה לפיתוח 2024'!L12</f>
        <v>5177082</v>
      </c>
      <c r="M13" s="120">
        <f>'תקציב החברה לפיתוח 2024'!M12</f>
        <v>0</v>
      </c>
      <c r="N13" s="120">
        <f>'תקציב החברה לפיתוח 2024'!N12</f>
        <v>0</v>
      </c>
      <c r="O13" s="120">
        <f>'תקציב החברה לפיתוח 2024'!O12</f>
        <v>22918</v>
      </c>
      <c r="P13" s="120">
        <f>'תקציב החברה לפיתוח 2024'!P12</f>
        <v>22918</v>
      </c>
      <c r="Q13" s="120">
        <f>'תקציב החברה לפיתוח 2024'!Q12</f>
        <v>0</v>
      </c>
      <c r="R13" s="120">
        <f>'תקציב החברה לפיתוח 2024'!R12</f>
        <v>0</v>
      </c>
      <c r="S13" s="120">
        <f>'תקציב החברה לפיתוח 2024'!S12</f>
        <v>0</v>
      </c>
      <c r="T13" s="120">
        <f>'תקציב החברה לפיתוח 2024'!T12</f>
        <v>22918</v>
      </c>
      <c r="U13" s="120">
        <f>'תקציב החברה לפיתוח 2024'!U12</f>
        <v>-22918</v>
      </c>
      <c r="V13" s="120">
        <f>'תקציב החברה לפיתוח 2024'!V12</f>
        <v>-22918</v>
      </c>
      <c r="W13" s="120">
        <f>'תקציב החברה לפיתוח 2024'!W12</f>
        <v>0</v>
      </c>
      <c r="X13" s="120">
        <f>'תקציב החברה לפיתוח 2024'!X12</f>
        <v>0</v>
      </c>
      <c r="Y13" s="120">
        <f>'תקציב החברה לפיתוח 2024'!Y12</f>
        <v>0</v>
      </c>
      <c r="Z13" s="120">
        <f>'תקציב החברה לפיתוח 2024'!Z12</f>
        <v>0</v>
      </c>
      <c r="AA13" s="120">
        <f>'תקציב החברה לפיתוח 2024'!AA12</f>
        <v>0</v>
      </c>
      <c r="AB13" s="235" t="str">
        <f>'תקציב החברה לפיתוח 2024'!AB12</f>
        <v>פיתוח רחוב גבעת החלומות לרבות עבודות ניקוז ותאורה. הפרויקט הסתיים. סגירת תב"ר.</v>
      </c>
      <c r="AC13" s="3">
        <v>742000</v>
      </c>
      <c r="AD13" s="134"/>
      <c r="AE13" s="134"/>
      <c r="AF13" s="134"/>
      <c r="AG13" s="134"/>
      <c r="AH13" s="134"/>
      <c r="AI13" s="134"/>
    </row>
    <row r="14" spans="1:35" s="5" customFormat="1" ht="45" customHeight="1">
      <c r="A14" s="135">
        <f t="shared" si="0"/>
        <v>10</v>
      </c>
      <c r="B14" s="135">
        <f>'תקציב החברה לפיתוח 2024'!B13</f>
        <v>1322</v>
      </c>
      <c r="C14" s="235" t="str">
        <f>'תקציב החברה לפיתוח 2024'!C13</f>
        <v>מתחם נוף ים פיתוח</v>
      </c>
      <c r="D14" s="120">
        <f>'תקציב החברה לפיתוח 2024'!D13</f>
        <v>18500000</v>
      </c>
      <c r="E14" s="120">
        <f>'תקציב החברה לפיתוח 2024'!E13</f>
        <v>18500000</v>
      </c>
      <c r="F14" s="120">
        <f>'תקציב החברה לפיתוח 2024'!F13</f>
        <v>0</v>
      </c>
      <c r="G14" s="120">
        <f>'תקציב החברה לפיתוח 2024'!G13</f>
        <v>10850000</v>
      </c>
      <c r="H14" s="120">
        <f>'תקציב החברה לפיתוח 2024'!H13</f>
        <v>9799391</v>
      </c>
      <c r="I14" s="120">
        <f>'תקציב החברה לפיתוח 2024'!I13</f>
        <v>0</v>
      </c>
      <c r="J14" s="120">
        <f>'תקציב החברה לפיתוח 2024'!J13</f>
        <v>0</v>
      </c>
      <c r="K14" s="120">
        <f>'תקציב החברה לפיתוח 2024'!K13</f>
        <v>0</v>
      </c>
      <c r="L14" s="120">
        <f>'תקציב החברה לפיתוח 2024'!L13</f>
        <v>9799391</v>
      </c>
      <c r="M14" s="120">
        <f>'תקציב החברה לפיתוח 2024'!M13</f>
        <v>609</v>
      </c>
      <c r="N14" s="120">
        <f>'תקציב החברה לפיתוח 2024'!N13</f>
        <v>1050000</v>
      </c>
      <c r="O14" s="120">
        <f>'תקציב החברה לפיתוח 2024'!O13</f>
        <v>7650000</v>
      </c>
      <c r="P14" s="120">
        <f>'תקציב החברה לפיתוח 2024'!P13</f>
        <v>1050609</v>
      </c>
      <c r="Q14" s="120">
        <f>'תקציב החברה לפיתוח 2024'!Q13</f>
        <v>0</v>
      </c>
      <c r="R14" s="120">
        <f>'תקציב החברה לפיתוח 2024'!R13</f>
        <v>0</v>
      </c>
      <c r="S14" s="120">
        <f>'תקציב החברה לפיתוח 2024'!S13</f>
        <v>0</v>
      </c>
      <c r="T14" s="120">
        <f>'תקציב החברה לפיתוח 2024'!T13</f>
        <v>1050000</v>
      </c>
      <c r="U14" s="120">
        <f>'תקציב החברה לפיתוח 2024'!U13</f>
        <v>0</v>
      </c>
      <c r="V14" s="120">
        <f>'תקציב החברה לפיתוח 2024'!V13</f>
        <v>0</v>
      </c>
      <c r="W14" s="120">
        <f>'תקציב החברה לפיתוח 2024'!W13</f>
        <v>0</v>
      </c>
      <c r="X14" s="120">
        <f>'תקציב החברה לפיתוח 2024'!X13</f>
        <v>0</v>
      </c>
      <c r="Y14" s="120">
        <f>'תקציב החברה לפיתוח 2024'!Y13</f>
        <v>0</v>
      </c>
      <c r="Z14" s="120">
        <f>'תקציב החברה לפיתוח 2024'!Z13</f>
        <v>0</v>
      </c>
      <c r="AA14" s="120">
        <f>'תקציב החברה לפיתוח 2024'!AA13</f>
        <v>0</v>
      </c>
      <c r="AB14" s="235" t="str">
        <f>'תקציב החברה לפיתוח 2024'!AB13</f>
        <v>ביצוע תשתיות רח' הנשיא מחיבורו לשער הים עד הצומת רח' הפועל התאנה כולל הטמנת רשת חשמל.</v>
      </c>
      <c r="AC14" s="3">
        <v>742000</v>
      </c>
      <c r="AD14" s="134"/>
      <c r="AE14" s="134"/>
      <c r="AF14" s="134"/>
      <c r="AG14" s="134"/>
      <c r="AH14" s="134"/>
      <c r="AI14" s="134"/>
    </row>
    <row r="15" spans="1:35" s="5" customFormat="1" ht="45" customHeight="1">
      <c r="A15" s="135">
        <f t="shared" si="0"/>
        <v>11</v>
      </c>
      <c r="B15" s="135">
        <f>'תקציב החברה לפיתוח 2024'!B14</f>
        <v>1357</v>
      </c>
      <c r="C15" s="235" t="str">
        <f>'תקציב החברה לפיתוח 2024'!C14</f>
        <v>ספורטק שלב ג'</v>
      </c>
      <c r="D15" s="120">
        <f>'תקציב החברה לפיתוח 2024'!D14</f>
        <v>18812000</v>
      </c>
      <c r="E15" s="120">
        <f>'תקציב החברה לפיתוח 2024'!E14</f>
        <v>18812000</v>
      </c>
      <c r="F15" s="120">
        <f>'תקציב החברה לפיתוח 2024'!F14</f>
        <v>0</v>
      </c>
      <c r="G15" s="120">
        <f>'תקציב החברה לפיתוח 2024'!G14</f>
        <v>18812000</v>
      </c>
      <c r="H15" s="120">
        <f>'תקציב החברה לפיתוח 2024'!H14</f>
        <v>17954809</v>
      </c>
      <c r="I15" s="120">
        <f>'תקציב החברה לפיתוח 2024'!I14</f>
        <v>0</v>
      </c>
      <c r="J15" s="120">
        <f>'תקציב החברה לפיתוח 2024'!J14</f>
        <v>0</v>
      </c>
      <c r="K15" s="120">
        <f>'תקציב החברה לפיתוח 2024'!K14</f>
        <v>0</v>
      </c>
      <c r="L15" s="120">
        <f>'תקציב החברה לפיתוח 2024'!L14</f>
        <v>17954809</v>
      </c>
      <c r="M15" s="120">
        <f>'תקציב החברה לפיתוח 2024'!M14</f>
        <v>7191</v>
      </c>
      <c r="N15" s="120">
        <f>'תקציב החברה לפיתוח 2024'!N14</f>
        <v>850000</v>
      </c>
      <c r="O15" s="120">
        <f>'תקציב החברה לפיתוח 2024'!O14</f>
        <v>0</v>
      </c>
      <c r="P15" s="120">
        <f>'תקציב החברה לפיתוח 2024'!P14</f>
        <v>857191</v>
      </c>
      <c r="Q15" s="120">
        <f>'תקציב החברה לפיתוח 2024'!Q14</f>
        <v>0</v>
      </c>
      <c r="R15" s="120">
        <f>'תקציב החברה לפיתוח 2024'!R14</f>
        <v>0</v>
      </c>
      <c r="S15" s="120">
        <f>'תקציב החברה לפיתוח 2024'!S14</f>
        <v>0</v>
      </c>
      <c r="T15" s="120">
        <f>'תקציב החברה לפיתוח 2024'!T14</f>
        <v>850000</v>
      </c>
      <c r="U15" s="120">
        <f>'תקציב החברה לפיתוח 2024'!U14</f>
        <v>0</v>
      </c>
      <c r="V15" s="120">
        <f>'תקציב החברה לפיתוח 2024'!V14</f>
        <v>0</v>
      </c>
      <c r="W15" s="120">
        <f>'תקציב החברה לפיתוח 2024'!W14</f>
        <v>0</v>
      </c>
      <c r="X15" s="120">
        <f>'תקציב החברה לפיתוח 2024'!X14</f>
        <v>0</v>
      </c>
      <c r="Y15" s="120">
        <f>'תקציב החברה לפיתוח 2024'!Y14</f>
        <v>0</v>
      </c>
      <c r="Z15" s="120">
        <f>'תקציב החברה לפיתוח 2024'!Z14</f>
        <v>0</v>
      </c>
      <c r="AA15" s="120">
        <f>'תקציב החברה לפיתוח 2024'!AA14</f>
        <v>0</v>
      </c>
      <c r="AB15" s="235" t="str">
        <f>'תקציב החברה לפיתוח 2024'!AB14</f>
        <v>עבודות מבנה מועדון פטנג. בספורטק.</v>
      </c>
      <c r="AC15" s="3">
        <v>829000</v>
      </c>
      <c r="AD15" s="134"/>
      <c r="AE15" s="134"/>
      <c r="AF15" s="134"/>
      <c r="AG15" s="134"/>
      <c r="AH15" s="134"/>
      <c r="AI15" s="134"/>
    </row>
    <row r="16" spans="1:35" s="134" customFormat="1" ht="45" customHeight="1">
      <c r="A16" s="135">
        <f t="shared" si="0"/>
        <v>12</v>
      </c>
      <c r="B16" s="135">
        <f>'תקציב החברה לפיתוח 2024'!B15</f>
        <v>1375</v>
      </c>
      <c r="C16" s="235" t="str">
        <f>'תקציב החברה לפיתוח 2024'!C15</f>
        <v>הקמת בריכה ומרכז לאומנויות לחימה</v>
      </c>
      <c r="D16" s="120">
        <f>'תקציב החברה לפיתוח 2024'!D15</f>
        <v>42150000</v>
      </c>
      <c r="E16" s="120">
        <f>'תקציב החברה לפיתוח 2024'!E15</f>
        <v>40150000</v>
      </c>
      <c r="F16" s="120">
        <f>'תקציב החברה לפיתוח 2024'!F15</f>
        <v>2000000</v>
      </c>
      <c r="G16" s="120">
        <f>'תקציב החברה לפיתוח 2024'!G15</f>
        <v>30150000</v>
      </c>
      <c r="H16" s="120">
        <f>'תקציב החברה לפיתוח 2024'!H15</f>
        <v>30140054</v>
      </c>
      <c r="I16" s="120">
        <f>'תקציב החברה לפיתוח 2024'!I15</f>
        <v>0</v>
      </c>
      <c r="J16" s="120">
        <f>'תקציב החברה לפיתוח 2024'!J15</f>
        <v>0</v>
      </c>
      <c r="K16" s="120">
        <f>'תקציב החברה לפיתוח 2024'!K15</f>
        <v>0</v>
      </c>
      <c r="L16" s="120">
        <f>'תקציב החברה לפיתוח 2024'!L15</f>
        <v>30140054</v>
      </c>
      <c r="M16" s="120">
        <f>'תקציב החברה לפיתוח 2024'!M15</f>
        <v>9946</v>
      </c>
      <c r="N16" s="120">
        <f>'תקציב החברה לפיתוח 2024'!N15</f>
        <v>0</v>
      </c>
      <c r="O16" s="120">
        <f>'תקציב החברה לפיתוח 2024'!O15</f>
        <v>12000000</v>
      </c>
      <c r="P16" s="120">
        <f>'תקציב החברה לפיתוח 2024'!P15</f>
        <v>9946</v>
      </c>
      <c r="Q16" s="120">
        <f>'תקציב החברה לפיתוח 2024'!Q15</f>
        <v>0</v>
      </c>
      <c r="R16" s="120">
        <f>'תקציב החברה לפיתוח 2024'!R15</f>
        <v>0</v>
      </c>
      <c r="S16" s="120">
        <f>'תקציב החברה לפיתוח 2024'!S15</f>
        <v>0</v>
      </c>
      <c r="T16" s="120">
        <f>'תקציב החברה לפיתוח 2024'!T15</f>
        <v>0</v>
      </c>
      <c r="U16" s="120">
        <f>'תקציב החברה לפיתוח 2024'!U15</f>
        <v>0</v>
      </c>
      <c r="V16" s="120">
        <f>'תקציב החברה לפיתוח 2024'!V15</f>
        <v>0</v>
      </c>
      <c r="W16" s="120">
        <f>'תקציב החברה לפיתוח 2024'!W15</f>
        <v>0</v>
      </c>
      <c r="X16" s="120">
        <f>'תקציב החברה לפיתוח 2024'!X15</f>
        <v>0</v>
      </c>
      <c r="Y16" s="120">
        <f>'תקציב החברה לפיתוח 2024'!Y15</f>
        <v>0</v>
      </c>
      <c r="Z16" s="120">
        <f>'תקציב החברה לפיתוח 2024'!Z15</f>
        <v>0</v>
      </c>
      <c r="AA16" s="120">
        <f>'תקציב החברה לפיתוח 2024'!AA15</f>
        <v>0</v>
      </c>
      <c r="AB16" s="235" t="str">
        <f>'תקציב החברה לפיתוח 2024'!AB15</f>
        <v xml:space="preserve">תוספת קומה והקמת חדרי פעילויות. </v>
      </c>
      <c r="AC16" s="135">
        <v>747000</v>
      </c>
    </row>
    <row r="17" spans="1:35" s="134" customFormat="1" ht="45" customHeight="1">
      <c r="A17" s="135">
        <f t="shared" si="0"/>
        <v>13</v>
      </c>
      <c r="B17" s="135">
        <f>'תקציב החברה לפיתוח 2024'!B16</f>
        <v>1588</v>
      </c>
      <c r="C17" s="235" t="str">
        <f>'תקציב החברה לפיתוח 2024'!C16</f>
        <v>פיתוח מתחם אלוני ים הר' 2030</v>
      </c>
      <c r="D17" s="120">
        <f>'תקציב החברה לפיתוח 2024'!D16</f>
        <v>53500000</v>
      </c>
      <c r="E17" s="120">
        <f>'תקציב החברה לפיתוח 2024'!E16</f>
        <v>50500000</v>
      </c>
      <c r="F17" s="120">
        <f>'תקציב החברה לפיתוח 2024'!F16</f>
        <v>3000000</v>
      </c>
      <c r="G17" s="120">
        <f>'תקציב החברה לפיתוח 2024'!G16</f>
        <v>45500000</v>
      </c>
      <c r="H17" s="120">
        <f>'תקציב החברה לפיתוח 2024'!H16</f>
        <v>40127873</v>
      </c>
      <c r="I17" s="120">
        <f>'תקציב החברה לפיתוח 2024'!I16</f>
        <v>0</v>
      </c>
      <c r="J17" s="120">
        <f>'תקציב החברה לפיתוח 2024'!J16</f>
        <v>0</v>
      </c>
      <c r="K17" s="120">
        <f>'תקציב החברה לפיתוח 2024'!K16</f>
        <v>0</v>
      </c>
      <c r="L17" s="120">
        <f>'תקציב החברה לפיתוח 2024'!L16</f>
        <v>40127873</v>
      </c>
      <c r="M17" s="120">
        <f>'תקציב החברה לפיתוח 2024'!M16</f>
        <v>2127</v>
      </c>
      <c r="N17" s="120">
        <f>'תקציב החברה לפיתוח 2024'!N16</f>
        <v>6870000</v>
      </c>
      <c r="O17" s="120">
        <f>'תקציב החברה לפיתוח 2024'!O16</f>
        <v>6500000</v>
      </c>
      <c r="P17" s="120">
        <f>'תקציב החברה לפיתוח 2024'!P16</f>
        <v>5372127</v>
      </c>
      <c r="Q17" s="120">
        <f>'תקציב החברה לפיתוח 2024'!Q16</f>
        <v>0</v>
      </c>
      <c r="R17" s="120">
        <f>'תקציב החברה לפיתוח 2024'!R16</f>
        <v>0</v>
      </c>
      <c r="S17" s="120">
        <f>'תקציב החברה לפיתוח 2024'!S16</f>
        <v>0</v>
      </c>
      <c r="T17" s="120">
        <f>'תקציב החברה לפיתוח 2024'!T16</f>
        <v>5370000</v>
      </c>
      <c r="U17" s="120">
        <f>'תקציב החברה לפיתוח 2024'!U16</f>
        <v>1500000</v>
      </c>
      <c r="V17" s="120">
        <f>'תקציב החברה לפיתוח 2024'!V16</f>
        <v>-2962592</v>
      </c>
      <c r="W17" s="120">
        <f>'תקציב החברה לפיתוח 2024'!W16</f>
        <v>0</v>
      </c>
      <c r="X17" s="120">
        <f>'תקציב החברה לפיתוח 2024'!X16</f>
        <v>0</v>
      </c>
      <c r="Y17" s="120">
        <f>'תקציב החברה לפיתוח 2024'!Y16</f>
        <v>0</v>
      </c>
      <c r="Z17" s="120">
        <f>'תקציב החברה לפיתוח 2024'!Z16</f>
        <v>0</v>
      </c>
      <c r="AA17" s="120">
        <f>'תקציב החברה לפיתוח 2024'!AA16</f>
        <v>4462592</v>
      </c>
      <c r="AB17" s="235" t="str">
        <f>'תקציב החברה לפיתוח 2024'!AB16</f>
        <v>המשך עבודות פיתוח שצ"פ ("מערכות") במתחם אלוני ים הר' 2030 . מימון רמ"י ( שצ"פים מכרז "גליל ים ג'").</v>
      </c>
      <c r="AC17" s="135">
        <v>742000</v>
      </c>
    </row>
    <row r="18" spans="1:35" s="134" customFormat="1" ht="45" customHeight="1">
      <c r="A18" s="135">
        <f t="shared" si="0"/>
        <v>14</v>
      </c>
      <c r="B18" s="135">
        <f>'תקציב החברה לפיתוח 2024'!B17</f>
        <v>1615</v>
      </c>
      <c r="C18" s="235" t="str">
        <f>'תקציב החברה לפיתוח 2024'!C17</f>
        <v>פיתוח מתחם הר' 1903</v>
      </c>
      <c r="D18" s="120">
        <f>'תקציב החברה לפיתוח 2024'!D17</f>
        <v>27700000</v>
      </c>
      <c r="E18" s="120">
        <f>'תקציב החברה לפיתוח 2024'!E17</f>
        <v>27700000</v>
      </c>
      <c r="F18" s="120">
        <f>'תקציב החברה לפיתוח 2024'!F17</f>
        <v>0</v>
      </c>
      <c r="G18" s="120">
        <f>'תקציב החברה לפיתוח 2024'!G17</f>
        <v>23700000</v>
      </c>
      <c r="H18" s="120">
        <f>'תקציב החברה לפיתוח 2024'!H17</f>
        <v>22547620</v>
      </c>
      <c r="I18" s="120">
        <f>'תקציב החברה לפיתוח 2024'!I17</f>
        <v>0</v>
      </c>
      <c r="J18" s="120">
        <f>'תקציב החברה לפיתוח 2024'!J17</f>
        <v>0</v>
      </c>
      <c r="K18" s="120">
        <f>'תקציב החברה לפיתוח 2024'!K17</f>
        <v>0</v>
      </c>
      <c r="L18" s="120">
        <f>'תקציב החברה לפיתוח 2024'!L17</f>
        <v>22547620</v>
      </c>
      <c r="M18" s="120">
        <f>'תקציב החברה לפיתוח 2024'!M17</f>
        <v>2380</v>
      </c>
      <c r="N18" s="120">
        <f>'תקציב החברה לפיתוח 2024'!N17</f>
        <v>150000</v>
      </c>
      <c r="O18" s="120">
        <f>'תקציב החברה לפיתוח 2024'!O17</f>
        <v>5000000</v>
      </c>
      <c r="P18" s="120">
        <f>'תקציב החברה לפיתוח 2024'!P17</f>
        <v>1152380</v>
      </c>
      <c r="Q18" s="120">
        <f>'תקציב החברה לפיתוח 2024'!Q17</f>
        <v>0</v>
      </c>
      <c r="R18" s="120">
        <f>'תקציב החברה לפיתוח 2024'!R17</f>
        <v>0</v>
      </c>
      <c r="S18" s="120">
        <f>'תקציב החברה לפיתוח 2024'!S17</f>
        <v>0</v>
      </c>
      <c r="T18" s="120">
        <f>'תקציב החברה לפיתוח 2024'!T17</f>
        <v>1150000</v>
      </c>
      <c r="U18" s="120">
        <f>'תקציב החברה לפיתוח 2024'!U17</f>
        <v>-1000000</v>
      </c>
      <c r="V18" s="120">
        <f>'תקציב החברה לפיתוח 2024'!V17</f>
        <v>-1000000</v>
      </c>
      <c r="W18" s="120">
        <f>'תקציב החברה לפיתוח 2024'!W17</f>
        <v>0</v>
      </c>
      <c r="X18" s="120">
        <f>'תקציב החברה לפיתוח 2024'!X17</f>
        <v>0</v>
      </c>
      <c r="Y18" s="120">
        <f>'תקציב החברה לפיתוח 2024'!Y17</f>
        <v>0</v>
      </c>
      <c r="Z18" s="120">
        <f>'תקציב החברה לפיתוח 2024'!Z17</f>
        <v>0</v>
      </c>
      <c r="AA18" s="120">
        <f>'תקציב החברה לפיתוח 2024'!AA17</f>
        <v>0</v>
      </c>
      <c r="AB18" s="235" t="str">
        <f>'תקציב החברה לפיתוח 2024'!AB17</f>
        <v>טיפול בשב"צ וגינת כלבים. חן סופיים. התב"ר לסגירה.</v>
      </c>
      <c r="AC18" s="135">
        <v>742000</v>
      </c>
    </row>
    <row r="19" spans="1:35" s="134" customFormat="1" ht="45" customHeight="1">
      <c r="A19" s="135">
        <f t="shared" si="0"/>
        <v>15</v>
      </c>
      <c r="B19" s="135">
        <f>'תקציב החברה לפיתוח 2024'!B19</f>
        <v>1657</v>
      </c>
      <c r="C19" s="235" t="str">
        <f>'תקציב החברה לפיתוח 2024'!C19</f>
        <v>פיתוח מתחם "מרינה לי"</v>
      </c>
      <c r="D19" s="120">
        <f>'תקציב החברה לפיתוח 2024'!D19</f>
        <v>65000000</v>
      </c>
      <c r="E19" s="120">
        <f>'תקציב החברה לפיתוח 2024'!E19</f>
        <v>60000000</v>
      </c>
      <c r="F19" s="120">
        <f>'תקציב החברה לפיתוח 2024'!F19</f>
        <v>5000000</v>
      </c>
      <c r="G19" s="120">
        <f>'תקציב החברה לפיתוח 2024'!G19</f>
        <v>41519789</v>
      </c>
      <c r="H19" s="120">
        <f>'תקציב החברה לפיתוח 2024'!H19</f>
        <v>53294967</v>
      </c>
      <c r="I19" s="120">
        <f>'תקציב החברה לפיתוח 2024'!I19</f>
        <v>0</v>
      </c>
      <c r="J19" s="120">
        <f>'תקציב החברה לפיתוח 2024'!J19</f>
        <v>0</v>
      </c>
      <c r="K19" s="120">
        <f>'תקציב החברה לפיתוח 2024'!K19</f>
        <v>0</v>
      </c>
      <c r="L19" s="120">
        <f>'תקציב החברה לפיתוח 2024'!L19</f>
        <v>53294967</v>
      </c>
      <c r="M19" s="120">
        <f>'תקציב החברה לפיתוח 2024'!M19</f>
        <v>4822</v>
      </c>
      <c r="N19" s="120">
        <f>'תקציב החברה לפיתוח 2024'!N19</f>
        <v>1220000</v>
      </c>
      <c r="O19" s="120">
        <f>'תקציב החברה לפיתוח 2024'!O19</f>
        <v>10480211</v>
      </c>
      <c r="P19" s="120">
        <f>'תקציב החברה לפיתוח 2024'!P19</f>
        <v>-11775178</v>
      </c>
      <c r="Q19" s="120">
        <f>'תקציב החברה לפיתוח 2024'!Q19</f>
        <v>13000000</v>
      </c>
      <c r="R19" s="120">
        <f>'תקציב החברה לפיתוח 2024'!R19</f>
        <v>0</v>
      </c>
      <c r="S19" s="120">
        <f>'תקציב החברה לפיתוח 2024'!S19</f>
        <v>13000000</v>
      </c>
      <c r="T19" s="120">
        <f>'תקציב החברה לפיתוח 2024'!T19</f>
        <v>1220000</v>
      </c>
      <c r="U19" s="120">
        <f>'תקציב החברה לפיתוח 2024'!U19</f>
        <v>0</v>
      </c>
      <c r="V19" s="120">
        <f>'תקציב החברה לפיתוח 2024'!V19</f>
        <v>0</v>
      </c>
      <c r="W19" s="120">
        <f>'תקציב החברה לפיתוח 2024'!W19</f>
        <v>0</v>
      </c>
      <c r="X19" s="120">
        <f>'תקציב החברה לפיתוח 2024'!X19</f>
        <v>0</v>
      </c>
      <c r="Y19" s="120">
        <f>'תקציב החברה לפיתוח 2024'!Y19</f>
        <v>0</v>
      </c>
      <c r="Z19" s="120">
        <f>'תקציב החברה לפיתוח 2024'!Z19</f>
        <v>0</v>
      </c>
      <c r="AA19" s="120">
        <f>'תקציב החברה לפיתוח 2024'!AA19</f>
        <v>0</v>
      </c>
      <c r="AB19" s="235" t="str">
        <f>'תקציב החברה לפיתוח 2024'!AB19</f>
        <v xml:space="preserve">ביצוע פיתוח ותשתית במתחם "מרינה לי". </v>
      </c>
      <c r="AC19" s="135">
        <v>742000</v>
      </c>
    </row>
    <row r="20" spans="1:35" s="5" customFormat="1" ht="45" customHeight="1">
      <c r="A20" s="135">
        <f t="shared" si="0"/>
        <v>16</v>
      </c>
      <c r="B20" s="135">
        <f>'תקציב החברה לפיתוח 2024'!B20</f>
        <v>1670</v>
      </c>
      <c r="C20" s="235" t="str">
        <f>'תקציב החברה לפיתוח 2024'!C20</f>
        <v>פתוח מתחם הר' 1972 תחנה מרכזית</v>
      </c>
      <c r="D20" s="120">
        <f>'תקציב החברה לפיתוח 2024'!D20</f>
        <v>37700000</v>
      </c>
      <c r="E20" s="120">
        <f>'תקציב החברה לפיתוח 2024'!E20</f>
        <v>17800000</v>
      </c>
      <c r="F20" s="120">
        <f>'תקציב החברה לפיתוח 2024'!F20</f>
        <v>19900000</v>
      </c>
      <c r="G20" s="120">
        <f>'תקציב החברה לפיתוח 2024'!G20</f>
        <v>6050000</v>
      </c>
      <c r="H20" s="120">
        <f>'תקציב החברה לפיתוח 2024'!H20</f>
        <v>5792275</v>
      </c>
      <c r="I20" s="120">
        <f>'תקציב החברה לפיתוח 2024'!I20</f>
        <v>0</v>
      </c>
      <c r="J20" s="120">
        <f>'תקציב החברה לפיתוח 2024'!J20</f>
        <v>17295</v>
      </c>
      <c r="K20" s="120">
        <f>'תקציב החברה לפיתוח 2024'!K20</f>
        <v>17295</v>
      </c>
      <c r="L20" s="120">
        <f>'תקציב החברה לפיתוח 2024'!L20</f>
        <v>5809570</v>
      </c>
      <c r="M20" s="120">
        <f>'תקציב החברה לפיתוח 2024'!M20</f>
        <v>430</v>
      </c>
      <c r="N20" s="120">
        <f>'תקציב החברה לפיתוח 2024'!N20</f>
        <v>5240000</v>
      </c>
      <c r="O20" s="120">
        <f>'תקציב החברה לפיתוח 2024'!O20</f>
        <v>26650000</v>
      </c>
      <c r="P20" s="120">
        <f>'תקציב החברה לפיתוח 2024'!P20</f>
        <v>240430</v>
      </c>
      <c r="Q20" s="120">
        <f>'תקציב החברה לפיתוח 2024'!Q20</f>
        <v>0</v>
      </c>
      <c r="R20" s="120">
        <f>'תקציב החברה לפיתוח 2024'!R20</f>
        <v>0</v>
      </c>
      <c r="S20" s="120">
        <f>'תקציב החברה לפיתוח 2024'!S20</f>
        <v>0</v>
      </c>
      <c r="T20" s="120">
        <f>'תקציב החברה לפיתוח 2024'!T20</f>
        <v>240000</v>
      </c>
      <c r="U20" s="120">
        <f>'תקציב החברה לפיתוח 2024'!U20</f>
        <v>5000000</v>
      </c>
      <c r="V20" s="120">
        <f>'תקציב החברה לפיתוח 2024'!V20</f>
        <v>5000000</v>
      </c>
      <c r="W20" s="120">
        <f>'תקציב החברה לפיתוח 2024'!W20</f>
        <v>0</v>
      </c>
      <c r="X20" s="120">
        <f>'תקציב החברה לפיתוח 2024'!X20</f>
        <v>0</v>
      </c>
      <c r="Y20" s="120">
        <f>'תקציב החברה לפיתוח 2024'!Y20</f>
        <v>0</v>
      </c>
      <c r="Z20" s="120">
        <f>'תקציב החברה לפיתוח 2024'!Z20</f>
        <v>0</v>
      </c>
      <c r="AA20" s="120">
        <f>'תקציב החברה לפיתוח 2024'!AA20</f>
        <v>0</v>
      </c>
      <c r="AB20" s="235" t="str">
        <f>'תקציב החברה לפיתוח 2024'!AB20</f>
        <v xml:space="preserve">תכנון פיתוח מתחם "ניצבא" כולל פיתוח רחוב העצמאות מבן גוריון עד קהילת ציון. </v>
      </c>
      <c r="AC20" s="3">
        <v>742000</v>
      </c>
      <c r="AD20" s="134"/>
      <c r="AE20" s="134"/>
      <c r="AF20" s="134"/>
      <c r="AG20" s="134"/>
      <c r="AH20" s="134"/>
      <c r="AI20" s="134"/>
    </row>
    <row r="21" spans="1:35" s="5" customFormat="1" ht="45" customHeight="1">
      <c r="A21" s="135">
        <f t="shared" si="0"/>
        <v>17</v>
      </c>
      <c r="B21" s="135">
        <f>'תקציב החברה לפיתוח 2024'!B21</f>
        <v>1693</v>
      </c>
      <c r="C21" s="235" t="str">
        <f>'תקציב החברה לפיתוח 2024'!C21</f>
        <v xml:space="preserve">פינוי בינוי צומת כדורי </v>
      </c>
      <c r="D21" s="120">
        <f>'תקציב החברה לפיתוח 2024'!D21</f>
        <v>4500000</v>
      </c>
      <c r="E21" s="120">
        <f>'תקציב החברה לפיתוח 2024'!E21</f>
        <v>4500000</v>
      </c>
      <c r="F21" s="120">
        <f>'תקציב החברה לפיתוח 2024'!F21</f>
        <v>0</v>
      </c>
      <c r="G21" s="120">
        <f>'תקציב החברה לפיתוח 2024'!G21</f>
        <v>2416703</v>
      </c>
      <c r="H21" s="120">
        <f>'תקציב החברה לפיתוח 2024'!H21</f>
        <v>708955</v>
      </c>
      <c r="I21" s="120">
        <f>'תקציב החברה לפיתוח 2024'!I21</f>
        <v>449944</v>
      </c>
      <c r="J21" s="120">
        <f>'תקציב החברה לפיתוח 2024'!J21</f>
        <v>166720</v>
      </c>
      <c r="K21" s="120">
        <f>'תקציב החברה לפיתוח 2024'!K21</f>
        <v>616664</v>
      </c>
      <c r="L21" s="120">
        <f>'תקציב החברה לפיתוח 2024'!L21</f>
        <v>1325619</v>
      </c>
      <c r="M21" s="120">
        <f>'תקציב החברה לפיתוח 2024'!M21</f>
        <v>1084</v>
      </c>
      <c r="N21" s="120">
        <f>'תקציב החברה לפיתוח 2024'!N21</f>
        <v>1090000</v>
      </c>
      <c r="O21" s="120">
        <f>'תקציב החברה לפיתוח 2024'!O21</f>
        <v>2083297</v>
      </c>
      <c r="P21" s="120">
        <f>'תקציב החברה לפיתוח 2024'!P21</f>
        <v>1091084</v>
      </c>
      <c r="Q21" s="120">
        <f>'תקציב החברה לפיתוח 2024'!Q21</f>
        <v>0</v>
      </c>
      <c r="R21" s="120">
        <f>'תקציב החברה לפיתוח 2024'!R21</f>
        <v>0</v>
      </c>
      <c r="S21" s="120">
        <f>'תקציב החברה לפיתוח 2024'!S21</f>
        <v>0</v>
      </c>
      <c r="T21" s="120">
        <f>'תקציב החברה לפיתוח 2024'!T21</f>
        <v>1090000</v>
      </c>
      <c r="U21" s="120">
        <f>'תקציב החברה לפיתוח 2024'!U21</f>
        <v>0</v>
      </c>
      <c r="V21" s="120">
        <f>'תקציב החברה לפיתוח 2024'!V21</f>
        <v>0</v>
      </c>
      <c r="W21" s="120">
        <f>'תקציב החברה לפיתוח 2024'!W21</f>
        <v>0</v>
      </c>
      <c r="X21" s="120">
        <f>'תקציב החברה לפיתוח 2024'!X21</f>
        <v>0</v>
      </c>
      <c r="Y21" s="120">
        <f>'תקציב החברה לפיתוח 2024'!Y21</f>
        <v>0</v>
      </c>
      <c r="Z21" s="120">
        <f>'תקציב החברה לפיתוח 2024'!Z21</f>
        <v>0</v>
      </c>
      <c r="AA21" s="120">
        <f>'תקציב החברה לפיתוח 2024'!AA21</f>
        <v>0</v>
      </c>
      <c r="AB21" s="235" t="str">
        <f>'תקציב החברה לפיתוח 2024'!AB21</f>
        <v>תכנון מתחם צומת כדורי לפינוי ובינוי.בשלב הנעת התכנון לשלב סטטוטורי. מימון מ. הבינוי.</v>
      </c>
      <c r="AC21" s="3">
        <v>732000</v>
      </c>
      <c r="AD21" s="134"/>
      <c r="AE21" s="134"/>
      <c r="AF21" s="134"/>
      <c r="AG21" s="134"/>
      <c r="AH21" s="134"/>
      <c r="AI21" s="134"/>
    </row>
    <row r="22" spans="1:35" s="134" customFormat="1" ht="45" customHeight="1">
      <c r="A22" s="135">
        <f t="shared" si="0"/>
        <v>18</v>
      </c>
      <c r="B22" s="135">
        <f>'תקציב החברה לפיתוח 2024'!B22</f>
        <v>1723</v>
      </c>
      <c r="C22" s="235" t="str">
        <f>'תקציב החברה לפיתוח 2024'!C22</f>
        <v>מרכז תחבורה חדש</v>
      </c>
      <c r="D22" s="120">
        <f>'תקציב החברה לפיתוח 2024'!D22</f>
        <v>1978521</v>
      </c>
      <c r="E22" s="120">
        <f>'תקציב החברה לפיתוח 2024'!E22</f>
        <v>1978521</v>
      </c>
      <c r="F22" s="120">
        <f>'תקציב החברה לפיתוח 2024'!F22</f>
        <v>0</v>
      </c>
      <c r="G22" s="120">
        <f>'תקציב החברה לפיתוח 2024'!G22</f>
        <v>1978521</v>
      </c>
      <c r="H22" s="120">
        <f>'תקציב החברה לפיתוח 2024'!H22</f>
        <v>1651128</v>
      </c>
      <c r="I22" s="120">
        <f>'תקציב החברה לפיתוח 2024'!I22</f>
        <v>0</v>
      </c>
      <c r="J22" s="120">
        <f>'תקציב החברה לפיתוח 2024'!J22</f>
        <v>0</v>
      </c>
      <c r="K22" s="120">
        <f>'תקציב החברה לפיתוח 2024'!K22</f>
        <v>0</v>
      </c>
      <c r="L22" s="120">
        <f>'תקציב החברה לפיתוח 2024'!L22</f>
        <v>1651128</v>
      </c>
      <c r="M22" s="120">
        <f>'תקציב החברה לפיתוח 2024'!M22</f>
        <v>7393</v>
      </c>
      <c r="N22" s="120">
        <f>'תקציב החברה לפיתוח 2024'!N22</f>
        <v>120000</v>
      </c>
      <c r="O22" s="120">
        <f>'תקציב החברה לפיתוח 2024'!O22</f>
        <v>200000</v>
      </c>
      <c r="P22" s="120">
        <f>'תקציב החברה לפיתוח 2024'!P22</f>
        <v>327393</v>
      </c>
      <c r="Q22" s="120">
        <f>'תקציב החברה לפיתוח 2024'!Q22</f>
        <v>0</v>
      </c>
      <c r="R22" s="120">
        <f>'תקציב החברה לפיתוח 2024'!R22</f>
        <v>0</v>
      </c>
      <c r="S22" s="120">
        <f>'תקציב החברה לפיתוח 2024'!S22</f>
        <v>0</v>
      </c>
      <c r="T22" s="120">
        <f>'תקציב החברה לפיתוח 2024'!T22</f>
        <v>320000</v>
      </c>
      <c r="U22" s="120">
        <f>'תקציב החברה לפיתוח 2024'!U22</f>
        <v>-200000</v>
      </c>
      <c r="V22" s="120">
        <f>'תקציב החברה לפיתוח 2024'!V22</f>
        <v>-200000</v>
      </c>
      <c r="W22" s="120">
        <f>'תקציב החברה לפיתוח 2024'!W22</f>
        <v>0</v>
      </c>
      <c r="X22" s="120">
        <f>'תקציב החברה לפיתוח 2024'!X22</f>
        <v>0</v>
      </c>
      <c r="Y22" s="120">
        <f>'תקציב החברה לפיתוח 2024'!Y22</f>
        <v>0</v>
      </c>
      <c r="Z22" s="120">
        <f>'תקציב החברה לפיתוח 2024'!Z22</f>
        <v>0</v>
      </c>
      <c r="AA22" s="120">
        <f>'תקציב החברה לפיתוח 2024'!AA22</f>
        <v>0</v>
      </c>
      <c r="AB22" s="235" t="str">
        <f>'תקציב החברה לפיתוח 2024'!AB22</f>
        <v>השלמת תכנון עד להיתר לחניון אוטובוסים.</v>
      </c>
      <c r="AC22" s="135">
        <v>732000</v>
      </c>
    </row>
    <row r="23" spans="1:35" s="5" customFormat="1" ht="45" customHeight="1">
      <c r="A23" s="135">
        <f t="shared" si="0"/>
        <v>19</v>
      </c>
      <c r="B23" s="135">
        <f>'תקציב החברה לפיתוח 2024'!B23</f>
        <v>1773</v>
      </c>
      <c r="C23" s="235" t="str">
        <f>'תקציב החברה לפיתוח 2024'!C23</f>
        <v>שיקום האגם בפארק</v>
      </c>
      <c r="D23" s="120">
        <f>'תקציב החברה לפיתוח 2024'!D23</f>
        <v>2050000</v>
      </c>
      <c r="E23" s="120">
        <f>'תקציב החברה לפיתוח 2024'!E23</f>
        <v>2050000</v>
      </c>
      <c r="F23" s="120">
        <f>'תקציב החברה לפיתוח 2024'!F23</f>
        <v>0</v>
      </c>
      <c r="G23" s="120">
        <f>'תקציב החברה לפיתוח 2024'!G23</f>
        <v>2050000</v>
      </c>
      <c r="H23" s="120">
        <f>'תקציב החברה לפיתוח 2024'!H23</f>
        <v>1980321</v>
      </c>
      <c r="I23" s="120">
        <f>'תקציב החברה לפיתוח 2024'!I23</f>
        <v>0</v>
      </c>
      <c r="J23" s="120">
        <f>'תקציב החברה לפיתוח 2024'!J23</f>
        <v>0</v>
      </c>
      <c r="K23" s="120">
        <f>'תקציב החברה לפיתוח 2024'!K23</f>
        <v>0</v>
      </c>
      <c r="L23" s="120">
        <f>'תקציב החברה לפיתוח 2024'!L23</f>
        <v>1980321</v>
      </c>
      <c r="M23" s="120">
        <f>'תקציב החברה לפיתוח 2024'!M23</f>
        <v>679</v>
      </c>
      <c r="N23" s="120">
        <f>'תקציב החברה לפיתוח 2024'!N23</f>
        <v>69000</v>
      </c>
      <c r="O23" s="120">
        <f>'תקציב החברה לפיתוח 2024'!O23</f>
        <v>0</v>
      </c>
      <c r="P23" s="120">
        <f>'תקציב החברה לפיתוח 2024'!P23</f>
        <v>69679</v>
      </c>
      <c r="Q23" s="120">
        <f>'תקציב החברה לפיתוח 2024'!Q23</f>
        <v>0</v>
      </c>
      <c r="R23" s="120">
        <f>'תקציב החברה לפיתוח 2024'!R23</f>
        <v>0</v>
      </c>
      <c r="S23" s="120">
        <f>'תקציב החברה לפיתוח 2024'!S23</f>
        <v>0</v>
      </c>
      <c r="T23" s="120">
        <f>'תקציב החברה לפיתוח 2024'!T23</f>
        <v>69000</v>
      </c>
      <c r="U23" s="120">
        <f>'תקציב החברה לפיתוח 2024'!U23</f>
        <v>0</v>
      </c>
      <c r="V23" s="120">
        <f>'תקציב החברה לפיתוח 2024'!V23</f>
        <v>0</v>
      </c>
      <c r="W23" s="120">
        <f>'תקציב החברה לפיתוח 2024'!W23</f>
        <v>0</v>
      </c>
      <c r="X23" s="120">
        <f>'תקציב החברה לפיתוח 2024'!X23</f>
        <v>0</v>
      </c>
      <c r="Y23" s="120">
        <f>'תקציב החברה לפיתוח 2024'!Y23</f>
        <v>0</v>
      </c>
      <c r="Z23" s="120">
        <f>'תקציב החברה לפיתוח 2024'!Z23</f>
        <v>0</v>
      </c>
      <c r="AA23" s="120">
        <f>'תקציב החברה לפיתוח 2024'!AA23</f>
        <v>0</v>
      </c>
      <c r="AB23" s="235" t="str">
        <f>'תקציב החברה לפיתוח 2024'!AB23</f>
        <v>עבודות שיקום לשיפור איכות ומראה המים באגם.</v>
      </c>
      <c r="AC23" s="3">
        <v>746000</v>
      </c>
      <c r="AD23" s="134"/>
      <c r="AE23" s="134"/>
      <c r="AF23" s="134"/>
      <c r="AG23" s="134"/>
      <c r="AH23" s="134"/>
      <c r="AI23" s="134"/>
    </row>
    <row r="24" spans="1:35" ht="45" customHeight="1">
      <c r="A24" s="135">
        <f t="shared" si="0"/>
        <v>20</v>
      </c>
      <c r="B24" s="135">
        <f>'תקציב החברה לפיתוח 2024'!B24</f>
        <v>1819</v>
      </c>
      <c r="C24" s="235" t="str">
        <f>'תקציב החברה לפיתוח 2024'!C24</f>
        <v>פיתוח רח' צ.ה.ל</v>
      </c>
      <c r="D24" s="120">
        <f>'תקציב החברה לפיתוח 2024'!D24</f>
        <v>17545000</v>
      </c>
      <c r="E24" s="120">
        <f>'תקציב החברה לפיתוח 2024'!E24</f>
        <v>17545000</v>
      </c>
      <c r="F24" s="120">
        <f>'תקציב החברה לפיתוח 2024'!F24</f>
        <v>0</v>
      </c>
      <c r="G24" s="120">
        <f>'תקציב החברה לפיתוח 2024'!G24</f>
        <v>17545000</v>
      </c>
      <c r="H24" s="120">
        <f>'תקציב החברה לפיתוח 2024'!H24</f>
        <v>15717150</v>
      </c>
      <c r="I24" s="120">
        <f>'תקציב החברה לפיתוח 2024'!I24</f>
        <v>0</v>
      </c>
      <c r="J24" s="120">
        <f>'תקציב החברה לפיתוח 2024'!J24</f>
        <v>0</v>
      </c>
      <c r="K24" s="120">
        <f>'תקציב החברה לפיתוח 2024'!K24</f>
        <v>0</v>
      </c>
      <c r="L24" s="120">
        <f>'תקציב החברה לפיתוח 2024'!L24</f>
        <v>15717150</v>
      </c>
      <c r="M24" s="120">
        <f>'תקציב החברה לפיתוח 2024'!M24</f>
        <v>7850</v>
      </c>
      <c r="N24" s="120">
        <f>'תקציב החברה לפיתוח 2024'!N24</f>
        <v>320000</v>
      </c>
      <c r="O24" s="120">
        <f>'תקציב החברה לפיתוח 2024'!O24</f>
        <v>1500000</v>
      </c>
      <c r="P24" s="120">
        <f>'תקציב החברה לפיתוח 2024'!P24</f>
        <v>1827850</v>
      </c>
      <c r="Q24" s="120">
        <f>'תקציב החברה לפיתוח 2024'!Q24</f>
        <v>0</v>
      </c>
      <c r="R24" s="120">
        <f>'תקציב החברה לפיתוח 2024'!R24</f>
        <v>0</v>
      </c>
      <c r="S24" s="120">
        <f>'תקציב החברה לפיתוח 2024'!S24</f>
        <v>0</v>
      </c>
      <c r="T24" s="120">
        <f>'תקציב החברה לפיתוח 2024'!T24</f>
        <v>1820000</v>
      </c>
      <c r="U24" s="120">
        <f>'תקציב החברה לפיתוח 2024'!U24</f>
        <v>-1500000</v>
      </c>
      <c r="V24" s="120">
        <f>'תקציב החברה לפיתוח 2024'!V24</f>
        <v>-1500000</v>
      </c>
      <c r="W24" s="120">
        <f>'תקציב החברה לפיתוח 2024'!W24</f>
        <v>0</v>
      </c>
      <c r="X24" s="120">
        <f>'תקציב החברה לפיתוח 2024'!X24</f>
        <v>0</v>
      </c>
      <c r="Y24" s="120">
        <f>'תקציב החברה לפיתוח 2024'!Y24</f>
        <v>0</v>
      </c>
      <c r="Z24" s="120">
        <f>'תקציב החברה לפיתוח 2024'!Z24</f>
        <v>0</v>
      </c>
      <c r="AA24" s="120">
        <f>'תקציב החברה לפיתוח 2024'!AA24</f>
        <v>0</v>
      </c>
      <c r="AB24" s="235" t="str">
        <f>'תקציב החברה לפיתוח 2024'!AB24</f>
        <v>המשך פיתוח רחוב צ.ה.ל . חן סופיים. התב"ר לסגירה.</v>
      </c>
      <c r="AC24" s="135">
        <v>742000</v>
      </c>
    </row>
    <row r="25" spans="1:35" ht="45" customHeight="1">
      <c r="A25" s="135">
        <f t="shared" si="0"/>
        <v>21</v>
      </c>
      <c r="B25" s="135">
        <f>'תקציב החברה לפיתוח 2024'!B25</f>
        <v>1833</v>
      </c>
      <c r="C25" s="235" t="str">
        <f>'תקציב החברה לפיתוח 2024'!C25</f>
        <v>אולם ספורט חטיבת זאב</v>
      </c>
      <c r="D25" s="120">
        <f>'תקציב החברה לפיתוח 2024'!D25</f>
        <v>29000000</v>
      </c>
      <c r="E25" s="120">
        <f>'תקציב החברה לפיתוח 2024'!E25</f>
        <v>29000000</v>
      </c>
      <c r="F25" s="120">
        <f>'תקציב החברה לפיתוח 2024'!F25</f>
        <v>0</v>
      </c>
      <c r="G25" s="120">
        <f>'תקציב החברה לפיתוח 2024'!G25</f>
        <v>29000000</v>
      </c>
      <c r="H25" s="120">
        <f>'תקציב החברה לפיתוח 2024'!H25</f>
        <v>28969915</v>
      </c>
      <c r="I25" s="120">
        <f>'תקציב החברה לפיתוח 2024'!I25</f>
        <v>0</v>
      </c>
      <c r="J25" s="120">
        <f>'תקציב החברה לפיתוח 2024'!J25</f>
        <v>0</v>
      </c>
      <c r="K25" s="120">
        <f>'תקציב החברה לפיתוח 2024'!K25</f>
        <v>0</v>
      </c>
      <c r="L25" s="120">
        <f>'תקציב החברה לפיתוח 2024'!L25</f>
        <v>28969915</v>
      </c>
      <c r="M25" s="120">
        <f>'תקציב החברה לפיתוח 2024'!M25</f>
        <v>85</v>
      </c>
      <c r="N25" s="120">
        <f>'תקציב החברה לפיתוח 2024'!N25</f>
        <v>30000</v>
      </c>
      <c r="O25" s="120">
        <f>'תקציב החברה לפיתוח 2024'!O25</f>
        <v>0</v>
      </c>
      <c r="P25" s="120">
        <f>'תקציב החברה לפיתוח 2024'!P25</f>
        <v>30085</v>
      </c>
      <c r="Q25" s="120">
        <f>'תקציב החברה לפיתוח 2024'!Q25</f>
        <v>0</v>
      </c>
      <c r="R25" s="120">
        <f>'תקציב החברה לפיתוח 2024'!R25</f>
        <v>0</v>
      </c>
      <c r="S25" s="120">
        <f>'תקציב החברה לפיתוח 2024'!S25</f>
        <v>0</v>
      </c>
      <c r="T25" s="120">
        <f>'תקציב החברה לפיתוח 2024'!T25</f>
        <v>30000</v>
      </c>
      <c r="U25" s="120">
        <f>'תקציב החברה לפיתוח 2024'!U25</f>
        <v>0</v>
      </c>
      <c r="V25" s="120">
        <f>'תקציב החברה לפיתוח 2024'!V25</f>
        <v>0</v>
      </c>
      <c r="W25" s="120">
        <f>'תקציב החברה לפיתוח 2024'!W25</f>
        <v>0</v>
      </c>
      <c r="X25" s="120">
        <f>'תקציב החברה לפיתוח 2024'!X25</f>
        <v>0</v>
      </c>
      <c r="Y25" s="120">
        <f>'תקציב החברה לפיתוח 2024'!Y25</f>
        <v>0</v>
      </c>
      <c r="Z25" s="120">
        <f>'תקציב החברה לפיתוח 2024'!Z25</f>
        <v>0</v>
      </c>
      <c r="AA25" s="120">
        <f>'תקציב החברה לפיתוח 2024'!AA25</f>
        <v>0</v>
      </c>
      <c r="AB25" s="235" t="str">
        <f>'תקציב החברה לפיתוח 2024'!AB25</f>
        <v>בניית אולם ספורט חדש בחטיבה. חן סופיים. התב"ר לסגירה.</v>
      </c>
      <c r="AC25" s="135">
        <v>829000</v>
      </c>
    </row>
    <row r="26" spans="1:35" s="134" customFormat="1" ht="69">
      <c r="A26" s="135">
        <f t="shared" si="0"/>
        <v>22</v>
      </c>
      <c r="B26" s="135">
        <f>'תקציב החברה לפיתוח 2024'!B26</f>
        <v>1834</v>
      </c>
      <c r="C26" s="235" t="str">
        <f>'תקציב החברה לפיתוח 2024'!C26</f>
        <v>מתנ"ס נווה ישראל</v>
      </c>
      <c r="D26" s="120">
        <f>'תקציב החברה לפיתוח 2024'!D26</f>
        <v>65050000</v>
      </c>
      <c r="E26" s="120">
        <f>'תקציב החברה לפיתוח 2024'!E26</f>
        <v>62120000</v>
      </c>
      <c r="F26" s="120">
        <f>'תקציב החברה לפיתוח 2024'!F26</f>
        <v>2930000</v>
      </c>
      <c r="G26" s="120">
        <f>'תקציב החברה לפיתוח 2024'!G26</f>
        <v>62120000</v>
      </c>
      <c r="H26" s="120">
        <f>'תקציב החברה לפיתוח 2024'!H26</f>
        <v>61523822</v>
      </c>
      <c r="I26" s="120">
        <f>'תקציב החברה לפיתוח 2024'!I26</f>
        <v>0</v>
      </c>
      <c r="J26" s="120">
        <f>'תקציב החברה לפיתוח 2024'!J26</f>
        <v>31203</v>
      </c>
      <c r="K26" s="120">
        <f>'תקציב החברה לפיתוח 2024'!K26</f>
        <v>31203</v>
      </c>
      <c r="L26" s="120">
        <f>'תקציב החברה לפיתוח 2024'!L26</f>
        <v>61555025</v>
      </c>
      <c r="M26" s="120">
        <f>'תקציב החברה לפיתוח 2024'!M26</f>
        <v>4975</v>
      </c>
      <c r="N26" s="120">
        <f>'תקציב החברה לפיתוח 2024'!N26</f>
        <v>3490000</v>
      </c>
      <c r="O26" s="120">
        <f>'תקציב החברה לפיתוח 2024'!O26</f>
        <v>0</v>
      </c>
      <c r="P26" s="120">
        <f>'תקציב החברה לפיתוח 2024'!P26</f>
        <v>564975</v>
      </c>
      <c r="Q26" s="120">
        <f>'תקציב החברה לפיתוח 2024'!Q26</f>
        <v>0</v>
      </c>
      <c r="R26" s="120">
        <f>'תקציב החברה לפיתוח 2024'!R26</f>
        <v>0</v>
      </c>
      <c r="S26" s="120">
        <f>'תקציב החברה לפיתוח 2024'!S26</f>
        <v>0</v>
      </c>
      <c r="T26" s="120">
        <f>'תקציב החברה לפיתוח 2024'!T26</f>
        <v>560000</v>
      </c>
      <c r="U26" s="120">
        <f>'תקציב החברה לפיתוח 2024'!U26</f>
        <v>2930000</v>
      </c>
      <c r="V26" s="120">
        <f>'תקציב החברה לפיתוח 2024'!V26</f>
        <v>2746220</v>
      </c>
      <c r="W26" s="120">
        <f>'תקציב החברה לפיתוח 2024'!W26</f>
        <v>0</v>
      </c>
      <c r="X26" s="120">
        <f>'תקציב החברה לפיתוח 2024'!X26</f>
        <v>0</v>
      </c>
      <c r="Y26" s="120">
        <f>'תקציב החברה לפיתוח 2024'!Y26</f>
        <v>0</v>
      </c>
      <c r="Z26" s="120">
        <f>'תקציב החברה לפיתוח 2024'!Z26</f>
        <v>0</v>
      </c>
      <c r="AA26" s="120">
        <f>'תקציב החברה לפיתוח 2024'!AA26</f>
        <v>183780</v>
      </c>
      <c r="AB26" s="235" t="str">
        <f>'תקציב החברה לפיתוח 2024'!AB26</f>
        <v>מתנ"ס קהילתי  בשטח של כ-4000 מ"ר הכולל גלריה מקומית, ספרייה חדשה,  חדרי חוגים, מועדון גמלאים בית קפה כולל הצטיידות. חן סופיים. מימון רמ"י ( מוס"צ מכרז "הבריגדה")</v>
      </c>
      <c r="AC26" s="135">
        <v>824000</v>
      </c>
    </row>
    <row r="27" spans="1:35" s="134" customFormat="1" ht="45" customHeight="1">
      <c r="A27" s="135">
        <f t="shared" si="0"/>
        <v>23</v>
      </c>
      <c r="B27" s="135">
        <f>'תקציב החברה לפיתוח 2024'!B27</f>
        <v>1835</v>
      </c>
      <c r="C27" s="235" t="str">
        <f>'תקציב החברה לפיתוח 2024'!C27</f>
        <v>פיתוח מתחם מתנ"ס נווה עמל ומגרשי טניס</v>
      </c>
      <c r="D27" s="120">
        <f>'תקציב החברה לפיתוח 2024'!D27</f>
        <v>51500000</v>
      </c>
      <c r="E27" s="120">
        <f>'תקציב החברה לפיתוח 2024'!E27</f>
        <v>51500000</v>
      </c>
      <c r="F27" s="120">
        <f>'תקציב החברה לפיתוח 2024'!F27</f>
        <v>0</v>
      </c>
      <c r="G27" s="120">
        <f>'תקציב החברה לפיתוח 2024'!G27</f>
        <v>21900000</v>
      </c>
      <c r="H27" s="120">
        <f>'תקציב החברה לפיתוח 2024'!H27</f>
        <v>15533156</v>
      </c>
      <c r="I27" s="120">
        <f>'תקציב החברה לפיתוח 2024'!I27</f>
        <v>0</v>
      </c>
      <c r="J27" s="120">
        <f>'תקציב החברה לפיתוח 2024'!J27</f>
        <v>0</v>
      </c>
      <c r="K27" s="120">
        <f>'תקציב החברה לפיתוח 2024'!K27</f>
        <v>0</v>
      </c>
      <c r="L27" s="120">
        <f>'תקציב החברה לפיתוח 2024'!L27</f>
        <v>15533156</v>
      </c>
      <c r="M27" s="120">
        <f>'תקציב החברה לפיתוח 2024'!M27</f>
        <v>16844</v>
      </c>
      <c r="N27" s="120">
        <f>'תקציב החברה לפיתוח 2024'!N27</f>
        <v>10000000</v>
      </c>
      <c r="O27" s="120">
        <f>'תקציב החברה לפיתוח 2024'!O27</f>
        <v>25950000</v>
      </c>
      <c r="P27" s="120">
        <f>'תקציב החברה לפיתוח 2024'!P27</f>
        <v>6366844</v>
      </c>
      <c r="Q27" s="120">
        <f>'תקציב החברה לפיתוח 2024'!Q27</f>
        <v>0</v>
      </c>
      <c r="R27" s="120">
        <f>'תקציב החברה לפיתוח 2024'!R27</f>
        <v>0</v>
      </c>
      <c r="S27" s="120">
        <f>'תקציב החברה לפיתוח 2024'!S27</f>
        <v>0</v>
      </c>
      <c r="T27" s="120">
        <f>'תקציב החברה לפיתוח 2024'!T27</f>
        <v>6350000</v>
      </c>
      <c r="U27" s="120">
        <f>'תקציב החברה לפיתוח 2024'!U27</f>
        <v>3650000</v>
      </c>
      <c r="V27" s="120">
        <f>'תקציב החברה לפיתוח 2024'!V27</f>
        <v>-3852853</v>
      </c>
      <c r="W27" s="120">
        <f>'תקציב החברה לפיתוח 2024'!W27</f>
        <v>0</v>
      </c>
      <c r="X27" s="120">
        <f>'תקציב החברה לפיתוח 2024'!X27</f>
        <v>0</v>
      </c>
      <c r="Y27" s="120">
        <f>'תקציב החברה לפיתוח 2024'!Y27</f>
        <v>0</v>
      </c>
      <c r="Z27" s="120">
        <f>'תקציב החברה לפיתוח 2024'!Z27</f>
        <v>0</v>
      </c>
      <c r="AA27" s="120">
        <f>'תקציב החברה לפיתוח 2024'!AA27</f>
        <v>7502853</v>
      </c>
      <c r="AB27" s="235" t="str">
        <f>'תקציב החברה לפיתוח 2024'!AB27</f>
        <v xml:space="preserve"> הקמת מבנה טניס חדש, שיפוץ מבני מתנ"ס קיים קירוי 2 מגרשי טניס ופיתוח סביבתי למתחם .מימון רמ"י ( מוס"צ מכרז "ק. שחקים, גליל ים ג'")</v>
      </c>
      <c r="AC27" s="135">
        <v>824000</v>
      </c>
    </row>
    <row r="28" spans="1:35" ht="45" customHeight="1">
      <c r="A28" s="135">
        <f t="shared" si="0"/>
        <v>24</v>
      </c>
      <c r="B28" s="135">
        <f>'תקציב החברה לפיתוח 2024'!B28</f>
        <v>1845</v>
      </c>
      <c r="C28" s="235" t="str">
        <f>'תקציב החברה לפיתוח 2024'!C28</f>
        <v xml:space="preserve">חניונים הר'1900 - חניון משכית שינוי תב"ע (*) עדכון </v>
      </c>
      <c r="D28" s="120">
        <f>'תקציב החברה לפיתוח 2024'!D28</f>
        <v>137500000</v>
      </c>
      <c r="E28" s="120">
        <f>'תקציב החברה לפיתוח 2024'!E28</f>
        <v>6000000</v>
      </c>
      <c r="F28" s="120">
        <f>'תקציב החברה לפיתוח 2024'!F28</f>
        <v>131500000</v>
      </c>
      <c r="G28" s="120">
        <f>'תקציב החברה לפיתוח 2024'!G28</f>
        <v>2740000</v>
      </c>
      <c r="H28" s="120">
        <f>'תקציב החברה לפיתוח 2024'!H28</f>
        <v>2721383</v>
      </c>
      <c r="I28" s="120">
        <f>'תקציב החברה לפיתוח 2024'!I28</f>
        <v>0</v>
      </c>
      <c r="J28" s="120">
        <f>'תקציב החברה לפיתוח 2024'!J28</f>
        <v>0</v>
      </c>
      <c r="K28" s="120">
        <f>'תקציב החברה לפיתוח 2024'!K28</f>
        <v>0</v>
      </c>
      <c r="L28" s="120">
        <f>'תקציב החברה לפיתוח 2024'!L28</f>
        <v>2721383</v>
      </c>
      <c r="M28" s="120">
        <f>'תקציב החברה לפיתוח 2024'!M28</f>
        <v>18617</v>
      </c>
      <c r="N28" s="120">
        <f>'תקציב החברה לפיתוח 2024'!N28</f>
        <v>0</v>
      </c>
      <c r="O28" s="120">
        <f>'תקציב החברה לפיתוח 2024'!O28</f>
        <v>134760000</v>
      </c>
      <c r="P28" s="120">
        <f>'תקציב החברה לפיתוח 2024'!P28</f>
        <v>18617</v>
      </c>
      <c r="Q28" s="120">
        <f>'תקציב החברה לפיתוח 2024'!Q28</f>
        <v>0</v>
      </c>
      <c r="R28" s="120">
        <f>'תקציב החברה לפיתוח 2024'!R28</f>
        <v>0</v>
      </c>
      <c r="S28" s="120">
        <f>'תקציב החברה לפיתוח 2024'!S28</f>
        <v>0</v>
      </c>
      <c r="T28" s="120">
        <f>'תקציב החברה לפיתוח 2024'!T28</f>
        <v>0</v>
      </c>
      <c r="U28" s="120">
        <f>'תקציב החברה לפיתוח 2024'!U28</f>
        <v>0</v>
      </c>
      <c r="V28" s="120">
        <f>'תקציב החברה לפיתוח 2024'!V28</f>
        <v>0</v>
      </c>
      <c r="W28" s="120">
        <f>'תקציב החברה לפיתוח 2024'!W28</f>
        <v>0</v>
      </c>
      <c r="X28" s="120">
        <f>'תקציב החברה לפיתוח 2024'!X28</f>
        <v>0</v>
      </c>
      <c r="Y28" s="120">
        <f>'תקציב החברה לפיתוח 2024'!Y28</f>
        <v>0</v>
      </c>
      <c r="Z28" s="120">
        <f>'תקציב החברה לפיתוח 2024'!Z28</f>
        <v>0</v>
      </c>
      <c r="AA28" s="120">
        <f>'תקציב החברה לפיתוח 2024'!AA28</f>
        <v>0</v>
      </c>
      <c r="AB28" s="235" t="str">
        <f>'תקציב החברה לפיתוח 2024'!AB28</f>
        <v xml:space="preserve">הקמת חניון תתקרקעי ברחוב משכית כולל מבנה מסחר ועבודות פיתוח. עדכון שם. </v>
      </c>
      <c r="AC28" s="135">
        <v>742000</v>
      </c>
    </row>
    <row r="29" spans="1:35" ht="45" customHeight="1">
      <c r="A29" s="135">
        <f t="shared" si="0"/>
        <v>25</v>
      </c>
      <c r="B29" s="135">
        <f>'תקציב החברה לפיתוח 2024'!B29</f>
        <v>1896</v>
      </c>
      <c r="C29" s="235" t="str">
        <f>'תקציב החברה לפיתוח 2024'!C29</f>
        <v>קירוי והצללה מגרשי ספורט עירוניים</v>
      </c>
      <c r="D29" s="120">
        <f>'תקציב החברה לפיתוח 2024'!D29</f>
        <v>10300000</v>
      </c>
      <c r="E29" s="120">
        <f>'תקציב החברה לפיתוח 2024'!E29</f>
        <v>7800000</v>
      </c>
      <c r="F29" s="120">
        <f>'תקציב החברה לפיתוח 2024'!F29</f>
        <v>2500000</v>
      </c>
      <c r="G29" s="120">
        <f>'תקציב החברה לפיתוח 2024'!G29</f>
        <v>7800000</v>
      </c>
      <c r="H29" s="120">
        <f>'תקציב החברה לפיתוח 2024'!H29</f>
        <v>6432030</v>
      </c>
      <c r="I29" s="120">
        <f>'תקציב החברה לפיתוח 2024'!I29</f>
        <v>0</v>
      </c>
      <c r="J29" s="120">
        <f>'תקציב החברה לפיתוח 2024'!J29</f>
        <v>951442</v>
      </c>
      <c r="K29" s="120">
        <f>'תקציב החברה לפיתוח 2024'!K29</f>
        <v>951442</v>
      </c>
      <c r="L29" s="120">
        <f>'תקציב החברה לפיתוח 2024'!L29</f>
        <v>7383472</v>
      </c>
      <c r="M29" s="120">
        <f>'תקציב החברה לפיתוח 2024'!M29</f>
        <v>16528</v>
      </c>
      <c r="N29" s="120">
        <f>'תקציב החברה לפיתוח 2024'!N29</f>
        <v>2900000</v>
      </c>
      <c r="O29" s="120">
        <f>'תקציב החברה לפיתוח 2024'!O29</f>
        <v>0</v>
      </c>
      <c r="P29" s="120">
        <f>'תקציב החברה לפיתוח 2024'!P29</f>
        <v>416528</v>
      </c>
      <c r="Q29" s="120">
        <f>'תקציב החברה לפיתוח 2024'!Q29</f>
        <v>0</v>
      </c>
      <c r="R29" s="120">
        <f>'תקציב החברה לפיתוח 2024'!R29</f>
        <v>0</v>
      </c>
      <c r="S29" s="120">
        <f>'תקציב החברה לפיתוח 2024'!S29</f>
        <v>0</v>
      </c>
      <c r="T29" s="120">
        <f>'תקציב החברה לפיתוח 2024'!T29</f>
        <v>400000</v>
      </c>
      <c r="U29" s="120">
        <f>'תקציב החברה לפיתוח 2024'!U29</f>
        <v>2500000</v>
      </c>
      <c r="V29" s="120">
        <f>'תקציב החברה לפיתוח 2024'!V29</f>
        <v>2500000</v>
      </c>
      <c r="W29" s="120">
        <f>'תקציב החברה לפיתוח 2024'!W29</f>
        <v>0</v>
      </c>
      <c r="X29" s="120">
        <f>'תקציב החברה לפיתוח 2024'!X29</f>
        <v>0</v>
      </c>
      <c r="Y29" s="120">
        <f>'תקציב החברה לפיתוח 2024'!Y29</f>
        <v>0</v>
      </c>
      <c r="Z29" s="120">
        <f>'תקציב החברה לפיתוח 2024'!Z29</f>
        <v>0</v>
      </c>
      <c r="AA29" s="120">
        <f>'תקציב החברה לפיתוח 2024'!AA29</f>
        <v>0</v>
      </c>
      <c r="AB29" s="235" t="str">
        <f>'תקציב החברה לפיתוח 2024'!AB29</f>
        <v>התקנת קירוי קשיח ופוטוואלטי במגרשי ספורט. תיכון דור ותיכון חדש.</v>
      </c>
      <c r="AC29" s="135">
        <v>829000</v>
      </c>
    </row>
    <row r="30" spans="1:35" ht="45" customHeight="1">
      <c r="A30" s="135">
        <f t="shared" si="0"/>
        <v>26</v>
      </c>
      <c r="B30" s="135">
        <f>'תקציב החברה לפיתוח 2024'!B30</f>
        <v>1921</v>
      </c>
      <c r="C30" s="235" t="str">
        <f>'תקציב החברה לפיתוח 2024'!C30</f>
        <v>עבודות הרחבה התאמה איצטדיון</v>
      </c>
      <c r="D30" s="120">
        <f>'תקציב החברה לפיתוח 2024'!D30</f>
        <v>45000000</v>
      </c>
      <c r="E30" s="120">
        <f>'תקציב החברה לפיתוח 2024'!E30</f>
        <v>29716000</v>
      </c>
      <c r="F30" s="120">
        <f>'תקציב החברה לפיתוח 2024'!F30</f>
        <v>15284000</v>
      </c>
      <c r="G30" s="120">
        <f>'תקציב החברה לפיתוח 2024'!G30</f>
        <v>10366000</v>
      </c>
      <c r="H30" s="120">
        <f>'תקציב החברה לפיתוח 2024'!H30</f>
        <v>10815733</v>
      </c>
      <c r="I30" s="120">
        <f>'תקציב החברה לפיתוח 2024'!I30</f>
        <v>0</v>
      </c>
      <c r="J30" s="120">
        <f>'תקציב החברה לפיתוח 2024'!J30</f>
        <v>38153</v>
      </c>
      <c r="K30" s="120">
        <f>'תקציב החברה לפיתוח 2024'!K30</f>
        <v>38153</v>
      </c>
      <c r="L30" s="120">
        <f>'תקציב החברה לפיתוח 2024'!L30</f>
        <v>10853886</v>
      </c>
      <c r="M30" s="120">
        <f>'תקציב החברה לפיתוח 2024'!M30</f>
        <v>2114</v>
      </c>
      <c r="N30" s="120">
        <f>'תקציב החברה לפיתוח 2024'!N30</f>
        <v>2860000</v>
      </c>
      <c r="O30" s="120">
        <f>'תקציב החברה לפיתוח 2024'!O30</f>
        <v>31284000</v>
      </c>
      <c r="P30" s="120">
        <f>'תקציב החברה לפיתוח 2024'!P30</f>
        <v>-487886</v>
      </c>
      <c r="Q30" s="120">
        <f>'תקציב החברה לפיתוח 2024'!Q30</f>
        <v>3350000</v>
      </c>
      <c r="R30" s="120">
        <f>'תקציב החברה לפיתוח 2024'!R30</f>
        <v>0</v>
      </c>
      <c r="S30" s="120">
        <f>'תקציב החברה לפיתוח 2024'!S30</f>
        <v>3350000</v>
      </c>
      <c r="T30" s="120">
        <f>'תקציב החברה לפיתוח 2024'!T30</f>
        <v>2860000</v>
      </c>
      <c r="U30" s="120">
        <f>'תקציב החברה לפיתוח 2024'!U30</f>
        <v>0</v>
      </c>
      <c r="V30" s="120">
        <f>'תקציב החברה לפיתוח 2024'!V30</f>
        <v>0</v>
      </c>
      <c r="W30" s="120">
        <f>'תקציב החברה לפיתוח 2024'!W30</f>
        <v>0</v>
      </c>
      <c r="X30" s="120">
        <f>'תקציב החברה לפיתוח 2024'!X30</f>
        <v>0</v>
      </c>
      <c r="Y30" s="120">
        <f>'תקציב החברה לפיתוח 2024'!Y30</f>
        <v>0</v>
      </c>
      <c r="Z30" s="120">
        <f>'תקציב החברה לפיתוח 2024'!Z30</f>
        <v>0</v>
      </c>
      <c r="AA30" s="120">
        <f>'תקציב החברה לפיתוח 2024'!AA30</f>
        <v>0</v>
      </c>
      <c r="AB30" s="235" t="str">
        <f>'תקציב החברה לפיתוח 2024'!AB30</f>
        <v>מבנה קבוצות הנוער  הריסת טריבונות , בניית מלתחות  בניית טריבונה וגג קל. יציע מזרחי.</v>
      </c>
      <c r="AC30" s="135">
        <v>829000</v>
      </c>
    </row>
    <row r="31" spans="1:35" ht="45" customHeight="1">
      <c r="A31" s="135">
        <f t="shared" si="0"/>
        <v>27</v>
      </c>
      <c r="B31" s="135" t="e">
        <f>'תקציב החברה לפיתוח 2024'!#REF!</f>
        <v>#REF!</v>
      </c>
      <c r="C31" s="235" t="e">
        <f>'תקציב החברה לפיתוח 2024'!#REF!</f>
        <v>#REF!</v>
      </c>
      <c r="D31" s="120" t="e">
        <f>'תקציב החברה לפיתוח 2024'!#REF!</f>
        <v>#REF!</v>
      </c>
      <c r="E31" s="120" t="e">
        <f>'תקציב החברה לפיתוח 2024'!#REF!</f>
        <v>#REF!</v>
      </c>
      <c r="F31" s="120" t="e">
        <f>'תקציב החברה לפיתוח 2024'!#REF!</f>
        <v>#REF!</v>
      </c>
      <c r="G31" s="120" t="e">
        <f>'תקציב החברה לפיתוח 2024'!#REF!</f>
        <v>#REF!</v>
      </c>
      <c r="H31" s="120" t="e">
        <f>'תקציב החברה לפיתוח 2024'!#REF!</f>
        <v>#REF!</v>
      </c>
      <c r="I31" s="120" t="e">
        <f>'תקציב החברה לפיתוח 2024'!#REF!</f>
        <v>#REF!</v>
      </c>
      <c r="J31" s="120" t="e">
        <f>'תקציב החברה לפיתוח 2024'!#REF!</f>
        <v>#REF!</v>
      </c>
      <c r="K31" s="120" t="e">
        <f>'תקציב החברה לפיתוח 2024'!#REF!</f>
        <v>#REF!</v>
      </c>
      <c r="L31" s="120" t="e">
        <f>'תקציב החברה לפיתוח 2024'!#REF!</f>
        <v>#REF!</v>
      </c>
      <c r="M31" s="120" t="e">
        <f>'תקציב החברה לפיתוח 2024'!#REF!</f>
        <v>#REF!</v>
      </c>
      <c r="N31" s="120" t="e">
        <f>'תקציב החברה לפיתוח 2024'!#REF!</f>
        <v>#REF!</v>
      </c>
      <c r="O31" s="120" t="e">
        <f>'תקציב החברה לפיתוח 2024'!#REF!</f>
        <v>#REF!</v>
      </c>
      <c r="P31" s="120" t="e">
        <f>'תקציב החברה לפיתוח 2024'!#REF!</f>
        <v>#REF!</v>
      </c>
      <c r="Q31" s="120" t="e">
        <f>'תקציב החברה לפיתוח 2024'!#REF!</f>
        <v>#REF!</v>
      </c>
      <c r="R31" s="120" t="e">
        <f>'תקציב החברה לפיתוח 2024'!#REF!</f>
        <v>#REF!</v>
      </c>
      <c r="S31" s="120" t="e">
        <f>'תקציב החברה לפיתוח 2024'!#REF!</f>
        <v>#REF!</v>
      </c>
      <c r="T31" s="120" t="e">
        <f>'תקציב החברה לפיתוח 2024'!#REF!</f>
        <v>#REF!</v>
      </c>
      <c r="U31" s="120" t="e">
        <f>'תקציב החברה לפיתוח 2024'!#REF!</f>
        <v>#REF!</v>
      </c>
      <c r="V31" s="120" t="e">
        <f>'תקציב החברה לפיתוח 2024'!#REF!</f>
        <v>#REF!</v>
      </c>
      <c r="W31" s="120" t="e">
        <f>'תקציב החברה לפיתוח 2024'!#REF!</f>
        <v>#REF!</v>
      </c>
      <c r="X31" s="120" t="e">
        <f>'תקציב החברה לפיתוח 2024'!#REF!</f>
        <v>#REF!</v>
      </c>
      <c r="Y31" s="120" t="e">
        <f>'תקציב החברה לפיתוח 2024'!#REF!</f>
        <v>#REF!</v>
      </c>
      <c r="Z31" s="120" t="e">
        <f>'תקציב החברה לפיתוח 2024'!#REF!</f>
        <v>#REF!</v>
      </c>
      <c r="AA31" s="120" t="e">
        <f>'תקציב החברה לפיתוח 2024'!#REF!</f>
        <v>#REF!</v>
      </c>
      <c r="AB31" s="235" t="e">
        <f>'תקציב החברה לפיתוח 2024'!#REF!</f>
        <v>#REF!</v>
      </c>
      <c r="AC31" s="135">
        <v>742000</v>
      </c>
    </row>
    <row r="32" spans="1:35" ht="45" customHeight="1">
      <c r="A32" s="135">
        <f t="shared" si="0"/>
        <v>28</v>
      </c>
      <c r="B32" s="135">
        <f>'תקציב החברה לפיתוח 2024'!B31</f>
        <v>1957</v>
      </c>
      <c r="C32" s="235" t="str">
        <f>'תקציב החברה לפיתוח 2024'!C31</f>
        <v>מתחם קמפוס המדעים הרצליה (יד גיורא) (*)</v>
      </c>
      <c r="D32" s="120">
        <f>'תקציב החברה לפיתוח 2024'!D31</f>
        <v>75000000</v>
      </c>
      <c r="E32" s="120">
        <f>'תקציב החברה לפיתוח 2024'!E31</f>
        <v>60000000</v>
      </c>
      <c r="F32" s="120">
        <f>'תקציב החברה לפיתוח 2024'!F31</f>
        <v>15000000</v>
      </c>
      <c r="G32" s="120">
        <f>'תקציב החברה לפיתוח 2024'!G31</f>
        <v>30026967</v>
      </c>
      <c r="H32" s="120">
        <f>'תקציב החברה לפיתוח 2024'!H31</f>
        <v>33624938</v>
      </c>
      <c r="I32" s="120">
        <f>'תקציב החברה לפיתוח 2024'!I31</f>
        <v>0</v>
      </c>
      <c r="J32" s="120">
        <f>'תקציב החברה לפיתוח 2024'!J31</f>
        <v>0</v>
      </c>
      <c r="K32" s="120">
        <f>'תקציב החברה לפיתוח 2024'!K31</f>
        <v>0</v>
      </c>
      <c r="L32" s="120">
        <f>'תקציב החברה לפיתוח 2024'!L31</f>
        <v>33624938</v>
      </c>
      <c r="M32" s="120">
        <f>'תקציב החברה לפיתוח 2024'!M31</f>
        <v>6511</v>
      </c>
      <c r="N32" s="120">
        <f>'תקציב החברה לפיתוח 2024'!N31</f>
        <v>30068551</v>
      </c>
      <c r="O32" s="120">
        <f>'תקציב החברה לפיתוח 2024'!O31</f>
        <v>11300000</v>
      </c>
      <c r="P32" s="120">
        <f>'תקציב החברה לפיתוח 2024'!P31</f>
        <v>-3597971</v>
      </c>
      <c r="Q32" s="120">
        <f>'תקציב החברה לפיתוח 2024'!Q31</f>
        <v>4074482</v>
      </c>
      <c r="R32" s="120">
        <f>'תקציב החברה לפיתוח 2024'!R31</f>
        <v>0</v>
      </c>
      <c r="S32" s="120">
        <f>'תקציב החברה לפיתוח 2024'!S31</f>
        <v>4074482</v>
      </c>
      <c r="T32" s="120">
        <f>'תקציב החברה לפיתוח 2024'!T31</f>
        <v>470000</v>
      </c>
      <c r="U32" s="120">
        <f>'תקציב החברה לפיתוח 2024'!U31</f>
        <v>29598551</v>
      </c>
      <c r="V32" s="120">
        <f>'תקציב החברה לפיתוח 2024'!V31</f>
        <v>26873393</v>
      </c>
      <c r="W32" s="120">
        <f>'תקציב החברה לפיתוח 2024'!W31</f>
        <v>1500000</v>
      </c>
      <c r="X32" s="120">
        <f>'תקציב החברה לפיתוח 2024'!X31</f>
        <v>0</v>
      </c>
      <c r="Y32" s="120">
        <f>'תקציב החברה לפיתוח 2024'!Y31</f>
        <v>0</v>
      </c>
      <c r="Z32" s="120">
        <f>'תקציב החברה לפיתוח 2024'!Z31</f>
        <v>0</v>
      </c>
      <c r="AA32" s="120">
        <f>'תקציב החברה לפיתוח 2024'!AA31</f>
        <v>1225158</v>
      </c>
      <c r="AB32" s="235" t="str">
        <f>'תקציב החברה לפיתוח 2024'!AB31</f>
        <v>הקמת קמפוס מדעים:בי"ס להנדסאים ותיכון חדש. כולל הצטיידות. מימון מ. החינוך. עדכון שם.</v>
      </c>
      <c r="AC32" s="135">
        <v>810000</v>
      </c>
    </row>
    <row r="33" spans="1:35" ht="45" customHeight="1">
      <c r="A33" s="135">
        <f t="shared" si="0"/>
        <v>29</v>
      </c>
      <c r="B33" s="135">
        <f>'תקציב החברה לפיתוח 2024'!B32</f>
        <v>1961</v>
      </c>
      <c r="C33" s="235" t="str">
        <f>'תקציב החברה לפיתוח 2024'!C32</f>
        <v>גשר מעל כביש 20</v>
      </c>
      <c r="D33" s="120">
        <f>'תקציב החברה לפיתוח 2024'!D32</f>
        <v>300000</v>
      </c>
      <c r="E33" s="120">
        <f>'תקציב החברה לפיתוח 2024'!E32</f>
        <v>128000000</v>
      </c>
      <c r="F33" s="120">
        <f>'תקציב החברה לפיתוח 2024'!F32</f>
        <v>-127700000</v>
      </c>
      <c r="G33" s="120">
        <f>'תקציב החברה לפיתוח 2024'!G32</f>
        <v>500000</v>
      </c>
      <c r="H33" s="120">
        <f>'תקציב החברה לפיתוח 2024'!H32</f>
        <v>0</v>
      </c>
      <c r="I33" s="120">
        <f>'תקציב החברה לפיתוח 2024'!I32</f>
        <v>0</v>
      </c>
      <c r="J33" s="120">
        <f>'תקציב החברה לפיתוח 2024'!J32</f>
        <v>0</v>
      </c>
      <c r="K33" s="120">
        <f>'תקציב החברה לפיתוח 2024'!K32</f>
        <v>0</v>
      </c>
      <c r="L33" s="120">
        <f>'תקציב החברה לפיתוח 2024'!L32</f>
        <v>0</v>
      </c>
      <c r="M33" s="120">
        <f>'תקציב החברה לפיתוח 2024'!M32</f>
        <v>0</v>
      </c>
      <c r="N33" s="120">
        <f>'תקציב החברה לפיתוח 2024'!N32</f>
        <v>300000</v>
      </c>
      <c r="O33" s="120">
        <f>'תקציב החברה לפיתוח 2024'!O32</f>
        <v>0</v>
      </c>
      <c r="P33" s="120">
        <f>'תקציב החברה לפיתוח 2024'!P32</f>
        <v>500000</v>
      </c>
      <c r="Q33" s="120">
        <f>'תקציב החברה לפיתוח 2024'!Q32</f>
        <v>0</v>
      </c>
      <c r="R33" s="120">
        <f>'תקציב החברה לפיתוח 2024'!R32</f>
        <v>0</v>
      </c>
      <c r="S33" s="120">
        <f>'תקציב החברה לפיתוח 2024'!S32</f>
        <v>0</v>
      </c>
      <c r="T33" s="120">
        <f>'תקציב החברה לפיתוח 2024'!T32</f>
        <v>500000</v>
      </c>
      <c r="U33" s="120">
        <f>'תקציב החברה לפיתוח 2024'!U32</f>
        <v>-200000</v>
      </c>
      <c r="V33" s="120">
        <f>'תקציב החברה לפיתוח 2024'!V32</f>
        <v>-200000</v>
      </c>
      <c r="W33" s="120">
        <f>'תקציב החברה לפיתוח 2024'!W32</f>
        <v>0</v>
      </c>
      <c r="X33" s="120">
        <f>'תקציב החברה לפיתוח 2024'!X32</f>
        <v>0</v>
      </c>
      <c r="Y33" s="120">
        <f>'תקציב החברה לפיתוח 2024'!Y32</f>
        <v>0</v>
      </c>
      <c r="Z33" s="120">
        <f>'תקציב החברה לפיתוח 2024'!Z32</f>
        <v>0</v>
      </c>
      <c r="AA33" s="120">
        <f>'תקציב החברה לפיתוח 2024'!AA32</f>
        <v>0</v>
      </c>
      <c r="AB33" s="235" t="str">
        <f>'תקציב החברה לפיתוח 2024'!AB32</f>
        <v>פיתוח הגשר מעל כביש 20 איזור גליל ים.  תכנון. הביצוע ע"י נתיבי איילון.</v>
      </c>
      <c r="AC33" s="135">
        <v>742000</v>
      </c>
    </row>
    <row r="34" spans="1:35" customFormat="1" ht="45" customHeight="1">
      <c r="A34" s="135">
        <f t="shared" si="0"/>
        <v>30</v>
      </c>
      <c r="B34" s="135">
        <f>'תקציב החברה לפיתוח 2024'!B33</f>
        <v>2001</v>
      </c>
      <c r="C34" s="235" t="str">
        <f>'תקציב החברה לפיתוח 2024'!C33</f>
        <v>בניית בי"ס ברחוב משה (ירוק)</v>
      </c>
      <c r="D34" s="120">
        <f>'תקציב החברה לפיתוח 2024'!D33</f>
        <v>25000000</v>
      </c>
      <c r="E34" s="120">
        <f>'תקציב החברה לפיתוח 2024'!E33</f>
        <v>18500000</v>
      </c>
      <c r="F34" s="120">
        <f>'תקציב החברה לפיתוח 2024'!F33</f>
        <v>6500000</v>
      </c>
      <c r="G34" s="120">
        <f>'תקציב החברה לפיתוח 2024'!G33</f>
        <v>8398700</v>
      </c>
      <c r="H34" s="120">
        <f>'תקציב החברה לפיתוח 2024'!H33</f>
        <v>6406298</v>
      </c>
      <c r="I34" s="120">
        <f>'תקציב החברה לפיתוח 2024'!I33</f>
        <v>0</v>
      </c>
      <c r="J34" s="120">
        <f>'תקציב החברה לפיתוח 2024'!J33</f>
        <v>0</v>
      </c>
      <c r="K34" s="120">
        <f>'תקציב החברה לפיתוח 2024'!K33</f>
        <v>0</v>
      </c>
      <c r="L34" s="120">
        <f>'תקציב החברה לפיתוח 2024'!L33</f>
        <v>6406298</v>
      </c>
      <c r="M34" s="120">
        <f>'תקציב החברה לפיתוח 2024'!M33</f>
        <v>2402</v>
      </c>
      <c r="N34" s="120">
        <f>'תקציב החברה לפיתוח 2024'!N33</f>
        <v>11591300</v>
      </c>
      <c r="O34" s="120">
        <f>'תקציב החברה לפיתוח 2024'!O33</f>
        <v>7000000</v>
      </c>
      <c r="P34" s="120">
        <f>'תקציב החברה לפיתוח 2024'!P33</f>
        <v>1992402</v>
      </c>
      <c r="Q34" s="120">
        <f>'תקציב החברה לפיתוח 2024'!Q33</f>
        <v>0</v>
      </c>
      <c r="R34" s="120">
        <f>'תקציב החברה לפיתוח 2024'!R33</f>
        <v>0</v>
      </c>
      <c r="S34" s="120">
        <f>'תקציב החברה לפיתוח 2024'!S33</f>
        <v>0</v>
      </c>
      <c r="T34" s="120">
        <f>'תקציב החברה לפיתוח 2024'!T33</f>
        <v>1990000</v>
      </c>
      <c r="U34" s="120">
        <f>'תקציב החברה לפיתוח 2024'!U33</f>
        <v>9601300</v>
      </c>
      <c r="V34" s="120">
        <f>'תקציב החברה לפיתוח 2024'!V33</f>
        <v>8601300</v>
      </c>
      <c r="W34" s="120">
        <f>'תקציב החברה לפיתוח 2024'!W33</f>
        <v>1000000</v>
      </c>
      <c r="X34" s="120">
        <f>'תקציב החברה לפיתוח 2024'!X33</f>
        <v>0</v>
      </c>
      <c r="Y34" s="120">
        <f>'תקציב החברה לפיתוח 2024'!Y33</f>
        <v>0</v>
      </c>
      <c r="Z34" s="120">
        <f>'תקציב החברה לפיתוח 2024'!Z33</f>
        <v>0</v>
      </c>
      <c r="AA34" s="120">
        <f>'תקציב החברה לפיתוח 2024'!AA33</f>
        <v>0</v>
      </c>
      <c r="AB34" s="235" t="str">
        <f>'תקציב החברה לפיתוח 2024'!AB33</f>
        <v>בניית בית ספר ברח' משה-12 כתות. כולל הצטיידות.</v>
      </c>
      <c r="AC34" s="3">
        <v>810000</v>
      </c>
      <c r="AD34" s="134"/>
      <c r="AE34" s="134"/>
      <c r="AF34" s="134"/>
      <c r="AG34" s="134"/>
    </row>
    <row r="35" spans="1:35" s="139" customFormat="1" ht="45" customHeight="1">
      <c r="A35" s="135">
        <f t="shared" si="0"/>
        <v>31</v>
      </c>
      <c r="B35" s="135">
        <f>'תקציב החברה לפיתוח 2024'!B34</f>
        <v>2002</v>
      </c>
      <c r="C35" s="235" t="str">
        <f>'תקציב החברה לפיתוח 2024'!C34</f>
        <v>הכשרת חניון העוגן</v>
      </c>
      <c r="D35" s="120">
        <f>'תקציב החברה לפיתוח 2024'!D34</f>
        <v>2300000</v>
      </c>
      <c r="E35" s="120">
        <f>'תקציב החברה לפיתוח 2024'!E34</f>
        <v>1500000</v>
      </c>
      <c r="F35" s="120">
        <f>'תקציב החברה לפיתוח 2024'!F34</f>
        <v>800000</v>
      </c>
      <c r="G35" s="120">
        <f>'תקציב החברה לפיתוח 2024'!G34</f>
        <v>1500000</v>
      </c>
      <c r="H35" s="120">
        <f>'תקציב החברה לפיתוח 2024'!H34</f>
        <v>1495997</v>
      </c>
      <c r="I35" s="120">
        <f>'תקציב החברה לפיתוח 2024'!I34</f>
        <v>0</v>
      </c>
      <c r="J35" s="120">
        <f>'תקציב החברה לפיתוח 2024'!J34</f>
        <v>0</v>
      </c>
      <c r="K35" s="120">
        <f>'תקציב החברה לפיתוח 2024'!K34</f>
        <v>0</v>
      </c>
      <c r="L35" s="120">
        <f>'תקציב החברה לפיתוח 2024'!L34</f>
        <v>1495997</v>
      </c>
      <c r="M35" s="120">
        <f>'תקציב החברה לפיתוח 2024'!M34</f>
        <v>4003</v>
      </c>
      <c r="N35" s="120">
        <f>'תקציב החברה לפיתוח 2024'!N34</f>
        <v>500000</v>
      </c>
      <c r="O35" s="120">
        <f>'תקציב החברה לפיתוח 2024'!O34</f>
        <v>300000</v>
      </c>
      <c r="P35" s="120">
        <f>'תקציב החברה לפיתוח 2024'!P34</f>
        <v>4003</v>
      </c>
      <c r="Q35" s="120">
        <f>'תקציב החברה לפיתוח 2024'!Q34</f>
        <v>0</v>
      </c>
      <c r="R35" s="120">
        <f>'תקציב החברה לפיתוח 2024'!R34</f>
        <v>0</v>
      </c>
      <c r="S35" s="120">
        <f>'תקציב החברה לפיתוח 2024'!S34</f>
        <v>0</v>
      </c>
      <c r="T35" s="120">
        <f>'תקציב החברה לפיתוח 2024'!T34</f>
        <v>0</v>
      </c>
      <c r="U35" s="120">
        <f>'תקציב החברה לפיתוח 2024'!U34</f>
        <v>500000</v>
      </c>
      <c r="V35" s="120">
        <f>'תקציב החברה לפיתוח 2024'!V34</f>
        <v>500000</v>
      </c>
      <c r="W35" s="120">
        <f>'תקציב החברה לפיתוח 2024'!W34</f>
        <v>0</v>
      </c>
      <c r="X35" s="120">
        <f>'תקציב החברה לפיתוח 2024'!X34</f>
        <v>0</v>
      </c>
      <c r="Y35" s="120">
        <f>'תקציב החברה לפיתוח 2024'!Y34</f>
        <v>0</v>
      </c>
      <c r="Z35" s="120">
        <f>'תקציב החברה לפיתוח 2024'!Z34</f>
        <v>0</v>
      </c>
      <c r="AA35" s="120">
        <f>'תקציב החברה לפיתוח 2024'!AA34</f>
        <v>0</v>
      </c>
      <c r="AB35" s="235" t="str">
        <f>'תקציב החברה לפיתוח 2024'!AB34</f>
        <v>הכשרת חניון העוגן במרינה לחניון בתשלום. השלמת מע. תקשורת ומצלמות.</v>
      </c>
      <c r="AC35" s="341">
        <v>742000</v>
      </c>
      <c r="AD35" s="134"/>
      <c r="AE35" s="134"/>
      <c r="AF35" s="134"/>
      <c r="AG35" s="134"/>
      <c r="AH35" s="134"/>
      <c r="AI35" s="134"/>
    </row>
    <row r="36" spans="1:35" s="139" customFormat="1" ht="45" customHeight="1">
      <c r="A36" s="135">
        <f t="shared" si="0"/>
        <v>32</v>
      </c>
      <c r="B36" s="135">
        <f>'תקציב החברה לפיתוח 2024'!B35</f>
        <v>2008</v>
      </c>
      <c r="C36" s="235" t="str">
        <f>'תקציב החברה לפיתוח 2024'!C35</f>
        <v>שדרות ה - 93 הבאר</v>
      </c>
      <c r="D36" s="120">
        <f>'תקציב החברה לפיתוח 2024'!D35</f>
        <v>2500000</v>
      </c>
      <c r="E36" s="120">
        <f>'תקציב החברה לפיתוח 2024'!E35</f>
        <v>2500000</v>
      </c>
      <c r="F36" s="120">
        <f>'תקציב החברה לפיתוח 2024'!F35</f>
        <v>0</v>
      </c>
      <c r="G36" s="120">
        <f>'תקציב החברה לפיתוח 2024'!G35</f>
        <v>450000</v>
      </c>
      <c r="H36" s="120">
        <f>'תקציב החברה לפיתוח 2024'!H35</f>
        <v>41210</v>
      </c>
      <c r="I36" s="120">
        <f>'תקציב החברה לפיתוח 2024'!I35</f>
        <v>0</v>
      </c>
      <c r="J36" s="120">
        <f>'תקציב החברה לפיתוח 2024'!J35</f>
        <v>0</v>
      </c>
      <c r="K36" s="120">
        <f>'תקציב החברה לפיתוח 2024'!K35</f>
        <v>0</v>
      </c>
      <c r="L36" s="120">
        <f>'תקציב החברה לפיתוח 2024'!L35</f>
        <v>41210</v>
      </c>
      <c r="M36" s="120">
        <f>'תקציב החברה לפיתוח 2024'!M35</f>
        <v>8790</v>
      </c>
      <c r="N36" s="120">
        <f>'תקציב החברה לפיתוח 2024'!N35</f>
        <v>1700000</v>
      </c>
      <c r="O36" s="120">
        <f>'תקציב החברה לפיתוח 2024'!O35</f>
        <v>750000</v>
      </c>
      <c r="P36" s="120">
        <f>'תקציב החברה לפיתוח 2024'!P35</f>
        <v>408790</v>
      </c>
      <c r="Q36" s="120">
        <f>'תקציב החברה לפיתוח 2024'!Q35</f>
        <v>300000</v>
      </c>
      <c r="R36" s="120">
        <f>'תקציב החברה לפיתוח 2024'!R35</f>
        <v>0</v>
      </c>
      <c r="S36" s="120">
        <f>'תקציב החברה לפיתוח 2024'!S35</f>
        <v>300000</v>
      </c>
      <c r="T36" s="120">
        <f>'תקציב החברה לפיתוח 2024'!T35</f>
        <v>700000</v>
      </c>
      <c r="U36" s="120">
        <f>'תקציב החברה לפיתוח 2024'!U35</f>
        <v>1000000</v>
      </c>
      <c r="V36" s="120">
        <f>'תקציב החברה לפיתוח 2024'!V35</f>
        <v>1000000</v>
      </c>
      <c r="W36" s="120">
        <f>'תקציב החברה לפיתוח 2024'!W35</f>
        <v>0</v>
      </c>
      <c r="X36" s="120">
        <f>'תקציב החברה לפיתוח 2024'!X35</f>
        <v>0</v>
      </c>
      <c r="Y36" s="120">
        <f>'תקציב החברה לפיתוח 2024'!Y35</f>
        <v>0</v>
      </c>
      <c r="Z36" s="120">
        <f>'תקציב החברה לפיתוח 2024'!Z35</f>
        <v>0</v>
      </c>
      <c r="AA36" s="120">
        <f>'תקציב החברה לפיתוח 2024'!AA35</f>
        <v>0</v>
      </c>
      <c r="AB36" s="235" t="str">
        <f>'תקציב החברה לפיתוח 2024'!AB35</f>
        <v>הסדרת הסמטה  המקשרת בין רח' אליעזר קפלן במזרח לרח' וינגייט  במערב.</v>
      </c>
      <c r="AC36" s="135">
        <v>742000</v>
      </c>
      <c r="AD36" s="134"/>
      <c r="AE36" s="134"/>
      <c r="AF36" s="134"/>
      <c r="AG36" s="134"/>
      <c r="AH36" s="134"/>
      <c r="AI36" s="134"/>
    </row>
    <row r="37" spans="1:35" s="5" customFormat="1" ht="69">
      <c r="A37" s="135">
        <f t="shared" si="0"/>
        <v>33</v>
      </c>
      <c r="B37" s="135">
        <f>'תקציב החברה לפיתוח 2024'!B36</f>
        <v>2009</v>
      </c>
      <c r="C37" s="235" t="str">
        <f>'תקציב החברה לפיתוח 2024'!C36</f>
        <v>סמטת ניסנוב</v>
      </c>
      <c r="D37" s="120">
        <f>'תקציב החברה לפיתוח 2024'!D36</f>
        <v>13700000</v>
      </c>
      <c r="E37" s="120">
        <f>'תקציב החברה לפיתוח 2024'!E36</f>
        <v>13700000</v>
      </c>
      <c r="F37" s="120">
        <f>'תקציב החברה לפיתוח 2024'!F36</f>
        <v>0</v>
      </c>
      <c r="G37" s="120">
        <f>'תקציב החברה לפיתוח 2024'!G36</f>
        <v>2200000</v>
      </c>
      <c r="H37" s="120">
        <f>'תקציב החברה לפיתוח 2024'!H36</f>
        <v>3711086</v>
      </c>
      <c r="I37" s="120">
        <f>'תקציב החברה לפיתוח 2024'!I36</f>
        <v>0</v>
      </c>
      <c r="J37" s="120">
        <f>'תקציב החברה לפיתוח 2024'!J36</f>
        <v>0</v>
      </c>
      <c r="K37" s="120">
        <f>'תקציב החברה לפיתוח 2024'!K36</f>
        <v>0</v>
      </c>
      <c r="L37" s="120">
        <f>'תקציב החברה לפיתוח 2024'!L36</f>
        <v>3711086</v>
      </c>
      <c r="M37" s="120">
        <f>'תקציב החברה לפיתוח 2024'!M36</f>
        <v>3914</v>
      </c>
      <c r="N37" s="120">
        <f>'תקציב החברה לפיתוח 2024'!N36</f>
        <v>5485000</v>
      </c>
      <c r="O37" s="120">
        <f>'תקציב החברה לפיתוח 2024'!O36</f>
        <v>4500000</v>
      </c>
      <c r="P37" s="120">
        <f>'תקציב החברה לפיתוח 2024'!P36</f>
        <v>-1511086</v>
      </c>
      <c r="Q37" s="120">
        <f>'תקציב החברה לפיתוח 2024'!Q36</f>
        <v>2000000</v>
      </c>
      <c r="R37" s="120">
        <f>'תקציב החברה לפיתוח 2024'!R36</f>
        <v>0</v>
      </c>
      <c r="S37" s="120">
        <f>'תקציב החברה לפיתוח 2024'!S36</f>
        <v>2000000</v>
      </c>
      <c r="T37" s="120">
        <f>'תקציב החברה לפיתוח 2024'!T36</f>
        <v>485000</v>
      </c>
      <c r="U37" s="120">
        <f>'תקציב החברה לפיתוח 2024'!U36</f>
        <v>5000000</v>
      </c>
      <c r="V37" s="120">
        <f>'תקציב החברה לפיתוח 2024'!V36</f>
        <v>-300952</v>
      </c>
      <c r="W37" s="120">
        <f>'תקציב החברה לפיתוח 2024'!W36</f>
        <v>0</v>
      </c>
      <c r="X37" s="120">
        <f>'תקציב החברה לפיתוח 2024'!X36</f>
        <v>0</v>
      </c>
      <c r="Y37" s="120">
        <f>'תקציב החברה לפיתוח 2024'!Y36</f>
        <v>0</v>
      </c>
      <c r="Z37" s="120">
        <f>'תקציב החברה לפיתוח 2024'!Z36</f>
        <v>0</v>
      </c>
      <c r="AA37" s="120">
        <f>'תקציב החברה לפיתוח 2024'!AA36</f>
        <v>5300952</v>
      </c>
      <c r="AB37" s="235" t="str">
        <f>'תקציב החברה לפיתוח 2024'!AB36</f>
        <v>פיתוח סימטה שהפכה לדרך במסגרת תב"ע 2029 בנווה עמל. העבודות כוללות החלפת תשתיות תת קרקעיות,הריסת מבנה והתחברות לרח' כצלנסון. מימון רמ"י ( ישן מול חדש מכרזי רמ"י).</v>
      </c>
      <c r="AC37" s="3">
        <v>742000</v>
      </c>
      <c r="AD37" s="134"/>
      <c r="AE37" s="134"/>
      <c r="AF37" s="134"/>
      <c r="AG37" s="134"/>
      <c r="AH37" s="134"/>
      <c r="AI37" s="134"/>
    </row>
    <row r="38" spans="1:35" s="5" customFormat="1" ht="45" customHeight="1">
      <c r="A38" s="135">
        <f t="shared" ref="A38:A70" si="1">A37+1</f>
        <v>34</v>
      </c>
      <c r="B38" s="135">
        <f>'תקציב החברה לפיתוח 2024'!B37</f>
        <v>2011</v>
      </c>
      <c r="C38" s="235" t="str">
        <f>'תקציב החברה לפיתוח 2024'!C37</f>
        <v xml:space="preserve">הקמת חניון מרינה לי </v>
      </c>
      <c r="D38" s="120">
        <f>'תקציב החברה לפיתוח 2024'!D37</f>
        <v>80000000</v>
      </c>
      <c r="E38" s="120">
        <f>'תקציב החברה לפיתוח 2024'!E37</f>
        <v>80000000</v>
      </c>
      <c r="F38" s="120">
        <f>'תקציב החברה לפיתוח 2024'!F37</f>
        <v>0</v>
      </c>
      <c r="G38" s="120">
        <f>'תקציב החברה לפיתוח 2024'!G37</f>
        <v>42562673</v>
      </c>
      <c r="H38" s="120">
        <f>'תקציב החברה לפיתוח 2024'!H37</f>
        <v>48280954</v>
      </c>
      <c r="I38" s="120">
        <f>'תקציב החברה לפיתוח 2024'!I37</f>
        <v>0</v>
      </c>
      <c r="J38" s="120">
        <f>'תקציב החברה לפיתוח 2024'!J37</f>
        <v>0</v>
      </c>
      <c r="K38" s="120">
        <f>'תקציב החברה לפיתוח 2024'!K37</f>
        <v>0</v>
      </c>
      <c r="L38" s="120">
        <f>'תקציב החברה לפיתוח 2024'!L37</f>
        <v>48280954</v>
      </c>
      <c r="M38" s="120">
        <f>'תקציב החברה לפיתוח 2024'!M37</f>
        <v>1719</v>
      </c>
      <c r="N38" s="120">
        <f>'תקציב החברה לפיתוח 2024'!N37</f>
        <v>25117327</v>
      </c>
      <c r="O38" s="120">
        <f>'תקציב החברה לפיתוח 2024'!O37</f>
        <v>6600000</v>
      </c>
      <c r="P38" s="120">
        <f>'תקציב החברה לפיתוח 2024'!P37</f>
        <v>-5718281</v>
      </c>
      <c r="Q38" s="120">
        <f>'תקציב החברה לפיתוח 2024'!Q37</f>
        <v>6000000</v>
      </c>
      <c r="R38" s="120">
        <f>'תקציב החברה לפיתוח 2024'!R37</f>
        <v>0</v>
      </c>
      <c r="S38" s="120">
        <f>'תקציב החברה לפיתוח 2024'!S37</f>
        <v>6000000</v>
      </c>
      <c r="T38" s="120">
        <f>'תקציב החברה לפיתוח 2024'!T37</f>
        <v>280000</v>
      </c>
      <c r="U38" s="120">
        <f>'תקציב החברה לפיתוח 2024'!U37</f>
        <v>24837327</v>
      </c>
      <c r="V38" s="120">
        <f>'תקציב החברה לפיתוח 2024'!V37</f>
        <v>24837327</v>
      </c>
      <c r="W38" s="120">
        <f>'תקציב החברה לפיתוח 2024'!W37</f>
        <v>0</v>
      </c>
      <c r="X38" s="120">
        <f>'תקציב החברה לפיתוח 2024'!X37</f>
        <v>0</v>
      </c>
      <c r="Y38" s="120">
        <f>'תקציב החברה לפיתוח 2024'!Y37</f>
        <v>0</v>
      </c>
      <c r="Z38" s="120">
        <f>'תקציב החברה לפיתוח 2024'!Z37</f>
        <v>0</v>
      </c>
      <c r="AA38" s="120">
        <f>'תקציב החברה לפיתוח 2024'!AA37</f>
        <v>0</v>
      </c>
      <c r="AB38" s="235" t="str">
        <f>'תקציב החברה לפיתוח 2024'!AB37</f>
        <v xml:space="preserve">הקמת החניון מתחת לשצ"פ במתחם המרינה לי. </v>
      </c>
      <c r="AC38" s="3">
        <v>742000</v>
      </c>
      <c r="AD38" s="134"/>
      <c r="AE38" s="134"/>
      <c r="AF38" s="134"/>
      <c r="AG38" s="134"/>
      <c r="AH38" s="134"/>
      <c r="AI38" s="134"/>
    </row>
    <row r="39" spans="1:35" s="139" customFormat="1" ht="45" customHeight="1">
      <c r="A39" s="135">
        <f t="shared" si="1"/>
        <v>35</v>
      </c>
      <c r="B39" s="135">
        <f>'תקציב החברה לפיתוח 2024'!B38</f>
        <v>2015</v>
      </c>
      <c r="C39" s="235" t="str">
        <f>'תקציב החברה לפיתוח 2024'!C38</f>
        <v xml:space="preserve"> מרכז מדעים וקהילה </v>
      </c>
      <c r="D39" s="120">
        <f>'תקציב החברה לפיתוח 2024'!D38</f>
        <v>54000000</v>
      </c>
      <c r="E39" s="120">
        <f>'תקציב החברה לפיתוח 2024'!E38</f>
        <v>54000000</v>
      </c>
      <c r="F39" s="120">
        <f>'תקציב החברה לפיתוח 2024'!F38</f>
        <v>0</v>
      </c>
      <c r="G39" s="120">
        <f>'תקציב החברה לפיתוח 2024'!G38</f>
        <v>43734031</v>
      </c>
      <c r="H39" s="120">
        <f>'תקציב החברה לפיתוח 2024'!H38</f>
        <v>45608729</v>
      </c>
      <c r="I39" s="120">
        <f>'תקציב החברה לפיתוח 2024'!I38</f>
        <v>0</v>
      </c>
      <c r="J39" s="120">
        <f>'תקציב החברה לפיתוח 2024'!J38</f>
        <v>15678</v>
      </c>
      <c r="K39" s="120">
        <f>'תקציב החברה לפיתוח 2024'!K38</f>
        <v>15678</v>
      </c>
      <c r="L39" s="120">
        <f>'תקציב החברה לפיתוח 2024'!L38</f>
        <v>45624407</v>
      </c>
      <c r="M39" s="120">
        <f>'תקציב החברה לפיתוח 2024'!M38</f>
        <v>9624</v>
      </c>
      <c r="N39" s="120">
        <f>'תקציב החברה לפיתוח 2024'!N38</f>
        <v>8365969</v>
      </c>
      <c r="O39" s="120">
        <f>'תקציב החברה לפיתוח 2024'!O38</f>
        <v>0</v>
      </c>
      <c r="P39" s="120">
        <f>'תקציב החברה לפיתוח 2024'!P38</f>
        <v>-1890376</v>
      </c>
      <c r="Q39" s="120">
        <f>'תקציב החברה לפיתוח 2024'!Q38</f>
        <v>2000000</v>
      </c>
      <c r="R39" s="120">
        <f>'תקציב החברה לפיתוח 2024'!R38</f>
        <v>0</v>
      </c>
      <c r="S39" s="120">
        <f>'תקציב החברה לפיתוח 2024'!S38</f>
        <v>2000000</v>
      </c>
      <c r="T39" s="120">
        <f>'תקציב החברה לפיתוח 2024'!T38</f>
        <v>100000</v>
      </c>
      <c r="U39" s="120">
        <f>'תקציב החברה לפיתוח 2024'!U38</f>
        <v>8265969</v>
      </c>
      <c r="V39" s="120">
        <f>'תקציב החברה לפיתוח 2024'!V38</f>
        <v>8265969</v>
      </c>
      <c r="W39" s="120">
        <f>'תקציב החברה לפיתוח 2024'!W38</f>
        <v>0</v>
      </c>
      <c r="X39" s="120">
        <f>'תקציב החברה לפיתוח 2024'!X38</f>
        <v>0</v>
      </c>
      <c r="Y39" s="120">
        <f>'תקציב החברה לפיתוח 2024'!Y38</f>
        <v>0</v>
      </c>
      <c r="Z39" s="120">
        <f>'תקציב החברה לפיתוח 2024'!Z38</f>
        <v>0</v>
      </c>
      <c r="AA39" s="120">
        <f>'תקציב החברה לפיתוח 2024'!AA38</f>
        <v>0</v>
      </c>
      <c r="AB39" s="235" t="str">
        <f>'תקציב החברה לפיתוח 2024'!AB38</f>
        <v xml:space="preserve">עבודות בניה ופיתוח מרכז מדעיים וקהילה באלתרמן. מבנה 5 קומות ופיתוח. </v>
      </c>
      <c r="AC39" s="135">
        <v>810000</v>
      </c>
      <c r="AD39" s="134"/>
      <c r="AE39" s="134"/>
      <c r="AF39" s="134"/>
      <c r="AG39" s="134"/>
      <c r="AH39" s="134"/>
      <c r="AI39" s="134"/>
    </row>
    <row r="40" spans="1:35" ht="45" customHeight="1">
      <c r="A40" s="135">
        <f t="shared" si="1"/>
        <v>36</v>
      </c>
      <c r="B40" s="135">
        <f>'תקציב החברה לפיתוח 2024'!B39</f>
        <v>2017</v>
      </c>
      <c r="C40" s="235" t="str">
        <f>'תקציב החברה לפיתוח 2024'!C39</f>
        <v xml:space="preserve">הקמת מתנ"ס (*) בית קהילה רחוב המסילה  </v>
      </c>
      <c r="D40" s="120">
        <f>'תקציב החברה לפיתוח 2024'!D39</f>
        <v>37100000</v>
      </c>
      <c r="E40" s="120">
        <f>'תקציב החברה לפיתוח 2024'!E39</f>
        <v>37100000</v>
      </c>
      <c r="F40" s="120">
        <f>'תקציב החברה לפיתוח 2024'!F39</f>
        <v>0</v>
      </c>
      <c r="G40" s="120">
        <f>'תקציב החברה לפיתוח 2024'!G39</f>
        <v>23100000</v>
      </c>
      <c r="H40" s="120">
        <f>'תקציב החברה לפיתוח 2024'!H39</f>
        <v>25401294</v>
      </c>
      <c r="I40" s="120">
        <f>'תקציב החברה לפיתוח 2024'!I39</f>
        <v>0</v>
      </c>
      <c r="J40" s="120">
        <f>'תקציב החברה לפיתוח 2024'!J39</f>
        <v>0</v>
      </c>
      <c r="K40" s="120">
        <f>'תקציב החברה לפיתוח 2024'!K39</f>
        <v>0</v>
      </c>
      <c r="L40" s="120">
        <f>'תקציב החברה לפיתוח 2024'!L39</f>
        <v>25401294</v>
      </c>
      <c r="M40" s="120">
        <f>'תקציב החברה לפיתוח 2024'!M39</f>
        <v>8706</v>
      </c>
      <c r="N40" s="120">
        <f>'תקציב החברה לפיתוח 2024'!N39</f>
        <v>6690000</v>
      </c>
      <c r="O40" s="120">
        <f>'תקציב החברה לפיתוח 2024'!O39</f>
        <v>5000000</v>
      </c>
      <c r="P40" s="120">
        <f>'תקציב החברה לפיתוח 2024'!P39</f>
        <v>-2301294</v>
      </c>
      <c r="Q40" s="120">
        <f>'תקציב החברה לפיתוח 2024'!Q39</f>
        <v>4000000</v>
      </c>
      <c r="R40" s="120">
        <f>'תקציב החברה לפיתוח 2024'!R39</f>
        <v>0</v>
      </c>
      <c r="S40" s="120">
        <f>'תקציב החברה לפיתוח 2024'!S39</f>
        <v>4000000</v>
      </c>
      <c r="T40" s="120">
        <f>'תקציב החברה לפיתוח 2024'!T39</f>
        <v>1690000</v>
      </c>
      <c r="U40" s="120">
        <f>'תקציב החברה לפיתוח 2024'!U39</f>
        <v>5000000</v>
      </c>
      <c r="V40" s="120">
        <f>'תקציב החברה לפיתוח 2024'!V39</f>
        <v>-981581</v>
      </c>
      <c r="W40" s="120">
        <f>'תקציב החברה לפיתוח 2024'!W39</f>
        <v>0</v>
      </c>
      <c r="X40" s="120">
        <f>'תקציב החברה לפיתוח 2024'!X39</f>
        <v>0</v>
      </c>
      <c r="Y40" s="120">
        <f>'תקציב החברה לפיתוח 2024'!Y39</f>
        <v>0</v>
      </c>
      <c r="Z40" s="120">
        <f>'תקציב החברה לפיתוח 2024'!Z39</f>
        <v>0</v>
      </c>
      <c r="AA40" s="120">
        <f>'תקציב החברה לפיתוח 2024'!AA39</f>
        <v>5981581</v>
      </c>
      <c r="AB40" s="235" t="str">
        <f>'תקציב החברה לפיתוח 2024'!AB39</f>
        <v>הקמת מתנ"ס ברחוב המסילה כולל הצטיידות. מימון רמ"י ( מוס"צ  מכרזי רמ"י ק. השחקים וג.ים ג'). עדכון שם.</v>
      </c>
      <c r="AC40" s="135">
        <v>824000</v>
      </c>
    </row>
    <row r="41" spans="1:35" ht="45" customHeight="1">
      <c r="A41" s="135">
        <f t="shared" si="1"/>
        <v>37</v>
      </c>
      <c r="B41" s="135">
        <f>'תקציב החברה לפיתוח 2024'!B40</f>
        <v>2018</v>
      </c>
      <c r="C41" s="235" t="str">
        <f>'תקציב החברה לפיתוח 2024'!C40</f>
        <v>החלפת עמודי תאורה באיזור תעשיה</v>
      </c>
      <c r="D41" s="120">
        <f>'תקציב החברה לפיתוח 2024'!D40</f>
        <v>3350000</v>
      </c>
      <c r="E41" s="120">
        <f>'תקציב החברה לפיתוח 2024'!E40</f>
        <v>3600000</v>
      </c>
      <c r="F41" s="120">
        <f>'תקציב החברה לפיתוח 2024'!F40</f>
        <v>-250000</v>
      </c>
      <c r="G41" s="120">
        <f>'תקציב החברה לפיתוח 2024'!G40</f>
        <v>3600000</v>
      </c>
      <c r="H41" s="120">
        <f>'תקציב החברה לפיתוח 2024'!H40</f>
        <v>3060025</v>
      </c>
      <c r="I41" s="120">
        <f>'תקציב החברה לפיתוח 2024'!I40</f>
        <v>0</v>
      </c>
      <c r="J41" s="120">
        <f>'תקציב החברה לפיתוח 2024'!J40</f>
        <v>0</v>
      </c>
      <c r="K41" s="120">
        <f>'תקציב החברה לפיתוח 2024'!K40</f>
        <v>0</v>
      </c>
      <c r="L41" s="120">
        <f>'תקציב החברה לפיתוח 2024'!L40</f>
        <v>3060025</v>
      </c>
      <c r="M41" s="120">
        <f>'תקציב החברה לפיתוח 2024'!M40</f>
        <v>4975</v>
      </c>
      <c r="N41" s="120">
        <f>'תקציב החברה לפיתוח 2024'!N40</f>
        <v>285000</v>
      </c>
      <c r="O41" s="120">
        <f>'תקציב החברה לפיתוח 2024'!O40</f>
        <v>0</v>
      </c>
      <c r="P41" s="120">
        <f>'תקציב החברה לפיתוח 2024'!P40</f>
        <v>539975</v>
      </c>
      <c r="Q41" s="120">
        <f>'תקציב החברה לפיתוח 2024'!Q40</f>
        <v>0</v>
      </c>
      <c r="R41" s="120">
        <f>'תקציב החברה לפיתוח 2024'!R40</f>
        <v>0</v>
      </c>
      <c r="S41" s="120">
        <f>'תקציב החברה לפיתוח 2024'!S40</f>
        <v>0</v>
      </c>
      <c r="T41" s="120">
        <f>'תקציב החברה לפיתוח 2024'!T40</f>
        <v>535000</v>
      </c>
      <c r="U41" s="120">
        <f>'תקציב החברה לפיתוח 2024'!U40</f>
        <v>-250000</v>
      </c>
      <c r="V41" s="120">
        <f>'תקציב החברה לפיתוח 2024'!V40</f>
        <v>-250000</v>
      </c>
      <c r="W41" s="120">
        <f>'תקציב החברה לפיתוח 2024'!W40</f>
        <v>0</v>
      </c>
      <c r="X41" s="120">
        <f>'תקציב החברה לפיתוח 2024'!X40</f>
        <v>0</v>
      </c>
      <c r="Y41" s="120">
        <f>'תקציב החברה לפיתוח 2024'!Y40</f>
        <v>0</v>
      </c>
      <c r="Z41" s="120">
        <f>'תקציב החברה לפיתוח 2024'!Z40</f>
        <v>0</v>
      </c>
      <c r="AA41" s="120">
        <f>'תקציב החברה לפיתוח 2024'!AA40</f>
        <v>0</v>
      </c>
      <c r="AB41" s="235" t="str">
        <f>'תקציב החברה לפיתוח 2024'!AB40</f>
        <v>מסגרת עבודות של החלפת עמודי תאורה באיזור התעשיה. חן סופיים. התב"ר לסגירה.</v>
      </c>
      <c r="AC41" s="135">
        <v>742000</v>
      </c>
    </row>
    <row r="42" spans="1:35" s="134" customFormat="1" ht="45" customHeight="1">
      <c r="A42" s="135">
        <f t="shared" si="1"/>
        <v>38</v>
      </c>
      <c r="B42" s="135">
        <f>'תקציב החברה לפיתוח 2024'!B41</f>
        <v>2022</v>
      </c>
      <c r="C42" s="235" t="str">
        <f>'תקציב החברה לפיתוח 2024'!C41</f>
        <v xml:space="preserve">הקמת אולם ספורט הנגיד </v>
      </c>
      <c r="D42" s="120">
        <f>'תקציב החברה לפיתוח 2024'!D41</f>
        <v>13950000</v>
      </c>
      <c r="E42" s="120">
        <f>'תקציב החברה לפיתוח 2024'!E41</f>
        <v>14000000</v>
      </c>
      <c r="F42" s="120">
        <f>'תקציב החברה לפיתוח 2024'!F41</f>
        <v>-50000</v>
      </c>
      <c r="G42" s="120">
        <f>'תקציב החברה לפיתוח 2024'!G41</f>
        <v>14000000</v>
      </c>
      <c r="H42" s="120">
        <f>'תקציב החברה לפיתוח 2024'!H41</f>
        <v>13897589</v>
      </c>
      <c r="I42" s="120">
        <f>'תקציב החברה לפיתוח 2024'!I41</f>
        <v>0</v>
      </c>
      <c r="J42" s="120">
        <f>'תקציב החברה לפיתוח 2024'!J41</f>
        <v>0</v>
      </c>
      <c r="K42" s="120">
        <f>'תקציב החברה לפיתוח 2024'!K41</f>
        <v>0</v>
      </c>
      <c r="L42" s="120">
        <f>'תקציב החברה לפיתוח 2024'!L41</f>
        <v>13897589</v>
      </c>
      <c r="M42" s="120">
        <f>'תקציב החברה לפיתוח 2024'!M41</f>
        <v>2411</v>
      </c>
      <c r="N42" s="120">
        <f>'תקציב החברה לפיתוח 2024'!N41</f>
        <v>50000</v>
      </c>
      <c r="O42" s="120">
        <f>'תקציב החברה לפיתוח 2024'!O41</f>
        <v>0</v>
      </c>
      <c r="P42" s="120">
        <f>'תקציב החברה לפיתוח 2024'!P41</f>
        <v>102411</v>
      </c>
      <c r="Q42" s="120">
        <f>'תקציב החברה לפיתוח 2024'!Q41</f>
        <v>0</v>
      </c>
      <c r="R42" s="120">
        <f>'תקציב החברה לפיתוח 2024'!R41</f>
        <v>0</v>
      </c>
      <c r="S42" s="120">
        <f>'תקציב החברה לפיתוח 2024'!S41</f>
        <v>0</v>
      </c>
      <c r="T42" s="120">
        <f>'תקציב החברה לפיתוח 2024'!T41</f>
        <v>100000</v>
      </c>
      <c r="U42" s="120">
        <f>'תקציב החברה לפיתוח 2024'!U41</f>
        <v>-50000</v>
      </c>
      <c r="V42" s="120">
        <f>'תקציב החברה לפיתוח 2024'!V41</f>
        <v>-50000</v>
      </c>
      <c r="W42" s="120">
        <f>'תקציב החברה לפיתוח 2024'!W41</f>
        <v>0</v>
      </c>
      <c r="X42" s="120">
        <f>'תקציב החברה לפיתוח 2024'!X41</f>
        <v>0</v>
      </c>
      <c r="Y42" s="120">
        <f>'תקציב החברה לפיתוח 2024'!Y41</f>
        <v>0</v>
      </c>
      <c r="Z42" s="120">
        <f>'תקציב החברה לפיתוח 2024'!Z41</f>
        <v>0</v>
      </c>
      <c r="AA42" s="120">
        <f>'תקציב החברה לפיתוח 2024'!AA41</f>
        <v>0</v>
      </c>
      <c r="AB42" s="235" t="str">
        <f>'תקציב החברה לפיתוח 2024'!AB41</f>
        <v>עבודות הקמת אולם ספורט בנגיד  כולל הריסת אולמות ומקלט קיימים. חן סופיים. התב"ר לסגירה.</v>
      </c>
      <c r="AC42" s="135">
        <v>829000</v>
      </c>
    </row>
    <row r="43" spans="1:35" s="134" customFormat="1" ht="45" customHeight="1">
      <c r="A43" s="135">
        <f t="shared" si="1"/>
        <v>39</v>
      </c>
      <c r="B43" s="135">
        <f>'תקציב החברה לפיתוח 2024'!B42</f>
        <v>2023</v>
      </c>
      <c r="C43" s="235" t="str">
        <f>'תקציב החברה לפיתוח 2024'!C42</f>
        <v>גנ"י נווה עמל ציפורן   וחמניה</v>
      </c>
      <c r="D43" s="120">
        <f>'תקציב החברה לפיתוח 2024'!D42</f>
        <v>7340000</v>
      </c>
      <c r="E43" s="120">
        <f>'תקציב החברה לפיתוח 2024'!E42</f>
        <v>7340000</v>
      </c>
      <c r="F43" s="120">
        <f>'תקציב החברה לפיתוח 2024'!F42</f>
        <v>0</v>
      </c>
      <c r="G43" s="120">
        <f>'תקציב החברה לפיתוח 2024'!G42</f>
        <v>230000</v>
      </c>
      <c r="H43" s="120">
        <f>'תקציב החברה לפיתוח 2024'!H42</f>
        <v>228151</v>
      </c>
      <c r="I43" s="120">
        <f>'תקציב החברה לפיתוח 2024'!I42</f>
        <v>0</v>
      </c>
      <c r="J43" s="120">
        <f>'תקציב החברה לפיתוח 2024'!J42</f>
        <v>0</v>
      </c>
      <c r="K43" s="120">
        <f>'תקציב החברה לפיתוח 2024'!K42</f>
        <v>0</v>
      </c>
      <c r="L43" s="120">
        <f>'תקציב החברה לפיתוח 2024'!L42</f>
        <v>228151</v>
      </c>
      <c r="M43" s="120">
        <f>'תקציב החברה לפיתוח 2024'!M42</f>
        <v>1849</v>
      </c>
      <c r="N43" s="120">
        <f>'תקציב החברה לפיתוח 2024'!N42</f>
        <v>0</v>
      </c>
      <c r="O43" s="120">
        <f>'תקציב החברה לפיתוח 2024'!O42</f>
        <v>7110000</v>
      </c>
      <c r="P43" s="120">
        <f>'תקציב החברה לפיתוח 2024'!P42</f>
        <v>1849</v>
      </c>
      <c r="Q43" s="120">
        <f>'תקציב החברה לפיתוח 2024'!Q42</f>
        <v>0</v>
      </c>
      <c r="R43" s="120">
        <f>'תקציב החברה לפיתוח 2024'!R42</f>
        <v>0</v>
      </c>
      <c r="S43" s="120">
        <f>'תקציב החברה לפיתוח 2024'!S42</f>
        <v>0</v>
      </c>
      <c r="T43" s="120">
        <f>'תקציב החברה לפיתוח 2024'!T42</f>
        <v>0</v>
      </c>
      <c r="U43" s="120">
        <f>'תקציב החברה לפיתוח 2024'!U42</f>
        <v>0</v>
      </c>
      <c r="V43" s="120">
        <f>'תקציב החברה לפיתוח 2024'!V42</f>
        <v>0</v>
      </c>
      <c r="W43" s="120">
        <f>'תקציב החברה לפיתוח 2024'!W42</f>
        <v>0</v>
      </c>
      <c r="X43" s="120">
        <f>'תקציב החברה לפיתוח 2024'!X42</f>
        <v>0</v>
      </c>
      <c r="Y43" s="120">
        <f>'תקציב החברה לפיתוח 2024'!Y42</f>
        <v>0</v>
      </c>
      <c r="Z43" s="120">
        <f>'תקציב החברה לפיתוח 2024'!Z42</f>
        <v>0</v>
      </c>
      <c r="AA43" s="120">
        <f>'תקציב החברה לפיתוח 2024'!AA42</f>
        <v>0</v>
      </c>
      <c r="AB43" s="235" t="str">
        <f>'תקציב החברה לפיתוח 2024'!AB42</f>
        <v>בניית 3 גנ"י בנווה עמל. חלקות בבעלות רמ"י. נדחה עד הכרת מ. החינוך והסכם חכירה רמ"י.</v>
      </c>
      <c r="AC43" s="135">
        <v>810000</v>
      </c>
    </row>
    <row r="44" spans="1:35" s="134" customFormat="1" ht="45" customHeight="1">
      <c r="A44" s="135">
        <f t="shared" si="1"/>
        <v>40</v>
      </c>
      <c r="B44" s="135">
        <f>'תקציב החברה לפיתוח 2024'!B43</f>
        <v>2024</v>
      </c>
      <c r="C44" s="235" t="str">
        <f>'תקציב החברה לפיתוח 2024'!C43</f>
        <v>גנ"י מרכז ויצמן תמר תאנה</v>
      </c>
      <c r="D44" s="120">
        <f>'תקציב החברה לפיתוח 2024'!D43</f>
        <v>18400000</v>
      </c>
      <c r="E44" s="120">
        <f>'תקציב החברה לפיתוח 2024'!E43</f>
        <v>16300000</v>
      </c>
      <c r="F44" s="120">
        <f>'תקציב החברה לפיתוח 2024'!F43</f>
        <v>2100000</v>
      </c>
      <c r="G44" s="120">
        <f>'תקציב החברה לפיתוח 2024'!G43</f>
        <v>16300000</v>
      </c>
      <c r="H44" s="120">
        <f>'תקציב החברה לפיתוח 2024'!H43</f>
        <v>11225590</v>
      </c>
      <c r="I44" s="120">
        <f>'תקציב החברה לפיתוח 2024'!I43</f>
        <v>0</v>
      </c>
      <c r="J44" s="120">
        <f>'תקציב החברה לפיתוח 2024'!J43</f>
        <v>0</v>
      </c>
      <c r="K44" s="120">
        <f>'תקציב החברה לפיתוח 2024'!K43</f>
        <v>0</v>
      </c>
      <c r="L44" s="120">
        <f>'תקציב החברה לפיתוח 2024'!L43</f>
        <v>11225590</v>
      </c>
      <c r="M44" s="120">
        <f>'תקציב החברה לפיתוח 2024'!M43</f>
        <v>24410</v>
      </c>
      <c r="N44" s="120">
        <f>'תקציב החברה לפיתוח 2024'!N43</f>
        <v>7150000</v>
      </c>
      <c r="O44" s="120">
        <f>'תקציב החברה לפיתוח 2024'!O43</f>
        <v>0</v>
      </c>
      <c r="P44" s="120">
        <f>'תקציב החברה לפיתוח 2024'!P43</f>
        <v>5074410</v>
      </c>
      <c r="Q44" s="120">
        <f>'תקציב החברה לפיתוח 2024'!Q43</f>
        <v>0</v>
      </c>
      <c r="R44" s="120">
        <f>'תקציב החברה לפיתוח 2024'!R43</f>
        <v>0</v>
      </c>
      <c r="S44" s="120">
        <f>'תקציב החברה לפיתוח 2024'!S43</f>
        <v>0</v>
      </c>
      <c r="T44" s="120">
        <f>'תקציב החברה לפיתוח 2024'!T43</f>
        <v>5050000</v>
      </c>
      <c r="U44" s="120">
        <f>'תקציב החברה לפיתוח 2024'!U43</f>
        <v>2100000</v>
      </c>
      <c r="V44" s="120">
        <f>'תקציב החברה לפיתוח 2024'!V43</f>
        <v>1654749</v>
      </c>
      <c r="W44" s="120">
        <f>'תקציב החברה לפיתוח 2024'!W43</f>
        <v>0</v>
      </c>
      <c r="X44" s="120">
        <f>'תקציב החברה לפיתוח 2024'!X43</f>
        <v>0</v>
      </c>
      <c r="Y44" s="120">
        <f>'תקציב החברה לפיתוח 2024'!Y43</f>
        <v>0</v>
      </c>
      <c r="Z44" s="120">
        <f>'תקציב החברה לפיתוח 2024'!Z43</f>
        <v>0</v>
      </c>
      <c r="AA44" s="120">
        <f>'תקציב החברה לפיתוח 2024'!AA43</f>
        <v>445251</v>
      </c>
      <c r="AB44" s="235" t="str">
        <f>'תקציב החברה לפיתוח 2024'!AB43</f>
        <v>בניית 6 כיתות גנ"י במתחם ויצמן. מימון מ. החינוך עדכון.</v>
      </c>
      <c r="AC44" s="135">
        <v>810000</v>
      </c>
    </row>
    <row r="45" spans="1:35" ht="45" customHeight="1">
      <c r="A45" s="135">
        <f t="shared" si="1"/>
        <v>41</v>
      </c>
      <c r="B45" s="135">
        <f>'תקציב החברה לפיתוח 2024'!B44</f>
        <v>2064</v>
      </c>
      <c r="C45" s="235" t="str">
        <f>'תקציב החברה לפיתוח 2024'!C44</f>
        <v>שיפוץ אולם ספורט היובל</v>
      </c>
      <c r="D45" s="120">
        <f>'תקציב החברה לפיתוח 2024'!D44</f>
        <v>2433705</v>
      </c>
      <c r="E45" s="120">
        <f>'תקציב החברה לפיתוח 2024'!E44</f>
        <v>2463705</v>
      </c>
      <c r="F45" s="120">
        <f>'תקציב החברה לפיתוח 2024'!F44</f>
        <v>-30000</v>
      </c>
      <c r="G45" s="120">
        <f>'תקציב החברה לפיתוח 2024'!G44</f>
        <v>2463705</v>
      </c>
      <c r="H45" s="120">
        <f>'תקציב החברה לפיתוח 2024'!H44</f>
        <v>2429685</v>
      </c>
      <c r="I45" s="120">
        <f>'תקציב החברה לפיתוח 2024'!I44</f>
        <v>0</v>
      </c>
      <c r="J45" s="120">
        <f>'תקציב החברה לפיתוח 2024'!J44</f>
        <v>0</v>
      </c>
      <c r="K45" s="120">
        <f>'תקציב החברה לפיתוח 2024'!K44</f>
        <v>0</v>
      </c>
      <c r="L45" s="120">
        <f>'תקציב החברה לפיתוח 2024'!L44</f>
        <v>2429685</v>
      </c>
      <c r="M45" s="120">
        <f>'תקציב החברה לפיתוח 2024'!M44</f>
        <v>4020</v>
      </c>
      <c r="N45" s="120">
        <f>'תקציב החברה לפיתוח 2024'!N44</f>
        <v>0</v>
      </c>
      <c r="O45" s="120">
        <f>'תקציב החברה לפיתוח 2024'!O44</f>
        <v>0</v>
      </c>
      <c r="P45" s="120">
        <f>'תקציב החברה לפיתוח 2024'!P44</f>
        <v>34020</v>
      </c>
      <c r="Q45" s="120">
        <f>'תקציב החברה לפיתוח 2024'!Q44</f>
        <v>0</v>
      </c>
      <c r="R45" s="120">
        <f>'תקציב החברה לפיתוח 2024'!R44</f>
        <v>0</v>
      </c>
      <c r="S45" s="120">
        <f>'תקציב החברה לפיתוח 2024'!S44</f>
        <v>0</v>
      </c>
      <c r="T45" s="120">
        <f>'תקציב החברה לפיתוח 2024'!T44</f>
        <v>30000</v>
      </c>
      <c r="U45" s="120">
        <f>'תקציב החברה לפיתוח 2024'!U44</f>
        <v>-30000</v>
      </c>
      <c r="V45" s="120">
        <f>'תקציב החברה לפיתוח 2024'!V44</f>
        <v>-30000</v>
      </c>
      <c r="W45" s="120">
        <f>'תקציב החברה לפיתוח 2024'!W44</f>
        <v>0</v>
      </c>
      <c r="X45" s="120">
        <f>'תקציב החברה לפיתוח 2024'!X44</f>
        <v>0</v>
      </c>
      <c r="Y45" s="120">
        <f>'תקציב החברה לפיתוח 2024'!Y44</f>
        <v>0</v>
      </c>
      <c r="Z45" s="120">
        <f>'תקציב החברה לפיתוח 2024'!Z44</f>
        <v>0</v>
      </c>
      <c r="AA45" s="120">
        <f>'תקציב החברה לפיתוח 2024'!AA44</f>
        <v>0</v>
      </c>
      <c r="AB45" s="235" t="str">
        <f>'תקציב החברה לפיתוח 2024'!AB44</f>
        <v>שיפוץ אולם ספורט היובל כולל פיתוח המבואה והמתחם. חן סופיים. ייסגר עם קבלת תקבול מ. הספורט.</v>
      </c>
      <c r="AC45" s="135">
        <v>829000</v>
      </c>
    </row>
    <row r="46" spans="1:35" ht="45" customHeight="1">
      <c r="A46" s="135">
        <f t="shared" si="1"/>
        <v>42</v>
      </c>
      <c r="B46" s="135">
        <f>'תקציב החברה לפיתוח 2024'!B45</f>
        <v>2073</v>
      </c>
      <c r="C46" s="235" t="str">
        <f>'תקציב החברה לפיתוח 2024'!C45</f>
        <v xml:space="preserve">בי"ס ואולם ספורט ויצמן  </v>
      </c>
      <c r="D46" s="120">
        <f>'תקציב החברה לפיתוח 2024'!D45</f>
        <v>11350000</v>
      </c>
      <c r="E46" s="120">
        <f>'תקציב החברה לפיתוח 2024'!E45</f>
        <v>11350000</v>
      </c>
      <c r="F46" s="120">
        <f>'תקציב החברה לפיתוח 2024'!F45</f>
        <v>0</v>
      </c>
      <c r="G46" s="120">
        <f>'תקציב החברה לפיתוח 2024'!G45</f>
        <v>1600000</v>
      </c>
      <c r="H46" s="120">
        <f>'תקציב החברה לפיתוח 2024'!H45</f>
        <v>501947</v>
      </c>
      <c r="I46" s="120">
        <f>'תקציב החברה לפיתוח 2024'!I45</f>
        <v>0</v>
      </c>
      <c r="J46" s="120">
        <f>'תקציב החברה לפיתוח 2024'!J45</f>
        <v>0</v>
      </c>
      <c r="K46" s="120">
        <f>'תקציב החברה לפיתוח 2024'!K45</f>
        <v>0</v>
      </c>
      <c r="L46" s="120">
        <f>'תקציב החברה לפיתוח 2024'!L45</f>
        <v>501947</v>
      </c>
      <c r="M46" s="120">
        <f>'תקציב החברה לפיתוח 2024'!M45</f>
        <v>8053</v>
      </c>
      <c r="N46" s="120">
        <f>'תקציב החברה לפיתוח 2024'!N45</f>
        <v>790000</v>
      </c>
      <c r="O46" s="120">
        <f>'תקציב החברה לפיתוח 2024'!O45</f>
        <v>10050000</v>
      </c>
      <c r="P46" s="120">
        <f>'תקציב החברה לפיתוח 2024'!P45</f>
        <v>1098053</v>
      </c>
      <c r="Q46" s="120">
        <f>'תקציב החברה לפיתוח 2024'!Q45</f>
        <v>0</v>
      </c>
      <c r="R46" s="120">
        <f>'תקציב החברה לפיתוח 2024'!R45</f>
        <v>0</v>
      </c>
      <c r="S46" s="120">
        <f>'תקציב החברה לפיתוח 2024'!S45</f>
        <v>0</v>
      </c>
      <c r="T46" s="120">
        <f>'תקציב החברה לפיתוח 2024'!T45</f>
        <v>1090000</v>
      </c>
      <c r="U46" s="120">
        <f>'תקציב החברה לפיתוח 2024'!U45</f>
        <v>-300000</v>
      </c>
      <c r="V46" s="120">
        <f>'תקציב החברה לפיתוח 2024'!V45</f>
        <v>-300000</v>
      </c>
      <c r="W46" s="120">
        <f>'תקציב החברה לפיתוח 2024'!W45</f>
        <v>0</v>
      </c>
      <c r="X46" s="120">
        <f>'תקציב החברה לפיתוח 2024'!X45</f>
        <v>0</v>
      </c>
      <c r="Y46" s="120">
        <f>'תקציב החברה לפיתוח 2024'!Y45</f>
        <v>0</v>
      </c>
      <c r="Z46" s="120">
        <f>'תקציב החברה לפיתוח 2024'!Z45</f>
        <v>0</v>
      </c>
      <c r="AA46" s="120">
        <f>'תקציב החברה לפיתוח 2024'!AA45</f>
        <v>0</v>
      </c>
      <c r="AB46" s="235" t="str">
        <f>'תקציב החברה לפיתוח 2024'!AB45</f>
        <v xml:space="preserve">תוספת מבנה של 6 כיתות    ואולם ספורט חדש בבי"ס ויצמן. </v>
      </c>
      <c r="AC46" s="135">
        <v>829000</v>
      </c>
    </row>
    <row r="47" spans="1:35" ht="45" customHeight="1">
      <c r="A47" s="135">
        <f t="shared" si="1"/>
        <v>43</v>
      </c>
      <c r="B47" s="135">
        <f>'תקציב החברה לפיתוח 2024'!B46</f>
        <v>2076</v>
      </c>
      <c r="C47" s="235" t="str">
        <f>'תקציב החברה לפיתוח 2024'!C46</f>
        <v>עבודות פיתוח בכנ"ס אברהם אבינו</v>
      </c>
      <c r="D47" s="120">
        <f>'תקציב החברה לפיתוח 2024'!D46</f>
        <v>2350000</v>
      </c>
      <c r="E47" s="120">
        <f>'תקציב החברה לפיתוח 2024'!E46</f>
        <v>2350000</v>
      </c>
      <c r="F47" s="120">
        <f>'תקציב החברה לפיתוח 2024'!F46</f>
        <v>0</v>
      </c>
      <c r="G47" s="120">
        <f>'תקציב החברה לפיתוח 2024'!G46</f>
        <v>1450000</v>
      </c>
      <c r="H47" s="120">
        <f>'תקציב החברה לפיתוח 2024'!H46</f>
        <v>231641</v>
      </c>
      <c r="I47" s="120">
        <f>'תקציב החברה לפיתוח 2024'!I46</f>
        <v>0</v>
      </c>
      <c r="J47" s="120">
        <f>'תקציב החברה לפיתוח 2024'!J46</f>
        <v>0</v>
      </c>
      <c r="K47" s="120">
        <f>'תקציב החברה לפיתוח 2024'!K46</f>
        <v>0</v>
      </c>
      <c r="L47" s="120">
        <f>'תקציב החברה לפיתוח 2024'!L46</f>
        <v>231641</v>
      </c>
      <c r="M47" s="120">
        <f>'תקציב החברה לפיתוח 2024'!M46</f>
        <v>18359</v>
      </c>
      <c r="N47" s="120">
        <f>'תקציב החברה לפיתוח 2024'!N46</f>
        <v>1700000</v>
      </c>
      <c r="O47" s="120">
        <f>'תקציב החברה לפיתוח 2024'!O46</f>
        <v>400000</v>
      </c>
      <c r="P47" s="120">
        <f>'תקציב החברה לפיתוח 2024'!P46</f>
        <v>1218359</v>
      </c>
      <c r="Q47" s="120">
        <f>'תקציב החברה לפיתוח 2024'!Q46</f>
        <v>900000</v>
      </c>
      <c r="R47" s="120">
        <f>'תקציב החברה לפיתוח 2024'!R46</f>
        <v>0</v>
      </c>
      <c r="S47" s="120">
        <f>'תקציב החברה לפיתוח 2024'!S46</f>
        <v>900000</v>
      </c>
      <c r="T47" s="120">
        <f>'תקציב החברה לפיתוח 2024'!T46</f>
        <v>2100000</v>
      </c>
      <c r="U47" s="120">
        <f>'תקציב החברה לפיתוח 2024'!U46</f>
        <v>-400000</v>
      </c>
      <c r="V47" s="120">
        <f>'תקציב החברה לפיתוח 2024'!V46</f>
        <v>-400000</v>
      </c>
      <c r="W47" s="120">
        <f>'תקציב החברה לפיתוח 2024'!W46</f>
        <v>0</v>
      </c>
      <c r="X47" s="120">
        <f>'תקציב החברה לפיתוח 2024'!X46</f>
        <v>0</v>
      </c>
      <c r="Y47" s="120">
        <f>'תקציב החברה לפיתוח 2024'!Y46</f>
        <v>0</v>
      </c>
      <c r="Z47" s="120">
        <f>'תקציב החברה לפיתוח 2024'!Z46</f>
        <v>0</v>
      </c>
      <c r="AA47" s="120">
        <f>'תקציב החברה לפיתוח 2024'!AA46</f>
        <v>0</v>
      </c>
      <c r="AB47" s="235" t="str">
        <f>'תקציב החברה לפיתוח 2024'!AB46</f>
        <v>עבודות פיתוח ביכנ"ס "אברהם אבינו" בשכונת יד התשעה.</v>
      </c>
      <c r="AC47" s="135">
        <v>850000</v>
      </c>
    </row>
    <row r="48" spans="1:35" s="5" customFormat="1" ht="45" customHeight="1">
      <c r="A48" s="135">
        <f t="shared" si="1"/>
        <v>44</v>
      </c>
      <c r="B48" s="135">
        <f>'תקציב החברה לפיתוח 2024'!B47</f>
        <v>2078</v>
      </c>
      <c r="C48" s="235" t="str">
        <f>'תקציב החברה לפיתוח 2024'!C47</f>
        <v>נילי - עבודות פיתוח והסדרת תנועה</v>
      </c>
      <c r="D48" s="120">
        <f>'תקציב החברה לפיתוח 2024'!D47</f>
        <v>2460000</v>
      </c>
      <c r="E48" s="120">
        <f>'תקציב החברה לפיתוח 2024'!E47</f>
        <v>2460000</v>
      </c>
      <c r="F48" s="120">
        <f>'תקציב החברה לפיתוח 2024'!F47</f>
        <v>0</v>
      </c>
      <c r="G48" s="120">
        <f>'תקציב החברה לפיתוח 2024'!G47</f>
        <v>1960000</v>
      </c>
      <c r="H48" s="120">
        <f>'תקציב החברה לפיתוח 2024'!H47</f>
        <v>239106</v>
      </c>
      <c r="I48" s="120">
        <f>'תקציב החברה לפיתוח 2024'!I47</f>
        <v>0</v>
      </c>
      <c r="J48" s="120">
        <f>'תקציב החברה לפיתוח 2024'!J47</f>
        <v>0</v>
      </c>
      <c r="K48" s="120">
        <f>'תקציב החברה לפיתוח 2024'!K47</f>
        <v>0</v>
      </c>
      <c r="L48" s="120">
        <f>'תקציב החברה לפיתוח 2024'!L47</f>
        <v>239106</v>
      </c>
      <c r="M48" s="120">
        <f>'תקציב החברה לפיתוח 2024'!M47</f>
        <v>20894</v>
      </c>
      <c r="N48" s="120">
        <f>'תקציב החברה לפיתוח 2024'!N47</f>
        <v>2100000</v>
      </c>
      <c r="O48" s="120">
        <f>'תקציב החברה לפיתוח 2024'!O47</f>
        <v>100000</v>
      </c>
      <c r="P48" s="120">
        <f>'תקציב החברה לפיתוח 2024'!P47</f>
        <v>1720894</v>
      </c>
      <c r="Q48" s="120">
        <f>'תקציב החברה לפיתוח 2024'!Q47</f>
        <v>500000</v>
      </c>
      <c r="R48" s="120">
        <f>'תקציב החברה לפיתוח 2024'!R47</f>
        <v>0</v>
      </c>
      <c r="S48" s="120">
        <f>'תקציב החברה לפיתוח 2024'!S47</f>
        <v>500000</v>
      </c>
      <c r="T48" s="120">
        <f>'תקציב החברה לפיתוח 2024'!T47</f>
        <v>2200000</v>
      </c>
      <c r="U48" s="120">
        <f>'תקציב החברה לפיתוח 2024'!U47</f>
        <v>-100000</v>
      </c>
      <c r="V48" s="120">
        <f>'תקציב החברה לפיתוח 2024'!V47</f>
        <v>-100000</v>
      </c>
      <c r="W48" s="120">
        <f>'תקציב החברה לפיתוח 2024'!W47</f>
        <v>0</v>
      </c>
      <c r="X48" s="120">
        <f>'תקציב החברה לפיתוח 2024'!X47</f>
        <v>0</v>
      </c>
      <c r="Y48" s="120">
        <f>'תקציב החברה לפיתוח 2024'!Y47</f>
        <v>0</v>
      </c>
      <c r="Z48" s="120">
        <f>'תקציב החברה לפיתוח 2024'!Z47</f>
        <v>0</v>
      </c>
      <c r="AA48" s="120">
        <f>'תקציב החברה לפיתוח 2024'!AA47</f>
        <v>0</v>
      </c>
      <c r="AB48" s="235" t="str">
        <f>'תקציב החברה לפיתוח 2024'!AB47</f>
        <v>לאור החלטת בימ"ש שהעיריה תבצע שינויים גיאומטרים וקיר.</v>
      </c>
      <c r="AC48" s="3">
        <v>742000</v>
      </c>
      <c r="AD48" s="134"/>
      <c r="AE48" s="134"/>
      <c r="AF48" s="134"/>
      <c r="AG48" s="134"/>
      <c r="AH48" s="134"/>
      <c r="AI48" s="134"/>
    </row>
    <row r="49" spans="1:35" ht="45" customHeight="1">
      <c r="A49" s="135">
        <f t="shared" si="1"/>
        <v>45</v>
      </c>
      <c r="B49" s="135" t="e">
        <f>'תקציב החברה לפיתוח 2024'!#REF!</f>
        <v>#REF!</v>
      </c>
      <c r="C49" s="235" t="e">
        <f>'תקציב החברה לפיתוח 2024'!#REF!</f>
        <v>#REF!</v>
      </c>
      <c r="D49" s="120" t="e">
        <f>'תקציב החברה לפיתוח 2024'!#REF!</f>
        <v>#REF!</v>
      </c>
      <c r="E49" s="120" t="e">
        <f>'תקציב החברה לפיתוח 2024'!#REF!</f>
        <v>#REF!</v>
      </c>
      <c r="F49" s="120" t="e">
        <f>'תקציב החברה לפיתוח 2024'!#REF!</f>
        <v>#REF!</v>
      </c>
      <c r="G49" s="120" t="e">
        <f>'תקציב החברה לפיתוח 2024'!#REF!</f>
        <v>#REF!</v>
      </c>
      <c r="H49" s="120" t="e">
        <f>'תקציב החברה לפיתוח 2024'!#REF!</f>
        <v>#REF!</v>
      </c>
      <c r="I49" s="120" t="e">
        <f>'תקציב החברה לפיתוח 2024'!#REF!</f>
        <v>#REF!</v>
      </c>
      <c r="J49" s="120" t="e">
        <f>'תקציב החברה לפיתוח 2024'!#REF!</f>
        <v>#REF!</v>
      </c>
      <c r="K49" s="120" t="e">
        <f>'תקציב החברה לפיתוח 2024'!#REF!</f>
        <v>#REF!</v>
      </c>
      <c r="L49" s="120" t="e">
        <f>'תקציב החברה לפיתוח 2024'!#REF!</f>
        <v>#REF!</v>
      </c>
      <c r="M49" s="120" t="e">
        <f>'תקציב החברה לפיתוח 2024'!#REF!</f>
        <v>#REF!</v>
      </c>
      <c r="N49" s="120" t="e">
        <f>'תקציב החברה לפיתוח 2024'!#REF!</f>
        <v>#REF!</v>
      </c>
      <c r="O49" s="120" t="e">
        <f>'תקציב החברה לפיתוח 2024'!#REF!</f>
        <v>#REF!</v>
      </c>
      <c r="P49" s="120" t="e">
        <f>'תקציב החברה לפיתוח 2024'!#REF!</f>
        <v>#REF!</v>
      </c>
      <c r="Q49" s="120" t="e">
        <f>'תקציב החברה לפיתוח 2024'!#REF!</f>
        <v>#REF!</v>
      </c>
      <c r="R49" s="120" t="e">
        <f>'תקציב החברה לפיתוח 2024'!#REF!</f>
        <v>#REF!</v>
      </c>
      <c r="S49" s="120" t="e">
        <f>'תקציב החברה לפיתוח 2024'!#REF!</f>
        <v>#REF!</v>
      </c>
      <c r="T49" s="120" t="e">
        <f>'תקציב החברה לפיתוח 2024'!#REF!</f>
        <v>#REF!</v>
      </c>
      <c r="U49" s="120" t="e">
        <f>'תקציב החברה לפיתוח 2024'!#REF!</f>
        <v>#REF!</v>
      </c>
      <c r="V49" s="120" t="e">
        <f>'תקציב החברה לפיתוח 2024'!#REF!</f>
        <v>#REF!</v>
      </c>
      <c r="W49" s="120" t="e">
        <f>'תקציב החברה לפיתוח 2024'!#REF!</f>
        <v>#REF!</v>
      </c>
      <c r="X49" s="120" t="e">
        <f>'תקציב החברה לפיתוח 2024'!#REF!</f>
        <v>#REF!</v>
      </c>
      <c r="Y49" s="120" t="e">
        <f>'תקציב החברה לפיתוח 2024'!#REF!</f>
        <v>#REF!</v>
      </c>
      <c r="Z49" s="120" t="e">
        <f>'תקציב החברה לפיתוח 2024'!#REF!</f>
        <v>#REF!</v>
      </c>
      <c r="AA49" s="120" t="e">
        <f>'תקציב החברה לפיתוח 2024'!#REF!</f>
        <v>#REF!</v>
      </c>
      <c r="AB49" s="235" t="e">
        <f>'תקציב החברה לפיתוח 2024'!#REF!</f>
        <v>#REF!</v>
      </c>
      <c r="AC49" s="135">
        <v>840000</v>
      </c>
    </row>
    <row r="50" spans="1:35" ht="55.2">
      <c r="A50" s="135">
        <f t="shared" si="1"/>
        <v>46</v>
      </c>
      <c r="B50" s="135">
        <f>'תקציב החברה לפיתוח 2024'!B48</f>
        <v>2097</v>
      </c>
      <c r="C50" s="235" t="str">
        <f>'תקציב החברה לפיתוח 2024'!C48</f>
        <v>בית ספר בן גוריון</v>
      </c>
      <c r="D50" s="120">
        <f>'תקציב החברה לפיתוח 2024'!D48</f>
        <v>79000000</v>
      </c>
      <c r="E50" s="120">
        <f>'תקציב החברה לפיתוח 2024'!E48</f>
        <v>79000000</v>
      </c>
      <c r="F50" s="120">
        <f>'תקציב החברה לפיתוח 2024'!F48</f>
        <v>0</v>
      </c>
      <c r="G50" s="120">
        <f>'תקציב החברה לפיתוח 2024'!G48</f>
        <v>29472319</v>
      </c>
      <c r="H50" s="120">
        <f>'תקציב החברה לפיתוח 2024'!H48</f>
        <v>34007912</v>
      </c>
      <c r="I50" s="120">
        <f>'תקציב החברה לפיתוח 2024'!I48</f>
        <v>0</v>
      </c>
      <c r="J50" s="120">
        <f>'תקציב החברה לפיתוח 2024'!J48</f>
        <v>448008</v>
      </c>
      <c r="K50" s="120">
        <f>'תקציב החברה לפיתוח 2024'!K48</f>
        <v>448008</v>
      </c>
      <c r="L50" s="120">
        <f>'תקציב החברה לפיתוח 2024'!L48</f>
        <v>34455920</v>
      </c>
      <c r="M50" s="120">
        <f>'תקציב החברה לפיתוח 2024'!M48</f>
        <v>13697</v>
      </c>
      <c r="N50" s="120">
        <f>'תקציב החברה לפיתוח 2024'!N48</f>
        <v>14551997</v>
      </c>
      <c r="O50" s="120">
        <f>'תקציב החברה לפיתוח 2024'!O48</f>
        <v>29978386</v>
      </c>
      <c r="P50" s="120">
        <f>'תקציב החברה לפיתוח 2024'!P48</f>
        <v>-4983601</v>
      </c>
      <c r="Q50" s="120">
        <f>'תקציב החברה לפיתוח 2024'!Q48</f>
        <v>11647298</v>
      </c>
      <c r="R50" s="120">
        <f>'תקציב החברה לפיתוח 2024'!R48</f>
        <v>0</v>
      </c>
      <c r="S50" s="120">
        <f>'תקציב החברה לפיתוח 2024'!S48</f>
        <v>11647298</v>
      </c>
      <c r="T50" s="120">
        <f>'תקציב החברה לפיתוח 2024'!T48</f>
        <v>6650000</v>
      </c>
      <c r="U50" s="120">
        <f>'תקציב החברה לפיתוח 2024'!U48</f>
        <v>7901997</v>
      </c>
      <c r="V50" s="120">
        <f>'תקציב החברה לפיתוח 2024'!V48</f>
        <v>4000000</v>
      </c>
      <c r="W50" s="120">
        <f>'תקציב החברה לפיתוח 2024'!W48</f>
        <v>0</v>
      </c>
      <c r="X50" s="120">
        <f>'תקציב החברה לפיתוח 2024'!X48</f>
        <v>0</v>
      </c>
      <c r="Y50" s="120">
        <f>'תקציב החברה לפיתוח 2024'!Y48</f>
        <v>0</v>
      </c>
      <c r="Z50" s="120">
        <f>'תקציב החברה לפיתוח 2024'!Z48</f>
        <v>0</v>
      </c>
      <c r="AA50" s="120">
        <f>'תקציב החברה לפיתוח 2024'!AA48</f>
        <v>3901997</v>
      </c>
      <c r="AB50" s="235" t="str">
        <f>'תקציב החברה לפיתוח 2024'!AB48</f>
        <v>תכנון שיפוץ/הריסה ובניה מחדש של בי"ס. הריסה של 18 כיתות, ובניה של 24 כיתות,6 כיתות  ח"מ. מימון מ. החינוך תוספת הרשאה.</v>
      </c>
      <c r="AC50" s="135">
        <v>810000</v>
      </c>
    </row>
    <row r="51" spans="1:35" ht="45" customHeight="1">
      <c r="A51" s="135">
        <f t="shared" si="1"/>
        <v>47</v>
      </c>
      <c r="B51" s="135">
        <f>'תקציב החברה לפיתוח 2024'!B49</f>
        <v>2099</v>
      </c>
      <c r="C51" s="235" t="str">
        <f>'תקציב החברה לפיתוח 2024'!C49</f>
        <v>סינמטק בבנין עיריה חדש</v>
      </c>
      <c r="D51" s="120">
        <f>'תקציב החברה לפיתוח 2024'!D49</f>
        <v>20860000</v>
      </c>
      <c r="E51" s="120">
        <f>'תקציב החברה לפיתוח 2024'!E49</f>
        <v>17650000</v>
      </c>
      <c r="F51" s="120">
        <f>'תקציב החברה לפיתוח 2024'!F49</f>
        <v>3210000</v>
      </c>
      <c r="G51" s="120">
        <f>'תקציב החברה לפיתוח 2024'!G49</f>
        <v>16500000</v>
      </c>
      <c r="H51" s="120">
        <f>'תקציב החברה לפיתוח 2024'!H49</f>
        <v>15906185</v>
      </c>
      <c r="I51" s="120">
        <f>'תקציב החברה לפיתוח 2024'!I49</f>
        <v>0</v>
      </c>
      <c r="J51" s="120">
        <f>'תקציב החברה לפיתוח 2024'!J49</f>
        <v>0</v>
      </c>
      <c r="K51" s="120">
        <f>'תקציב החברה לפיתוח 2024'!K49</f>
        <v>0</v>
      </c>
      <c r="L51" s="120">
        <f>'תקציב החברה לפיתוח 2024'!L49</f>
        <v>15906185</v>
      </c>
      <c r="M51" s="120">
        <f>'תקציב החברה לפיתוח 2024'!M49</f>
        <v>3815</v>
      </c>
      <c r="N51" s="120">
        <f>'תקציב החברה לפיתוח 2024'!N49</f>
        <v>4950000</v>
      </c>
      <c r="O51" s="120">
        <f>'תקציב החברה לפיתוח 2024'!O49</f>
        <v>0</v>
      </c>
      <c r="P51" s="120">
        <f>'תקציב החברה לפיתוח 2024'!P49</f>
        <v>593815</v>
      </c>
      <c r="Q51" s="120">
        <f>'תקציב החברה לפיתוח 2024'!Q49</f>
        <v>0</v>
      </c>
      <c r="R51" s="120">
        <f>'תקציב החברה לפיתוח 2024'!R49</f>
        <v>0</v>
      </c>
      <c r="S51" s="120">
        <f>'תקציב החברה לפיתוח 2024'!S49</f>
        <v>0</v>
      </c>
      <c r="T51" s="120">
        <f>'תקציב החברה לפיתוח 2024'!T49</f>
        <v>590000</v>
      </c>
      <c r="U51" s="120">
        <f>'תקציב החברה לפיתוח 2024'!U49</f>
        <v>4360000</v>
      </c>
      <c r="V51" s="120">
        <f>'תקציב החברה לפיתוח 2024'!V49</f>
        <v>4360000</v>
      </c>
      <c r="W51" s="120">
        <f>'תקציב החברה לפיתוח 2024'!W49</f>
        <v>0</v>
      </c>
      <c r="X51" s="120">
        <f>'תקציב החברה לפיתוח 2024'!X49</f>
        <v>0</v>
      </c>
      <c r="Y51" s="120">
        <f>'תקציב החברה לפיתוח 2024'!Y49</f>
        <v>0</v>
      </c>
      <c r="Z51" s="120">
        <f>'תקציב החברה לפיתוח 2024'!Z49</f>
        <v>0</v>
      </c>
      <c r="AA51" s="120">
        <f>'תקציב החברה לפיתוח 2024'!AA49</f>
        <v>0</v>
      </c>
      <c r="AB51" s="235" t="str">
        <f>'תקציב החברה לפיתוח 2024'!AB49</f>
        <v>הכשרת סינמטק בבניין העיריה החדש. מימון מ. הפיס.</v>
      </c>
      <c r="AC51" s="135">
        <v>826000</v>
      </c>
    </row>
    <row r="52" spans="1:35" ht="45" customHeight="1">
      <c r="A52" s="135">
        <f t="shared" si="1"/>
        <v>48</v>
      </c>
      <c r="B52" s="135">
        <f>'תקציב החברה לפיתוח 2024'!B50</f>
        <v>2101</v>
      </c>
      <c r="C52" s="235" t="str">
        <f>'תקציב החברה לפיתוח 2024'!C50</f>
        <v xml:space="preserve">מעון לאנשים עם מוגבלויות -  ביד התשעה </v>
      </c>
      <c r="D52" s="120">
        <f>'תקציב החברה לפיתוח 2024'!D50</f>
        <v>24200000</v>
      </c>
      <c r="E52" s="120">
        <f>'תקציב החברה לפיתוח 2024'!E50</f>
        <v>24200000</v>
      </c>
      <c r="F52" s="120">
        <f>'תקציב החברה לפיתוח 2024'!F50</f>
        <v>0</v>
      </c>
      <c r="G52" s="120">
        <f>'תקציב החברה לפיתוח 2024'!G50</f>
        <v>3000000</v>
      </c>
      <c r="H52" s="120">
        <f>'תקציב החברה לפיתוח 2024'!H50</f>
        <v>4730972</v>
      </c>
      <c r="I52" s="120">
        <f>'תקציב החברה לפיתוח 2024'!I50</f>
        <v>0</v>
      </c>
      <c r="J52" s="120">
        <f>'תקציב החברה לפיתוח 2024'!J50</f>
        <v>0</v>
      </c>
      <c r="K52" s="120">
        <f>'תקציב החברה לפיתוח 2024'!K50</f>
        <v>0</v>
      </c>
      <c r="L52" s="120">
        <f>'תקציב החברה לפיתוח 2024'!L50</f>
        <v>4730972</v>
      </c>
      <c r="M52" s="120">
        <f>'תקציב החברה לפיתוח 2024'!M50</f>
        <v>19028</v>
      </c>
      <c r="N52" s="120">
        <f>'תקציב החברה לפיתוח 2024'!N50</f>
        <v>10450000</v>
      </c>
      <c r="O52" s="120">
        <f>'תקציב החברה לפיתוח 2024'!O50</f>
        <v>9000000</v>
      </c>
      <c r="P52" s="120">
        <f>'תקציב החברה לפיתוח 2024'!P50</f>
        <v>-1730972</v>
      </c>
      <c r="Q52" s="120">
        <f>'תקציב החברה לפיתוח 2024'!Q50</f>
        <v>4500000</v>
      </c>
      <c r="R52" s="120">
        <f>'תקציב החברה לפיתוח 2024'!R50</f>
        <v>0</v>
      </c>
      <c r="S52" s="120">
        <f>'תקציב החברה לפיתוח 2024'!S50</f>
        <v>4500000</v>
      </c>
      <c r="T52" s="120">
        <f>'תקציב החברה לפיתוח 2024'!T50</f>
        <v>2750000</v>
      </c>
      <c r="U52" s="120">
        <f>'תקציב החברה לפיתוח 2024'!U50</f>
        <v>7700000</v>
      </c>
      <c r="V52" s="120">
        <f>'תקציב החברה לפיתוח 2024'!V50</f>
        <v>7700000</v>
      </c>
      <c r="W52" s="120">
        <f>'תקציב החברה לפיתוח 2024'!W50</f>
        <v>0</v>
      </c>
      <c r="X52" s="120">
        <f>'תקציב החברה לפיתוח 2024'!X50</f>
        <v>0</v>
      </c>
      <c r="Y52" s="120">
        <f>'תקציב החברה לפיתוח 2024'!Y50</f>
        <v>0</v>
      </c>
      <c r="Z52" s="120">
        <f>'תקציב החברה לפיתוח 2024'!Z50</f>
        <v>0</v>
      </c>
      <c r="AA52" s="120">
        <f>'תקציב החברה לפיתוח 2024'!AA50</f>
        <v>0</v>
      </c>
      <c r="AB52" s="235" t="str">
        <f>'תקציב החברה לפיתוח 2024'!AB50</f>
        <v>הקמת מעון לאנשים עם מוגבלויות ברחוב הר סיני שכונת יד התשעה. כולל הצטיידות . מימון קרן שלם והמוסד לביטוח לאומי.</v>
      </c>
      <c r="AC52" s="135">
        <v>840000</v>
      </c>
    </row>
    <row r="53" spans="1:35" ht="45" customHeight="1">
      <c r="A53" s="135">
        <f t="shared" si="1"/>
        <v>49</v>
      </c>
      <c r="B53" s="135">
        <f>'תקציב החברה לפיתוח 2024'!B51</f>
        <v>2103</v>
      </c>
      <c r="C53" s="235" t="str">
        <f>'תקציב החברה לפיתוח 2024'!C51</f>
        <v xml:space="preserve">שדרוג המרחב הציבורי באיזור התעשיה </v>
      </c>
      <c r="D53" s="120">
        <f>'תקציב החברה לפיתוח 2024'!D51</f>
        <v>4200000</v>
      </c>
      <c r="E53" s="120">
        <f>'תקציב החברה לפיתוח 2024'!E51</f>
        <v>4200000</v>
      </c>
      <c r="F53" s="120">
        <f>'תקציב החברה לפיתוח 2024'!F51</f>
        <v>0</v>
      </c>
      <c r="G53" s="120">
        <f>'תקציב החברה לפיתוח 2024'!G51</f>
        <v>1000000</v>
      </c>
      <c r="H53" s="120">
        <f>'תקציב החברה לפיתוח 2024'!H51</f>
        <v>875595</v>
      </c>
      <c r="I53" s="120">
        <f>'תקציב החברה לפיתוח 2024'!I51</f>
        <v>0</v>
      </c>
      <c r="J53" s="120">
        <f>'תקציב החברה לפיתוח 2024'!J51</f>
        <v>0</v>
      </c>
      <c r="K53" s="120">
        <f>'תקציב החברה לפיתוח 2024'!K51</f>
        <v>0</v>
      </c>
      <c r="L53" s="120">
        <f>'תקציב החברה לפיתוח 2024'!L51</f>
        <v>875595</v>
      </c>
      <c r="M53" s="120">
        <f>'תקציב החברה לפיתוח 2024'!M51</f>
        <v>4405</v>
      </c>
      <c r="N53" s="120">
        <f>'תקציב החברה לפיתוח 2024'!N51</f>
        <v>120000</v>
      </c>
      <c r="O53" s="120">
        <f>'תקציב החברה לפיתוח 2024'!O51</f>
        <v>3200000</v>
      </c>
      <c r="P53" s="120">
        <f>'תקציב החברה לפיתוח 2024'!P51</f>
        <v>124405</v>
      </c>
      <c r="Q53" s="120">
        <f>'תקציב החברה לפיתוח 2024'!Q51</f>
        <v>700000</v>
      </c>
      <c r="R53" s="120">
        <f>'תקציב החברה לפיתוח 2024'!R51</f>
        <v>0</v>
      </c>
      <c r="S53" s="120">
        <f>'תקציב החברה לפיתוח 2024'!S51</f>
        <v>700000</v>
      </c>
      <c r="T53" s="120">
        <f>'תקציב החברה לפיתוח 2024'!T51</f>
        <v>820000</v>
      </c>
      <c r="U53" s="120">
        <f>'תקציב החברה לפיתוח 2024'!U51</f>
        <v>-700000</v>
      </c>
      <c r="V53" s="120">
        <f>'תקציב החברה לפיתוח 2024'!V51</f>
        <v>-700000</v>
      </c>
      <c r="W53" s="120">
        <f>'תקציב החברה לפיתוח 2024'!W51</f>
        <v>0</v>
      </c>
      <c r="X53" s="120">
        <f>'תקציב החברה לפיתוח 2024'!X51</f>
        <v>0</v>
      </c>
      <c r="Y53" s="120">
        <f>'תקציב החברה לפיתוח 2024'!Y51</f>
        <v>0</v>
      </c>
      <c r="Z53" s="120">
        <f>'תקציב החברה לפיתוח 2024'!Z51</f>
        <v>0</v>
      </c>
      <c r="AA53" s="120">
        <f>'תקציב החברה לפיתוח 2024'!AA51</f>
        <v>0</v>
      </c>
      <c r="AB53" s="235" t="str">
        <f>'תקציב החברה לפיתוח 2024'!AB51</f>
        <v>סל עבודות לשדרוג במרחב הציבורי קירצוף וריבוד באיזור התעשיה.</v>
      </c>
      <c r="AC53" s="135">
        <v>848000</v>
      </c>
    </row>
    <row r="54" spans="1:35" s="6" customFormat="1" ht="45" customHeight="1">
      <c r="A54" s="135">
        <f t="shared" si="1"/>
        <v>50</v>
      </c>
      <c r="B54" s="135">
        <f>'תקציב החברה לפיתוח 2024'!B52</f>
        <v>2106</v>
      </c>
      <c r="C54" s="235" t="str">
        <f>'תקציב החברה לפיתוח 2024'!C52</f>
        <v>אוצר הצמחים ,הראשונים ואבן אודם</v>
      </c>
      <c r="D54" s="120">
        <f>'תקציב החברה לפיתוח 2024'!D52</f>
        <v>15000000</v>
      </c>
      <c r="E54" s="120">
        <f>'תקציב החברה לפיתוח 2024'!E52</f>
        <v>15000000</v>
      </c>
      <c r="F54" s="120">
        <f>'תקציב החברה לפיתוח 2024'!F52</f>
        <v>0</v>
      </c>
      <c r="G54" s="120">
        <f>'תקציב החברה לפיתוח 2024'!G52</f>
        <v>4000000</v>
      </c>
      <c r="H54" s="120">
        <f>'תקציב החברה לפיתוח 2024'!H52</f>
        <v>1908005</v>
      </c>
      <c r="I54" s="120">
        <f>'תקציב החברה לפיתוח 2024'!I52</f>
        <v>0</v>
      </c>
      <c r="J54" s="120">
        <f>'תקציב החברה לפיתוח 2024'!J52</f>
        <v>0</v>
      </c>
      <c r="K54" s="120">
        <f>'תקציב החברה לפיתוח 2024'!K52</f>
        <v>0</v>
      </c>
      <c r="L54" s="120">
        <f>'תקציב החברה לפיתוח 2024'!L52</f>
        <v>1908005</v>
      </c>
      <c r="M54" s="120">
        <f>'תקציב החברה לפיתוח 2024'!M52</f>
        <v>41995</v>
      </c>
      <c r="N54" s="120">
        <f>'תקציב החברה לפיתוח 2024'!N52</f>
        <v>2550000</v>
      </c>
      <c r="O54" s="120">
        <f>'תקציב החברה לפיתוח 2024'!O52</f>
        <v>10500000</v>
      </c>
      <c r="P54" s="120">
        <f>'תקציב החברה לפיתוח 2024'!P52</f>
        <v>2091995</v>
      </c>
      <c r="Q54" s="120">
        <f>'תקציב החברה לפיתוח 2024'!Q52</f>
        <v>500000</v>
      </c>
      <c r="R54" s="120">
        <f>'תקציב החברה לפיתוח 2024'!R52</f>
        <v>0</v>
      </c>
      <c r="S54" s="120">
        <f>'תקציב החברה לפיתוח 2024'!S52</f>
        <v>500000</v>
      </c>
      <c r="T54" s="120">
        <f>'תקציב החברה לפיתוח 2024'!T52</f>
        <v>2550000</v>
      </c>
      <c r="U54" s="120">
        <f>'תקציב החברה לפיתוח 2024'!U52</f>
        <v>0</v>
      </c>
      <c r="V54" s="120">
        <f>'תקציב החברה לפיתוח 2024'!V52</f>
        <v>0</v>
      </c>
      <c r="W54" s="120">
        <f>'תקציב החברה לפיתוח 2024'!W52</f>
        <v>0</v>
      </c>
      <c r="X54" s="120">
        <f>'תקציב החברה לפיתוח 2024'!X52</f>
        <v>0</v>
      </c>
      <c r="Y54" s="120">
        <f>'תקציב החברה לפיתוח 2024'!Y52</f>
        <v>0</v>
      </c>
      <c r="Z54" s="120">
        <f>'תקציב החברה לפיתוח 2024'!Z52</f>
        <v>0</v>
      </c>
      <c r="AA54" s="120">
        <f>'תקציב החברה לפיתוח 2024'!AA52</f>
        <v>0</v>
      </c>
      <c r="AB54" s="235" t="str">
        <f>'תקציב החברה לפיתוח 2024'!AB52</f>
        <v>פיתוח מתחם הרחובות אוצר הצמחים, אבן אודם, הראשונים.</v>
      </c>
      <c r="AC54" s="3">
        <v>742000</v>
      </c>
      <c r="AD54" s="134"/>
      <c r="AE54" s="134"/>
      <c r="AF54" s="134"/>
      <c r="AG54" s="134"/>
      <c r="AH54" s="134"/>
      <c r="AI54" s="134"/>
    </row>
    <row r="55" spans="1:35" s="5" customFormat="1" ht="45" customHeight="1">
      <c r="A55" s="135">
        <f t="shared" si="1"/>
        <v>51</v>
      </c>
      <c r="B55" s="135">
        <f>'תקציב החברה לפיתוח 2024'!B53</f>
        <v>2109</v>
      </c>
      <c r="C55" s="235" t="str">
        <f>'תקציב החברה לפיתוח 2024'!C53</f>
        <v>רחוב הפרטיזנים</v>
      </c>
      <c r="D55" s="120">
        <f>'תקציב החברה לפיתוח 2024'!D53</f>
        <v>7500000</v>
      </c>
      <c r="E55" s="120">
        <f>'תקציב החברה לפיתוח 2024'!E53</f>
        <v>2000000</v>
      </c>
      <c r="F55" s="120">
        <f>'תקציב החברה לפיתוח 2024'!F53</f>
        <v>5500000</v>
      </c>
      <c r="G55" s="120">
        <f>'תקציב החברה לפיתוח 2024'!G53</f>
        <v>850000</v>
      </c>
      <c r="H55" s="120">
        <f>'תקציב החברה לפיתוח 2024'!H53</f>
        <v>159190</v>
      </c>
      <c r="I55" s="120">
        <f>'תקציב החברה לפיתוח 2024'!I53</f>
        <v>0</v>
      </c>
      <c r="J55" s="120">
        <f>'תקציב החברה לפיתוח 2024'!J53</f>
        <v>0</v>
      </c>
      <c r="K55" s="120">
        <f>'תקציב החברה לפיתוח 2024'!K53</f>
        <v>0</v>
      </c>
      <c r="L55" s="120">
        <f>'תקציב החברה לפיתוח 2024'!L53</f>
        <v>159190</v>
      </c>
      <c r="M55" s="120">
        <f>'תקציב החברה לפיתוח 2024'!M53</f>
        <v>810</v>
      </c>
      <c r="N55" s="120">
        <f>'תקציב החברה לפיתוח 2024'!N53</f>
        <v>690000</v>
      </c>
      <c r="O55" s="120">
        <f>'תקציב החברה לפיתוח 2024'!O53</f>
        <v>6650000</v>
      </c>
      <c r="P55" s="120">
        <f>'תקציב החברה לפיתוח 2024'!P53</f>
        <v>690810</v>
      </c>
      <c r="Q55" s="120">
        <f>'תקציב החברה לפיתוח 2024'!Q53</f>
        <v>0</v>
      </c>
      <c r="R55" s="120">
        <f>'תקציב החברה לפיתוח 2024'!R53</f>
        <v>0</v>
      </c>
      <c r="S55" s="120">
        <f>'תקציב החברה לפיתוח 2024'!S53</f>
        <v>0</v>
      </c>
      <c r="T55" s="120">
        <f>'תקציב החברה לפיתוח 2024'!T53</f>
        <v>690000</v>
      </c>
      <c r="U55" s="120">
        <f>'תקציב החברה לפיתוח 2024'!U53</f>
        <v>0</v>
      </c>
      <c r="V55" s="120">
        <f>'תקציב החברה לפיתוח 2024'!V53</f>
        <v>0</v>
      </c>
      <c r="W55" s="120">
        <f>'תקציב החברה לפיתוח 2024'!W53</f>
        <v>0</v>
      </c>
      <c r="X55" s="120">
        <f>'תקציב החברה לפיתוח 2024'!X53</f>
        <v>0</v>
      </c>
      <c r="Y55" s="120">
        <f>'תקציב החברה לפיתוח 2024'!Y53</f>
        <v>0</v>
      </c>
      <c r="Z55" s="120">
        <f>'תקציב החברה לפיתוח 2024'!Z53</f>
        <v>0</v>
      </c>
      <c r="AA55" s="120">
        <f>'תקציב החברה לפיתוח 2024'!AA53</f>
        <v>0</v>
      </c>
      <c r="AB55" s="235" t="str">
        <f>'תקציב החברה לפיתוח 2024'!AB53</f>
        <v xml:space="preserve">תכנון פיתוח רחוב הפרטיזנים. מדרכה מזרחית/דרומית, עבודות ניקוז. </v>
      </c>
      <c r="AC55" s="3">
        <v>742000</v>
      </c>
      <c r="AD55" s="134"/>
      <c r="AE55" s="134"/>
      <c r="AF55" s="134"/>
      <c r="AG55" s="134"/>
      <c r="AH55" s="134"/>
      <c r="AI55" s="134"/>
    </row>
    <row r="56" spans="1:35" s="5" customFormat="1" ht="45" customHeight="1">
      <c r="A56" s="135">
        <f t="shared" si="1"/>
        <v>52</v>
      </c>
      <c r="B56" s="135">
        <f>'תקציב החברה לפיתוח 2024'!B54</f>
        <v>2110</v>
      </c>
      <c r="C56" s="235" t="str">
        <f>'תקציב החברה לפיתוח 2024'!C54</f>
        <v>שיכון דרום הר' 2312</v>
      </c>
      <c r="D56" s="120">
        <f>'תקציב החברה לפיתוח 2024'!D54</f>
        <v>16000000</v>
      </c>
      <c r="E56" s="120">
        <f>'תקציב החברה לפיתוח 2024'!E54</f>
        <v>16000000</v>
      </c>
      <c r="F56" s="120">
        <f>'תקציב החברה לפיתוח 2024'!F54</f>
        <v>0</v>
      </c>
      <c r="G56" s="120">
        <f>'תקציב החברה לפיתוח 2024'!G54</f>
        <v>50000</v>
      </c>
      <c r="H56" s="120">
        <f>'תקציב החברה לפיתוח 2024'!H54</f>
        <v>0</v>
      </c>
      <c r="I56" s="120">
        <f>'תקציב החברה לפיתוח 2024'!I54</f>
        <v>0</v>
      </c>
      <c r="J56" s="120">
        <f>'תקציב החברה לפיתוח 2024'!J54</f>
        <v>0</v>
      </c>
      <c r="K56" s="120">
        <f>'תקציב החברה לפיתוח 2024'!K54</f>
        <v>0</v>
      </c>
      <c r="L56" s="120">
        <f>'תקציב החברה לפיתוח 2024'!L54</f>
        <v>0</v>
      </c>
      <c r="M56" s="120">
        <f>'תקציב החברה לפיתוח 2024'!M54</f>
        <v>0</v>
      </c>
      <c r="N56" s="120">
        <f>'תקציב החברה לפיתוח 2024'!N54</f>
        <v>0</v>
      </c>
      <c r="O56" s="120">
        <f>'תקציב החברה לפיתוח 2024'!O54</f>
        <v>16000000</v>
      </c>
      <c r="P56" s="120">
        <f>'תקציב החברה לפיתוח 2024'!P54</f>
        <v>50000</v>
      </c>
      <c r="Q56" s="120">
        <f>'תקציב החברה לפיתוח 2024'!Q54</f>
        <v>0</v>
      </c>
      <c r="R56" s="120">
        <f>'תקציב החברה לפיתוח 2024'!R54</f>
        <v>0</v>
      </c>
      <c r="S56" s="120">
        <f>'תקציב החברה לפיתוח 2024'!S54</f>
        <v>0</v>
      </c>
      <c r="T56" s="120">
        <f>'תקציב החברה לפיתוח 2024'!T54</f>
        <v>50000</v>
      </c>
      <c r="U56" s="120">
        <f>'תקציב החברה לפיתוח 2024'!U54</f>
        <v>-50000</v>
      </c>
      <c r="V56" s="120">
        <f>'תקציב החברה לפיתוח 2024'!V54</f>
        <v>-50000</v>
      </c>
      <c r="W56" s="120">
        <f>'תקציב החברה לפיתוח 2024'!W54</f>
        <v>0</v>
      </c>
      <c r="X56" s="120">
        <f>'תקציב החברה לפיתוח 2024'!X54</f>
        <v>0</v>
      </c>
      <c r="Y56" s="120">
        <f>'תקציב החברה לפיתוח 2024'!Y54</f>
        <v>0</v>
      </c>
      <c r="Z56" s="120">
        <f>'תקציב החברה לפיתוח 2024'!Z54</f>
        <v>0</v>
      </c>
      <c r="AA56" s="120">
        <f>'תקציב החברה לפיתוח 2024'!AA54</f>
        <v>0</v>
      </c>
      <c r="AB56" s="235" t="str">
        <f>'תקציב החברה לפיתוח 2024'!AB54</f>
        <v xml:space="preserve">תכנון פיתוח מתחם שיכון דרום. תכנון בין רח' בן גוריון-רבי עקיבא-בן יהודה. </v>
      </c>
      <c r="AC56" s="3">
        <v>742000</v>
      </c>
      <c r="AD56" s="134"/>
      <c r="AE56" s="134"/>
      <c r="AF56" s="134"/>
      <c r="AG56" s="134"/>
      <c r="AH56" s="134"/>
      <c r="AI56" s="134"/>
    </row>
    <row r="57" spans="1:35" s="5" customFormat="1" ht="45" customHeight="1">
      <c r="A57" s="135">
        <f t="shared" si="1"/>
        <v>53</v>
      </c>
      <c r="B57" s="135">
        <f>'תקציב החברה לפיתוח 2024'!B55</f>
        <v>2111</v>
      </c>
      <c r="C57" s="235" t="str">
        <f>'תקציב החברה לפיתוח 2024'!C55</f>
        <v>הר מירון בר כוכבא הר' 2266</v>
      </c>
      <c r="D57" s="120">
        <f>'תקציב החברה לפיתוח 2024'!D55</f>
        <v>15200000</v>
      </c>
      <c r="E57" s="120">
        <f>'תקציב החברה לפיתוח 2024'!E55</f>
        <v>15200000</v>
      </c>
      <c r="F57" s="120">
        <f>'תקציב החברה לפיתוח 2024'!F55</f>
        <v>0</v>
      </c>
      <c r="G57" s="120">
        <f>'תקציב החברה לפיתוח 2024'!G55</f>
        <v>100000</v>
      </c>
      <c r="H57" s="120">
        <f>'תקציב החברה לפיתוח 2024'!H55</f>
        <v>0</v>
      </c>
      <c r="I57" s="120">
        <f>'תקציב החברה לפיתוח 2024'!I55</f>
        <v>0</v>
      </c>
      <c r="J57" s="120">
        <f>'תקציב החברה לפיתוח 2024'!J55</f>
        <v>0</v>
      </c>
      <c r="K57" s="120">
        <f>'תקציב החברה לפיתוח 2024'!K55</f>
        <v>0</v>
      </c>
      <c r="L57" s="120">
        <f>'תקציב החברה לפיתוח 2024'!L55</f>
        <v>0</v>
      </c>
      <c r="M57" s="120">
        <f>'תקציב החברה לפיתוח 2024'!M55</f>
        <v>0</v>
      </c>
      <c r="N57" s="120">
        <f>'תקציב החברה לפיתוח 2024'!N55</f>
        <v>0</v>
      </c>
      <c r="O57" s="120">
        <f>'תקציב החברה לפיתוח 2024'!O55</f>
        <v>15200000</v>
      </c>
      <c r="P57" s="120">
        <f>'תקציב החברה לפיתוח 2024'!P55</f>
        <v>100000</v>
      </c>
      <c r="Q57" s="120">
        <f>'תקציב החברה לפיתוח 2024'!Q55</f>
        <v>0</v>
      </c>
      <c r="R57" s="120">
        <f>'תקציב החברה לפיתוח 2024'!R55</f>
        <v>0</v>
      </c>
      <c r="S57" s="120">
        <f>'תקציב החברה לפיתוח 2024'!S55</f>
        <v>0</v>
      </c>
      <c r="T57" s="120">
        <f>'תקציב החברה לפיתוח 2024'!T55</f>
        <v>100000</v>
      </c>
      <c r="U57" s="120">
        <f>'תקציב החברה לפיתוח 2024'!U55</f>
        <v>-100000</v>
      </c>
      <c r="V57" s="120">
        <f>'תקציב החברה לפיתוח 2024'!V55</f>
        <v>-100000</v>
      </c>
      <c r="W57" s="120">
        <f>'תקציב החברה לפיתוח 2024'!W55</f>
        <v>0</v>
      </c>
      <c r="X57" s="120">
        <f>'תקציב החברה לפיתוח 2024'!X55</f>
        <v>0</v>
      </c>
      <c r="Y57" s="120">
        <f>'תקציב החברה לפיתוח 2024'!Y55</f>
        <v>0</v>
      </c>
      <c r="Z57" s="120">
        <f>'תקציב החברה לפיתוח 2024'!Z55</f>
        <v>0</v>
      </c>
      <c r="AA57" s="120">
        <f>'תקציב החברה לפיתוח 2024'!AA55</f>
        <v>0</v>
      </c>
      <c r="AB57" s="235" t="str">
        <f>'תקציב החברה לפיתוח 2024'!AB55</f>
        <v xml:space="preserve">תכנון פיתוח הרחובות הר מירון בר כוכבא בעקבות אישור תוכנית התחדשות עירונית. </v>
      </c>
      <c r="AC57" s="3">
        <v>742000</v>
      </c>
      <c r="AD57" s="134"/>
      <c r="AE57" s="134"/>
      <c r="AF57" s="134"/>
      <c r="AG57" s="134"/>
      <c r="AH57" s="134"/>
      <c r="AI57" s="134"/>
    </row>
    <row r="58" spans="1:35" s="6" customFormat="1" ht="45" customHeight="1">
      <c r="A58" s="135">
        <f t="shared" si="1"/>
        <v>54</v>
      </c>
      <c r="B58" s="135">
        <f>'תקציב החברה לפיתוח 2024'!B56</f>
        <v>2115</v>
      </c>
      <c r="C58" s="235" t="str">
        <f>'תקציב החברה לפיתוח 2024'!C56</f>
        <v>תוכנית מתאר איזור התעסוקה הר/2440</v>
      </c>
      <c r="D58" s="120">
        <f>'תקציב החברה לפיתוח 2024'!D56</f>
        <v>3700000</v>
      </c>
      <c r="E58" s="120">
        <f>'תקציב החברה לפיתוח 2024'!E56</f>
        <v>3100000</v>
      </c>
      <c r="F58" s="120">
        <f>'תקציב החברה לפיתוח 2024'!F56</f>
        <v>600000</v>
      </c>
      <c r="G58" s="120">
        <f>'תקציב החברה לפיתוח 2024'!G56</f>
        <v>2300000</v>
      </c>
      <c r="H58" s="120">
        <f>'תקציב החברה לפיתוח 2024'!H56</f>
        <v>2300000</v>
      </c>
      <c r="I58" s="120">
        <f>'תקציב החברה לפיתוח 2024'!I56</f>
        <v>0</v>
      </c>
      <c r="J58" s="120">
        <f>'תקציב החברה לפיתוח 2024'!J56</f>
        <v>0</v>
      </c>
      <c r="K58" s="120">
        <f>'תקציב החברה לפיתוח 2024'!K56</f>
        <v>0</v>
      </c>
      <c r="L58" s="120">
        <f>'תקציב החברה לפיתוח 2024'!L56</f>
        <v>2300000</v>
      </c>
      <c r="M58" s="120">
        <f>'תקציב החברה לפיתוח 2024'!M56</f>
        <v>0</v>
      </c>
      <c r="N58" s="120">
        <f>'תקציב החברה לפיתוח 2024'!N56</f>
        <v>1400000</v>
      </c>
      <c r="O58" s="120">
        <f>'תקציב החברה לפיתוח 2024'!O56</f>
        <v>0</v>
      </c>
      <c r="P58" s="120">
        <f>'תקציב החברה לפיתוח 2024'!P56</f>
        <v>0</v>
      </c>
      <c r="Q58" s="120">
        <f>'תקציב החברה לפיתוח 2024'!Q56</f>
        <v>0</v>
      </c>
      <c r="R58" s="120">
        <f>'תקציב החברה לפיתוח 2024'!R56</f>
        <v>0</v>
      </c>
      <c r="S58" s="120">
        <f>'תקציב החברה לפיתוח 2024'!S56</f>
        <v>0</v>
      </c>
      <c r="T58" s="120">
        <f>'תקציב החברה לפיתוח 2024'!T56</f>
        <v>0</v>
      </c>
      <c r="U58" s="120">
        <f>'תקציב החברה לפיתוח 2024'!U56</f>
        <v>1400000</v>
      </c>
      <c r="V58" s="120">
        <f>'תקציב החברה לפיתוח 2024'!V56</f>
        <v>1400000</v>
      </c>
      <c r="W58" s="120">
        <f>'תקציב החברה לפיתוח 2024'!W56</f>
        <v>0</v>
      </c>
      <c r="X58" s="120">
        <f>'תקציב החברה לפיתוח 2024'!X56</f>
        <v>0</v>
      </c>
      <c r="Y58" s="120">
        <f>'תקציב החברה לפיתוח 2024'!Y56</f>
        <v>0</v>
      </c>
      <c r="Z58" s="120">
        <f>'תקציב החברה לפיתוח 2024'!Z56</f>
        <v>0</v>
      </c>
      <c r="AA58" s="120">
        <f>'תקציב החברה לפיתוח 2024'!AA56</f>
        <v>0</v>
      </c>
      <c r="AB58" s="235" t="str">
        <f>'תקציב החברה לפיתוח 2024'!AB56</f>
        <v>הפיכת תוכנית אסטרטגית  לתוכנית סטטוטורית, לתוכנית מתאר בועדה המחוזית בהתאם ליו"ר הועדה המחוזית וליווי מימושה של התוכנית שקיבלה תוקף.</v>
      </c>
      <c r="AC58" s="3">
        <v>732000</v>
      </c>
      <c r="AD58" s="134"/>
      <c r="AE58" s="134"/>
      <c r="AF58" s="134"/>
      <c r="AG58" s="134"/>
      <c r="AH58" s="134"/>
      <c r="AI58" s="134"/>
    </row>
    <row r="59" spans="1:35" s="6" customFormat="1" ht="45" customHeight="1">
      <c r="A59" s="135">
        <f t="shared" si="1"/>
        <v>55</v>
      </c>
      <c r="B59" s="135">
        <f>'תקציב החברה לפיתוח 2024'!B57</f>
        <v>2118</v>
      </c>
      <c r="C59" s="235" t="str">
        <f>'תקציב החברה לפיתוח 2024'!C57</f>
        <v>שצ"פ דליה רביקוביץ בשכונת אלתרמן (הר/1920)</v>
      </c>
      <c r="D59" s="120">
        <f>'תקציב החברה לפיתוח 2024'!D57</f>
        <v>2600000</v>
      </c>
      <c r="E59" s="120">
        <f>'תקציב החברה לפיתוח 2024'!E57</f>
        <v>2600000</v>
      </c>
      <c r="F59" s="120">
        <f>'תקציב החברה לפיתוח 2024'!F57</f>
        <v>0</v>
      </c>
      <c r="G59" s="120">
        <f>'תקציב החברה לפיתוח 2024'!G57</f>
        <v>2600000</v>
      </c>
      <c r="H59" s="120">
        <f>'תקציב החברה לפיתוח 2024'!H57</f>
        <v>2049405</v>
      </c>
      <c r="I59" s="120">
        <f>'תקציב החברה לפיתוח 2024'!I57</f>
        <v>0</v>
      </c>
      <c r="J59" s="120">
        <f>'תקציב החברה לפיתוח 2024'!J57</f>
        <v>0</v>
      </c>
      <c r="K59" s="120">
        <f>'תקציב החברה לפיתוח 2024'!K57</f>
        <v>0</v>
      </c>
      <c r="L59" s="120">
        <f>'תקציב החברה לפיתוח 2024'!L57</f>
        <v>2049405</v>
      </c>
      <c r="M59" s="120">
        <f>'תקציב החברה לפיתוח 2024'!M57</f>
        <v>595</v>
      </c>
      <c r="N59" s="120">
        <f>'תקציב החברה לפיתוח 2024'!N57</f>
        <v>550000</v>
      </c>
      <c r="O59" s="120">
        <f>'תקציב החברה לפיתוח 2024'!O57</f>
        <v>0</v>
      </c>
      <c r="P59" s="120">
        <f>'תקציב החברה לפיתוח 2024'!P57</f>
        <v>550595</v>
      </c>
      <c r="Q59" s="120">
        <f>'תקציב החברה לפיתוח 2024'!Q57</f>
        <v>0</v>
      </c>
      <c r="R59" s="120">
        <f>'תקציב החברה לפיתוח 2024'!R57</f>
        <v>0</v>
      </c>
      <c r="S59" s="120">
        <f>'תקציב החברה לפיתוח 2024'!S57</f>
        <v>0</v>
      </c>
      <c r="T59" s="120">
        <f>'תקציב החברה לפיתוח 2024'!T57</f>
        <v>550000</v>
      </c>
      <c r="U59" s="120">
        <f>'תקציב החברה לפיתוח 2024'!U57</f>
        <v>0</v>
      </c>
      <c r="V59" s="120">
        <f>'תקציב החברה לפיתוח 2024'!V57</f>
        <v>0</v>
      </c>
      <c r="W59" s="120">
        <f>'תקציב החברה לפיתוח 2024'!W57</f>
        <v>0</v>
      </c>
      <c r="X59" s="120">
        <f>'תקציב החברה לפיתוח 2024'!X57</f>
        <v>0</v>
      </c>
      <c r="Y59" s="120">
        <f>'תקציב החברה לפיתוח 2024'!Y57</f>
        <v>0</v>
      </c>
      <c r="Z59" s="120">
        <f>'תקציב החברה לפיתוח 2024'!Z57</f>
        <v>0</v>
      </c>
      <c r="AA59" s="120">
        <f>'תקציב החברה לפיתוח 2024'!AA57</f>
        <v>0</v>
      </c>
      <c r="AB59" s="235" t="str">
        <f>'תקציב החברה לפיתוח 2024'!AB57</f>
        <v xml:space="preserve">ביצוע השלמת שצ"פ בקטע רח' דליה רביקוביץ פינת אסתר רהב. </v>
      </c>
      <c r="AC59" s="3">
        <v>746000</v>
      </c>
      <c r="AD59" s="134"/>
      <c r="AE59" s="134"/>
      <c r="AF59" s="134"/>
      <c r="AG59" s="134"/>
      <c r="AH59" s="134"/>
      <c r="AI59" s="134"/>
    </row>
    <row r="60" spans="1:35" s="5" customFormat="1" ht="45" customHeight="1">
      <c r="A60" s="135">
        <f t="shared" si="1"/>
        <v>56</v>
      </c>
      <c r="B60" s="135">
        <f>'תקציב החברה לפיתוח 2024'!B58</f>
        <v>2119</v>
      </c>
      <c r="C60" s="235" t="str">
        <f>'תקציב החברה לפיתוח 2024'!C58</f>
        <v>שביל מתחם העצמאות הרב גורן הבנים</v>
      </c>
      <c r="D60" s="120">
        <f>'תקציב החברה לפיתוח 2024'!D58</f>
        <v>6000000</v>
      </c>
      <c r="E60" s="120">
        <f>'תקציב החברה לפיתוח 2024'!E58</f>
        <v>6000000</v>
      </c>
      <c r="F60" s="120">
        <f>'תקציב החברה לפיתוח 2024'!F58</f>
        <v>0</v>
      </c>
      <c r="G60" s="120">
        <f>'תקציב החברה לפיתוח 2024'!G58</f>
        <v>6000000</v>
      </c>
      <c r="H60" s="120">
        <f>'תקציב החברה לפיתוח 2024'!H58</f>
        <v>3301431</v>
      </c>
      <c r="I60" s="120">
        <f>'תקציב החברה לפיתוח 2024'!I58</f>
        <v>0</v>
      </c>
      <c r="J60" s="120">
        <f>'תקציב החברה לפיתוח 2024'!J58</f>
        <v>0</v>
      </c>
      <c r="K60" s="120">
        <f>'תקציב החברה לפיתוח 2024'!K58</f>
        <v>0</v>
      </c>
      <c r="L60" s="120">
        <f>'תקציב החברה לפיתוח 2024'!L58</f>
        <v>3301431</v>
      </c>
      <c r="M60" s="120">
        <f>'תקציב החברה לפיתוח 2024'!M58</f>
        <v>8569</v>
      </c>
      <c r="N60" s="120">
        <f>'תקציב החברה לפיתוח 2024'!N58</f>
        <v>2690000</v>
      </c>
      <c r="O60" s="120">
        <f>'תקציב החברה לפיתוח 2024'!O58</f>
        <v>0</v>
      </c>
      <c r="P60" s="120">
        <f>'תקציב החברה לפיתוח 2024'!P58</f>
        <v>2698569</v>
      </c>
      <c r="Q60" s="120">
        <f>'תקציב החברה לפיתוח 2024'!Q58</f>
        <v>0</v>
      </c>
      <c r="R60" s="120">
        <f>'תקציב החברה לפיתוח 2024'!R58</f>
        <v>0</v>
      </c>
      <c r="S60" s="120">
        <f>'תקציב החברה לפיתוח 2024'!S58</f>
        <v>0</v>
      </c>
      <c r="T60" s="120">
        <f>'תקציב החברה לפיתוח 2024'!T58</f>
        <v>2690000</v>
      </c>
      <c r="U60" s="120">
        <f>'תקציב החברה לפיתוח 2024'!U58</f>
        <v>0</v>
      </c>
      <c r="V60" s="120">
        <f>'תקציב החברה לפיתוח 2024'!V58</f>
        <v>0</v>
      </c>
      <c r="W60" s="120">
        <f>'תקציב החברה לפיתוח 2024'!W58</f>
        <v>0</v>
      </c>
      <c r="X60" s="120">
        <f>'תקציב החברה לפיתוח 2024'!X58</f>
        <v>0</v>
      </c>
      <c r="Y60" s="120">
        <f>'תקציב החברה לפיתוח 2024'!Y58</f>
        <v>0</v>
      </c>
      <c r="Z60" s="120">
        <f>'תקציב החברה לפיתוח 2024'!Z58</f>
        <v>0</v>
      </c>
      <c r="AA60" s="120">
        <f>'תקציב החברה לפיתוח 2024'!AA58</f>
        <v>0</v>
      </c>
      <c r="AB60" s="235" t="str">
        <f>'תקציב החברה לפיתוח 2024'!AB58</f>
        <v>עבודות פיתוח מערך שבילים בין הרחובות העצמאות הרב גורן ורחוב הבנים.</v>
      </c>
      <c r="AC60" s="3">
        <v>742000</v>
      </c>
      <c r="AD60" s="134"/>
      <c r="AE60" s="134"/>
      <c r="AF60" s="134"/>
      <c r="AG60" s="134"/>
      <c r="AH60" s="134"/>
      <c r="AI60" s="134"/>
    </row>
    <row r="61" spans="1:35" s="5" customFormat="1" ht="45" customHeight="1">
      <c r="A61" s="135">
        <f t="shared" si="1"/>
        <v>57</v>
      </c>
      <c r="B61" s="135">
        <f>'תקציב החברה לפיתוח 2024'!B59</f>
        <v>2126</v>
      </c>
      <c r="C61" s="235" t="str">
        <f>'תקציב החברה לפיתוח 2024'!C59</f>
        <v>כיכר העוגן השונית</v>
      </c>
      <c r="D61" s="120">
        <f>'תקציב החברה לפיתוח 2024'!D59</f>
        <v>1975000</v>
      </c>
      <c r="E61" s="120">
        <f>'תקציב החברה לפיתוח 2024'!E59</f>
        <v>1975000</v>
      </c>
      <c r="F61" s="120">
        <f>'תקציב החברה לפיתוח 2024'!F59</f>
        <v>0</v>
      </c>
      <c r="G61" s="120">
        <f>'תקציב החברה לפיתוח 2024'!G59</f>
        <v>0</v>
      </c>
      <c r="H61" s="120">
        <f>'תקציב החברה לפיתוח 2024'!H59</f>
        <v>0</v>
      </c>
      <c r="I61" s="120">
        <f>'תקציב החברה לפיתוח 2024'!I59</f>
        <v>0</v>
      </c>
      <c r="J61" s="120">
        <f>'תקציב החברה לפיתוח 2024'!J59</f>
        <v>0</v>
      </c>
      <c r="K61" s="120">
        <f>'תקציב החברה לפיתוח 2024'!K59</f>
        <v>0</v>
      </c>
      <c r="L61" s="120">
        <f>'תקציב החברה לפיתוח 2024'!L59</f>
        <v>0</v>
      </c>
      <c r="M61" s="120">
        <f>'תקציב החברה לפיתוח 2024'!M59</f>
        <v>0</v>
      </c>
      <c r="N61" s="120">
        <f>'תקציב החברה לפיתוח 2024'!N59</f>
        <v>0</v>
      </c>
      <c r="O61" s="120">
        <f>'תקציב החברה לפיתוח 2024'!O59</f>
        <v>1975000</v>
      </c>
      <c r="P61" s="120">
        <f>'תקציב החברה לפיתוח 2024'!P59</f>
        <v>0</v>
      </c>
      <c r="Q61" s="120">
        <f>'תקציב החברה לפיתוח 2024'!Q59</f>
        <v>0</v>
      </c>
      <c r="R61" s="120">
        <f>'תקציב החברה לפיתוח 2024'!R59</f>
        <v>0</v>
      </c>
      <c r="S61" s="120">
        <f>'תקציב החברה לפיתוח 2024'!S59</f>
        <v>0</v>
      </c>
      <c r="T61" s="120">
        <f>'תקציב החברה לפיתוח 2024'!T59</f>
        <v>0</v>
      </c>
      <c r="U61" s="120">
        <f>'תקציב החברה לפיתוח 2024'!U59</f>
        <v>0</v>
      </c>
      <c r="V61" s="120">
        <f>'תקציב החברה לפיתוח 2024'!V59</f>
        <v>0</v>
      </c>
      <c r="W61" s="120">
        <f>'תקציב החברה לפיתוח 2024'!W59</f>
        <v>0</v>
      </c>
      <c r="X61" s="120">
        <f>'תקציב החברה לפיתוח 2024'!X59</f>
        <v>0</v>
      </c>
      <c r="Y61" s="120">
        <f>'תקציב החברה לפיתוח 2024'!Y59</f>
        <v>0</v>
      </c>
      <c r="Z61" s="120">
        <f>'תקציב החברה לפיתוח 2024'!Z59</f>
        <v>0</v>
      </c>
      <c r="AA61" s="120">
        <f>'תקציב החברה לפיתוח 2024'!AA59</f>
        <v>0</v>
      </c>
      <c r="AB61" s="235">
        <f>'תקציב החברה לפיתוח 2024'!AB59</f>
        <v>0</v>
      </c>
      <c r="AC61" s="3">
        <v>742000</v>
      </c>
      <c r="AD61" s="134"/>
      <c r="AE61" s="134"/>
      <c r="AF61" s="134"/>
      <c r="AG61" s="134"/>
      <c r="AH61" s="134"/>
      <c r="AI61" s="134"/>
    </row>
    <row r="62" spans="1:35" s="6" customFormat="1" ht="45" customHeight="1">
      <c r="A62" s="135">
        <f t="shared" si="1"/>
        <v>58</v>
      </c>
      <c r="B62" s="135">
        <f>'תקציב החברה לפיתוח 2024'!B60</f>
        <v>2127</v>
      </c>
      <c r="C62" s="235" t="str">
        <f>'תקציב החברה לפיתוח 2024'!C60</f>
        <v>הגנה על מצוקי הים</v>
      </c>
      <c r="D62" s="120">
        <f>'תקציב החברה לפיתוח 2024'!D60</f>
        <v>2259000</v>
      </c>
      <c r="E62" s="120">
        <f>'תקציב החברה לפיתוח 2024'!E60</f>
        <v>2259000</v>
      </c>
      <c r="F62" s="120">
        <f>'תקציב החברה לפיתוח 2024'!F60</f>
        <v>0</v>
      </c>
      <c r="G62" s="120">
        <f>'תקציב החברה לפיתוח 2024'!G60</f>
        <v>2259000</v>
      </c>
      <c r="H62" s="120">
        <f>'תקציב החברה לפיתוח 2024'!H60</f>
        <v>645783</v>
      </c>
      <c r="I62" s="120">
        <f>'תקציב החברה לפיתוח 2024'!I60</f>
        <v>0</v>
      </c>
      <c r="J62" s="120">
        <f>'תקציב החברה לפיתוח 2024'!J60</f>
        <v>0</v>
      </c>
      <c r="K62" s="120">
        <f>'תקציב החברה לפיתוח 2024'!K60</f>
        <v>0</v>
      </c>
      <c r="L62" s="120">
        <f>'תקציב החברה לפיתוח 2024'!L60</f>
        <v>645783</v>
      </c>
      <c r="M62" s="120">
        <f>'תקציב החברה לפיתוח 2024'!M60</f>
        <v>13217</v>
      </c>
      <c r="N62" s="120">
        <f>'תקציב החברה לפיתוח 2024'!N60</f>
        <v>1000000</v>
      </c>
      <c r="O62" s="120">
        <f>'תקציב החברה לפיתוח 2024'!O60</f>
        <v>600000</v>
      </c>
      <c r="P62" s="120">
        <f>'תקציב החברה לפיתוח 2024'!P60</f>
        <v>1613217</v>
      </c>
      <c r="Q62" s="120">
        <f>'תקציב החברה לפיתוח 2024'!Q60</f>
        <v>0</v>
      </c>
      <c r="R62" s="120">
        <f>'תקציב החברה לפיתוח 2024'!R60</f>
        <v>0</v>
      </c>
      <c r="S62" s="120">
        <f>'תקציב החברה לפיתוח 2024'!S60</f>
        <v>0</v>
      </c>
      <c r="T62" s="120">
        <f>'תקציב החברה לפיתוח 2024'!T60</f>
        <v>1600000</v>
      </c>
      <c r="U62" s="120">
        <f>'תקציב החברה לפיתוח 2024'!U60</f>
        <v>-600000</v>
      </c>
      <c r="V62" s="120">
        <f>'תקציב החברה לפיתוח 2024'!V60</f>
        <v>-600000</v>
      </c>
      <c r="W62" s="120">
        <f>'תקציב החברה לפיתוח 2024'!W60</f>
        <v>0</v>
      </c>
      <c r="X62" s="120">
        <f>'תקציב החברה לפיתוח 2024'!X60</f>
        <v>0</v>
      </c>
      <c r="Y62" s="120">
        <f>'תקציב החברה לפיתוח 2024'!Y60</f>
        <v>0</v>
      </c>
      <c r="Z62" s="120">
        <f>'תקציב החברה לפיתוח 2024'!Z60</f>
        <v>0</v>
      </c>
      <c r="AA62" s="120">
        <f>'תקציב החברה לפיתוח 2024'!AA60</f>
        <v>0</v>
      </c>
      <c r="AB62" s="235" t="str">
        <f>'תקציב החברה לפיתוח 2024'!AB60</f>
        <v xml:space="preserve">גיבוש תוכנית פעולות לעבודות הגנה על מצוקי חופי הים . המשך תכנון. מימון מ. הפנים. </v>
      </c>
      <c r="AC62" s="3">
        <v>747000</v>
      </c>
      <c r="AD62" s="134"/>
      <c r="AE62" s="134"/>
      <c r="AF62" s="134"/>
      <c r="AG62" s="134"/>
      <c r="AH62" s="134"/>
      <c r="AI62" s="134"/>
    </row>
    <row r="63" spans="1:35" s="6" customFormat="1" ht="45" customHeight="1">
      <c r="A63" s="135">
        <f t="shared" si="1"/>
        <v>59</v>
      </c>
      <c r="B63" s="135">
        <f>'תקציב החברה לפיתוח 2024'!B61</f>
        <v>2130</v>
      </c>
      <c r="C63" s="235" t="str">
        <f>'תקציב החברה לפיתוח 2024'!C61</f>
        <v>עיצוב חצר לימודית בי"ס גורדון</v>
      </c>
      <c r="D63" s="120">
        <f>'תקציב החברה לפיתוח 2024'!D61</f>
        <v>500000</v>
      </c>
      <c r="E63" s="120">
        <f>'תקציב החברה לפיתוח 2024'!E61</f>
        <v>500000</v>
      </c>
      <c r="F63" s="120">
        <f>'תקציב החברה לפיתוח 2024'!F61</f>
        <v>0</v>
      </c>
      <c r="G63" s="120">
        <f>'תקציב החברה לפיתוח 2024'!G61</f>
        <v>500000</v>
      </c>
      <c r="H63" s="120">
        <f>'תקציב החברה לפיתוח 2024'!H61</f>
        <v>19942</v>
      </c>
      <c r="I63" s="120">
        <f>'תקציב החברה לפיתוח 2024'!I61</f>
        <v>0</v>
      </c>
      <c r="J63" s="120">
        <f>'תקציב החברה לפיתוח 2024'!J61</f>
        <v>0</v>
      </c>
      <c r="K63" s="120">
        <f>'תקציב החברה לפיתוח 2024'!K61</f>
        <v>0</v>
      </c>
      <c r="L63" s="120">
        <f>'תקציב החברה לפיתוח 2024'!L61</f>
        <v>19942</v>
      </c>
      <c r="M63" s="120">
        <f>'תקציב החברה לפיתוח 2024'!M61</f>
        <v>58</v>
      </c>
      <c r="N63" s="120">
        <f>'תקציב החברה לפיתוח 2024'!N61</f>
        <v>480000</v>
      </c>
      <c r="O63" s="120">
        <f>'תקציב החברה לפיתוח 2024'!O61</f>
        <v>0</v>
      </c>
      <c r="P63" s="120">
        <f>'תקציב החברה לפיתוח 2024'!P61</f>
        <v>480058</v>
      </c>
      <c r="Q63" s="120">
        <f>'תקציב החברה לפיתוח 2024'!Q61</f>
        <v>0</v>
      </c>
      <c r="R63" s="120">
        <f>'תקציב החברה לפיתוח 2024'!R61</f>
        <v>0</v>
      </c>
      <c r="S63" s="120">
        <f>'תקציב החברה לפיתוח 2024'!S61</f>
        <v>0</v>
      </c>
      <c r="T63" s="120">
        <f>'תקציב החברה לפיתוח 2024'!T61</f>
        <v>480000</v>
      </c>
      <c r="U63" s="120">
        <f>'תקציב החברה לפיתוח 2024'!U61</f>
        <v>0</v>
      </c>
      <c r="V63" s="120">
        <f>'תקציב החברה לפיתוח 2024'!V61</f>
        <v>0</v>
      </c>
      <c r="W63" s="120">
        <f>'תקציב החברה לפיתוח 2024'!W61</f>
        <v>0</v>
      </c>
      <c r="X63" s="120">
        <f>'תקציב החברה לפיתוח 2024'!X61</f>
        <v>0</v>
      </c>
      <c r="Y63" s="120">
        <f>'תקציב החברה לפיתוח 2024'!Y61</f>
        <v>0</v>
      </c>
      <c r="Z63" s="120">
        <f>'תקציב החברה לפיתוח 2024'!Z61</f>
        <v>0</v>
      </c>
      <c r="AA63" s="120">
        <f>'תקציב החברה לפיתוח 2024'!AA61</f>
        <v>0</v>
      </c>
      <c r="AB63" s="235" t="str">
        <f>'תקציב החברה לפיתוח 2024'!AB61</f>
        <v xml:space="preserve">עיצוב חצר לימודית בי"ס גורדון. מימון חלקי מ. החינוך. </v>
      </c>
      <c r="AC63" s="3">
        <v>810000</v>
      </c>
      <c r="AD63" s="134"/>
      <c r="AE63" s="134"/>
      <c r="AF63" s="134"/>
      <c r="AG63" s="134"/>
      <c r="AH63" s="134"/>
      <c r="AI63" s="134"/>
    </row>
    <row r="64" spans="1:35" s="5" customFormat="1" ht="45" customHeight="1">
      <c r="A64" s="135">
        <f t="shared" si="1"/>
        <v>60</v>
      </c>
      <c r="B64" s="135">
        <f>'תקציב החברה לפיתוח 2024'!B62</f>
        <v>2149</v>
      </c>
      <c r="C64" s="235" t="str">
        <f>'תקציב החברה לפיתוח 2024'!C62</f>
        <v>בחינת התכנות לגנ"י חדשים במתחמים שונים</v>
      </c>
      <c r="D64" s="120">
        <f>'תקציב החברה לפיתוח 2024'!D62</f>
        <v>2500000</v>
      </c>
      <c r="E64" s="120">
        <f>'תקציב החברה לפיתוח 2024'!E62</f>
        <v>2000000</v>
      </c>
      <c r="F64" s="120">
        <f>'תקציב החברה לפיתוח 2024'!F62</f>
        <v>500000</v>
      </c>
      <c r="G64" s="120">
        <f>'תקציב החברה לפיתוח 2024'!G62</f>
        <v>1700000</v>
      </c>
      <c r="H64" s="120">
        <f>'תקציב החברה לפיתוח 2024'!H62</f>
        <v>1232473</v>
      </c>
      <c r="I64" s="120">
        <f>'תקציב החברה לפיתוח 2024'!I62</f>
        <v>0</v>
      </c>
      <c r="J64" s="120">
        <f>'תקציב החברה לפיתוח 2024'!J62</f>
        <v>0</v>
      </c>
      <c r="K64" s="120">
        <f>'תקציב החברה לפיתוח 2024'!K62</f>
        <v>0</v>
      </c>
      <c r="L64" s="120">
        <f>'תקציב החברה לפיתוח 2024'!L62</f>
        <v>1232473</v>
      </c>
      <c r="M64" s="120">
        <f>'תקציב החברה לפיתוח 2024'!M62</f>
        <v>17527</v>
      </c>
      <c r="N64" s="120">
        <f>'תקציב החברה לפיתוח 2024'!N62</f>
        <v>1050000</v>
      </c>
      <c r="O64" s="120">
        <f>'תקציב החברה לפיתוח 2024'!O62</f>
        <v>200000</v>
      </c>
      <c r="P64" s="120">
        <f>'תקציב החברה לפיתוח 2024'!P62</f>
        <v>467527</v>
      </c>
      <c r="Q64" s="120">
        <f>'תקציב החברה לפיתוח 2024'!Q62</f>
        <v>0</v>
      </c>
      <c r="R64" s="120">
        <f>'תקציב החברה לפיתוח 2024'!R62</f>
        <v>0</v>
      </c>
      <c r="S64" s="120">
        <f>'תקציב החברה לפיתוח 2024'!S62</f>
        <v>0</v>
      </c>
      <c r="T64" s="120">
        <f>'תקציב החברה לפיתוח 2024'!T62</f>
        <v>450000</v>
      </c>
      <c r="U64" s="120">
        <f>'תקציב החברה לפיתוח 2024'!U62</f>
        <v>600000</v>
      </c>
      <c r="V64" s="120">
        <f>'תקציב החברה לפיתוח 2024'!V62</f>
        <v>600000</v>
      </c>
      <c r="W64" s="120">
        <f>'תקציב החברה לפיתוח 2024'!W62</f>
        <v>0</v>
      </c>
      <c r="X64" s="120">
        <f>'תקציב החברה לפיתוח 2024'!X62</f>
        <v>0</v>
      </c>
      <c r="Y64" s="120">
        <f>'תקציב החברה לפיתוח 2024'!Y62</f>
        <v>0</v>
      </c>
      <c r="Z64" s="120">
        <f>'תקציב החברה לפיתוח 2024'!Z62</f>
        <v>0</v>
      </c>
      <c r="AA64" s="120">
        <f>'תקציב החברה לפיתוח 2024'!AA62</f>
        <v>0</v>
      </c>
      <c r="AB64" s="235" t="str">
        <f>'תקציב החברה לפיתוח 2024'!AB62</f>
        <v>בדיקת התכנות לבניית גנ"י במתחמים שונים ברחבי העיר בהתאם לצרכים העירוניים מעת לעת. 2024: כולל בדיקת היתכנות במגרשים 200-202 בגליל ים ג'.</v>
      </c>
      <c r="AC64" s="3">
        <v>810000</v>
      </c>
      <c r="AD64" s="134"/>
      <c r="AE64" s="134"/>
      <c r="AF64" s="134"/>
      <c r="AG64" s="134"/>
      <c r="AH64" s="134"/>
      <c r="AI64" s="134"/>
    </row>
    <row r="65" spans="1:35" s="5" customFormat="1" ht="45" customHeight="1">
      <c r="A65" s="135">
        <f t="shared" si="1"/>
        <v>61</v>
      </c>
      <c r="B65" s="135">
        <f>'תקציב החברה לפיתוח 2024'!B63</f>
        <v>2150</v>
      </c>
      <c r="C65" s="235" t="str">
        <f>'תקציב החברה לפיתוח 2024'!C63</f>
        <v xml:space="preserve">שצ"פים במתחם הר 1960 </v>
      </c>
      <c r="D65" s="120">
        <f>'תקציב החברה לפיתוח 2024'!D63</f>
        <v>23500000</v>
      </c>
      <c r="E65" s="120">
        <f>'תקציב החברה לפיתוח 2024'!E63</f>
        <v>23500000</v>
      </c>
      <c r="F65" s="120">
        <f>'תקציב החברה לפיתוח 2024'!F63</f>
        <v>0</v>
      </c>
      <c r="G65" s="120">
        <f>'תקציב החברה לפיתוח 2024'!G63</f>
        <v>14500000</v>
      </c>
      <c r="H65" s="120">
        <f>'תקציב החברה לפיתוח 2024'!H63</f>
        <v>11935396</v>
      </c>
      <c r="I65" s="120">
        <f>'תקציב החברה לפיתוח 2024'!I63</f>
        <v>0</v>
      </c>
      <c r="J65" s="120">
        <f>'תקציב החברה לפיתוח 2024'!J63</f>
        <v>0</v>
      </c>
      <c r="K65" s="120">
        <f>'תקציב החברה לפיתוח 2024'!K63</f>
        <v>0</v>
      </c>
      <c r="L65" s="120">
        <f>'תקציב החברה לפיתוח 2024'!L63</f>
        <v>11935396</v>
      </c>
      <c r="M65" s="120">
        <f>'תקציב החברה לפיתוח 2024'!M63</f>
        <v>14604</v>
      </c>
      <c r="N65" s="120">
        <f>'תקציב החברה לפיתוח 2024'!N63</f>
        <v>2000000</v>
      </c>
      <c r="O65" s="120">
        <f>'תקציב החברה לפיתוח 2024'!O63</f>
        <v>9550000</v>
      </c>
      <c r="P65" s="120">
        <f>'תקציב החברה לפיתוח 2024'!P63</f>
        <v>2564604</v>
      </c>
      <c r="Q65" s="120">
        <f>'תקציב החברה לפיתוח 2024'!Q63</f>
        <v>0</v>
      </c>
      <c r="R65" s="120">
        <f>'תקציב החברה לפיתוח 2024'!R63</f>
        <v>0</v>
      </c>
      <c r="S65" s="120">
        <f>'תקציב החברה לפיתוח 2024'!S63</f>
        <v>0</v>
      </c>
      <c r="T65" s="120">
        <f>'תקציב החברה לפיתוח 2024'!T63</f>
        <v>2550000</v>
      </c>
      <c r="U65" s="120">
        <f>'תקציב החברה לפיתוח 2024'!U63</f>
        <v>-550000</v>
      </c>
      <c r="V65" s="120">
        <f>'תקציב החברה לפיתוח 2024'!V63</f>
        <v>-550000</v>
      </c>
      <c r="W65" s="120">
        <f>'תקציב החברה לפיתוח 2024'!W63</f>
        <v>0</v>
      </c>
      <c r="X65" s="120">
        <f>'תקציב החברה לפיתוח 2024'!X63</f>
        <v>0</v>
      </c>
      <c r="Y65" s="120">
        <f>'תקציב החברה לפיתוח 2024'!Y63</f>
        <v>0</v>
      </c>
      <c r="Z65" s="120">
        <f>'תקציב החברה לפיתוח 2024'!Z63</f>
        <v>0</v>
      </c>
      <c r="AA65" s="120">
        <f>'תקציב החברה לפיתוח 2024'!AA63</f>
        <v>0</v>
      </c>
      <c r="AB65" s="235" t="str">
        <f>'תקציב החברה לפיתוח 2024'!AB63</f>
        <v>ביצוע שצ"פים במתחם : מלכי יהודה (האקליפטוס), קורן,דן שומרון,דורי,משה שמיר.</v>
      </c>
      <c r="AC65" s="3">
        <v>746000</v>
      </c>
      <c r="AD65" s="134"/>
      <c r="AE65" s="134"/>
      <c r="AF65" s="134"/>
      <c r="AG65" s="134"/>
      <c r="AH65" s="134"/>
      <c r="AI65" s="134"/>
    </row>
    <row r="66" spans="1:35" s="5" customFormat="1" ht="45" customHeight="1">
      <c r="A66" s="135">
        <f t="shared" si="1"/>
        <v>62</v>
      </c>
      <c r="B66" s="135">
        <f>'תקציב החברה לפיתוח 2024'!B64</f>
        <v>2151</v>
      </c>
      <c r="C66" s="235" t="str">
        <f>'תקציב החברה לפיתוח 2024'!C64</f>
        <v>מתחם בזק</v>
      </c>
      <c r="D66" s="120">
        <f>'תקציב החברה לפיתוח 2024'!D64</f>
        <v>54000000</v>
      </c>
      <c r="E66" s="120">
        <f>'תקציב החברה לפיתוח 2024'!E64</f>
        <v>54000000</v>
      </c>
      <c r="F66" s="120">
        <f>'תקציב החברה לפיתוח 2024'!F64</f>
        <v>0</v>
      </c>
      <c r="G66" s="120">
        <f>'תקציב החברה לפיתוח 2024'!G64</f>
        <v>5000000</v>
      </c>
      <c r="H66" s="120">
        <f>'תקציב החברה לפיתוח 2024'!H64</f>
        <v>4443787</v>
      </c>
      <c r="I66" s="120">
        <f>'תקציב החברה לפיתוח 2024'!I64</f>
        <v>0</v>
      </c>
      <c r="J66" s="120">
        <f>'תקציב החברה לפיתוח 2024'!J64</f>
        <v>0</v>
      </c>
      <c r="K66" s="120">
        <f>'תקציב החברה לפיתוח 2024'!K64</f>
        <v>0</v>
      </c>
      <c r="L66" s="120">
        <f>'תקציב החברה לפיתוח 2024'!L64</f>
        <v>4443787</v>
      </c>
      <c r="M66" s="120">
        <f>'תקציב החברה לפיתוח 2024'!M64</f>
        <v>6213</v>
      </c>
      <c r="N66" s="120">
        <f>'תקציב החברה לפיתוח 2024'!N64</f>
        <v>6550000</v>
      </c>
      <c r="O66" s="120">
        <f>'תקציב החברה לפיתוח 2024'!O64</f>
        <v>43000000</v>
      </c>
      <c r="P66" s="120">
        <f>'תקציב החברה לפיתוח 2024'!P64</f>
        <v>556213</v>
      </c>
      <c r="Q66" s="120">
        <f>'תקציב החברה לפיתוח 2024'!Q64</f>
        <v>1000000</v>
      </c>
      <c r="R66" s="120">
        <f>'תקציב החברה לפיתוח 2024'!R64</f>
        <v>0</v>
      </c>
      <c r="S66" s="120">
        <f>'תקציב החברה לפיתוח 2024'!S64</f>
        <v>1000000</v>
      </c>
      <c r="T66" s="120">
        <f>'תקציב החברה לפיתוח 2024'!T64</f>
        <v>1550000</v>
      </c>
      <c r="U66" s="120">
        <f>'תקציב החברה לפיתוח 2024'!U64</f>
        <v>5000000</v>
      </c>
      <c r="V66" s="120">
        <f>'תקציב החברה לפיתוח 2024'!V64</f>
        <v>5000000</v>
      </c>
      <c r="W66" s="120">
        <f>'תקציב החברה לפיתוח 2024'!W64</f>
        <v>0</v>
      </c>
      <c r="X66" s="120">
        <f>'תקציב החברה לפיתוח 2024'!X64</f>
        <v>0</v>
      </c>
      <c r="Y66" s="120">
        <f>'תקציב החברה לפיתוח 2024'!Y64</f>
        <v>0</v>
      </c>
      <c r="Z66" s="120">
        <f>'תקציב החברה לפיתוח 2024'!Z64</f>
        <v>0</v>
      </c>
      <c r="AA66" s="120">
        <f>'תקציב החברה לפיתוח 2024'!AA64</f>
        <v>0</v>
      </c>
      <c r="AB66" s="235" t="str">
        <f>'תקציב החברה לפיתוח 2024'!AB64</f>
        <v>פיתוח מתחם "בזק" בו ייבנה בניין משרדים שבין היתר יאוכלס אגף הרווחה. כולל הריסת מבנה בזק.</v>
      </c>
      <c r="AC66" s="3">
        <v>742000</v>
      </c>
      <c r="AD66" s="134"/>
      <c r="AE66" s="134"/>
      <c r="AF66" s="134"/>
      <c r="AG66" s="134"/>
      <c r="AH66" s="134"/>
      <c r="AI66" s="134"/>
    </row>
    <row r="67" spans="1:35" s="5" customFormat="1" ht="45" customHeight="1">
      <c r="A67" s="135">
        <f t="shared" si="1"/>
        <v>63</v>
      </c>
      <c r="B67" s="135">
        <f>'תקציב החברה לפיתוח 2024'!B65</f>
        <v>2152</v>
      </c>
      <c r="C67" s="235" t="str">
        <f>'תקציב החברה לפיתוח 2024'!C65</f>
        <v>בית ספר בן צבי</v>
      </c>
      <c r="D67" s="120">
        <f>'תקציב החברה לפיתוח 2024'!D65</f>
        <v>16000000</v>
      </c>
      <c r="E67" s="120">
        <f>'תקציב החברה לפיתוח 2024'!E65</f>
        <v>16000000</v>
      </c>
      <c r="F67" s="120">
        <f>'תקציב החברה לפיתוח 2024'!F65</f>
        <v>0</v>
      </c>
      <c r="G67" s="120">
        <f>'תקציב החברה לפיתוח 2024'!G65</f>
        <v>1331810</v>
      </c>
      <c r="H67" s="120">
        <f>'תקציב החברה לפיתוח 2024'!H65</f>
        <v>1313273</v>
      </c>
      <c r="I67" s="120">
        <f>'תקציב החברה לפיתוח 2024'!I65</f>
        <v>0</v>
      </c>
      <c r="J67" s="120">
        <f>'תקציב החברה לפיתוח 2024'!J65</f>
        <v>0</v>
      </c>
      <c r="K67" s="120">
        <f>'תקציב החברה לפיתוח 2024'!K65</f>
        <v>0</v>
      </c>
      <c r="L67" s="120">
        <f>'תקציב החברה לפיתוח 2024'!L65</f>
        <v>1313273</v>
      </c>
      <c r="M67" s="120">
        <f>'תקציב החברה לפיתוח 2024'!M65</f>
        <v>18537</v>
      </c>
      <c r="N67" s="120">
        <f>'תקציב החברה לפיתוח 2024'!N65</f>
        <v>0</v>
      </c>
      <c r="O67" s="120">
        <f>'תקציב החברה לפיתוח 2024'!O65</f>
        <v>14668190</v>
      </c>
      <c r="P67" s="120">
        <f>'תקציב החברה לפיתוח 2024'!P65</f>
        <v>18537</v>
      </c>
      <c r="Q67" s="120">
        <f>'תקציב החברה לפיתוח 2024'!Q65</f>
        <v>0</v>
      </c>
      <c r="R67" s="120">
        <f>'תקציב החברה לפיתוח 2024'!R65</f>
        <v>0</v>
      </c>
      <c r="S67" s="120">
        <f>'תקציב החברה לפיתוח 2024'!S65</f>
        <v>0</v>
      </c>
      <c r="T67" s="120">
        <f>'תקציב החברה לפיתוח 2024'!T65</f>
        <v>0</v>
      </c>
      <c r="U67" s="120">
        <f>'תקציב החברה לפיתוח 2024'!U65</f>
        <v>0</v>
      </c>
      <c r="V67" s="120">
        <f>'תקציב החברה לפיתוח 2024'!V65</f>
        <v>0</v>
      </c>
      <c r="W67" s="120">
        <f>'תקציב החברה לפיתוח 2024'!W65</f>
        <v>0</v>
      </c>
      <c r="X67" s="120">
        <f>'תקציב החברה לפיתוח 2024'!X65</f>
        <v>0</v>
      </c>
      <c r="Y67" s="120">
        <f>'תקציב החברה לפיתוח 2024'!Y65</f>
        <v>0</v>
      </c>
      <c r="Z67" s="120">
        <f>'תקציב החברה לפיתוח 2024'!Z65</f>
        <v>0</v>
      </c>
      <c r="AA67" s="120">
        <f>'תקציב החברה לפיתוח 2024'!AA65</f>
        <v>0</v>
      </c>
      <c r="AB67" s="235" t="str">
        <f>'תקציב החברה לפיתוח 2024'!AB65</f>
        <v>הריסת מבני ספח והקמת מבנה חדש.תכנון ראשוני בי"ס בן צבי. תוספת 6 כיתות הרחבה ל - 24 כיתות.</v>
      </c>
      <c r="AC67" s="3">
        <v>810000</v>
      </c>
      <c r="AD67" s="134"/>
      <c r="AE67" s="134"/>
      <c r="AF67" s="134"/>
      <c r="AG67" s="134"/>
      <c r="AH67" s="134"/>
      <c r="AI67" s="134"/>
    </row>
    <row r="68" spans="1:35" s="5" customFormat="1" ht="45" customHeight="1">
      <c r="A68" s="135">
        <f t="shared" si="1"/>
        <v>64</v>
      </c>
      <c r="B68" s="135">
        <f>'תקציב החברה לפיתוח 2024'!B66</f>
        <v>2153</v>
      </c>
      <c r="C68" s="235" t="str">
        <f>'תקציב החברה לפיתוח 2024'!C66</f>
        <v>הקמת ארנה</v>
      </c>
      <c r="D68" s="120">
        <f>'תקציב החברה לפיתוח 2024'!D66</f>
        <v>225000000</v>
      </c>
      <c r="E68" s="120">
        <f>'תקציב החברה לפיתוח 2024'!E66</f>
        <v>225000000</v>
      </c>
      <c r="F68" s="120">
        <f>'תקציב החברה לפיתוח 2024'!F66</f>
        <v>0</v>
      </c>
      <c r="G68" s="120">
        <f>'תקציב החברה לפיתוח 2024'!G66</f>
        <v>1000000</v>
      </c>
      <c r="H68" s="120">
        <f>'תקציב החברה לפיתוח 2024'!H66</f>
        <v>1999954</v>
      </c>
      <c r="I68" s="120">
        <f>'תקציב החברה לפיתוח 2024'!I66</f>
        <v>0</v>
      </c>
      <c r="J68" s="120">
        <f>'תקציב החברה לפיתוח 2024'!J66</f>
        <v>45</v>
      </c>
      <c r="K68" s="120">
        <f>'תקציב החברה לפיתוח 2024'!K66</f>
        <v>45</v>
      </c>
      <c r="L68" s="120">
        <f>'תקציב החברה לפיתוח 2024'!L66</f>
        <v>1999999</v>
      </c>
      <c r="M68" s="120">
        <f>'תקציב החברה לפיתוח 2024'!M66</f>
        <v>1</v>
      </c>
      <c r="N68" s="120">
        <f>'תקציב החברה לפיתוח 2024'!N66</f>
        <v>1300000</v>
      </c>
      <c r="O68" s="120">
        <f>'תקציב החברה לפיתוח 2024'!O66</f>
        <v>221700000</v>
      </c>
      <c r="P68" s="120">
        <f>'תקציב החברה לפיתוח 2024'!P66</f>
        <v>-999999</v>
      </c>
      <c r="Q68" s="120">
        <f>'תקציב החברה לפיתוח 2024'!Q66</f>
        <v>1000000</v>
      </c>
      <c r="R68" s="120">
        <f>'תקציב החברה לפיתוח 2024'!R66</f>
        <v>0</v>
      </c>
      <c r="S68" s="120">
        <f>'תקציב החברה לפיתוח 2024'!S66</f>
        <v>1000000</v>
      </c>
      <c r="T68" s="120">
        <f>'תקציב החברה לפיתוח 2024'!T66</f>
        <v>0</v>
      </c>
      <c r="U68" s="120">
        <f>'תקציב החברה לפיתוח 2024'!U66</f>
        <v>1300000</v>
      </c>
      <c r="V68" s="120">
        <f>'תקציב החברה לפיתוח 2024'!V66</f>
        <v>1300000</v>
      </c>
      <c r="W68" s="120">
        <f>'תקציב החברה לפיתוח 2024'!W66</f>
        <v>0</v>
      </c>
      <c r="X68" s="120">
        <f>'תקציב החברה לפיתוח 2024'!X66</f>
        <v>0</v>
      </c>
      <c r="Y68" s="120">
        <f>'תקציב החברה לפיתוח 2024'!Y66</f>
        <v>0</v>
      </c>
      <c r="Z68" s="120">
        <f>'תקציב החברה לפיתוח 2024'!Z66</f>
        <v>0</v>
      </c>
      <c r="AA68" s="120">
        <f>'תקציב החברה לפיתוח 2024'!AA66</f>
        <v>0</v>
      </c>
      <c r="AB68" s="235" t="str">
        <f>'תקציב החברה לפיתוח 2024'!AB66</f>
        <v>המשך תכנון ראשוני הקמת ארנה באיזור האיצטדיון.</v>
      </c>
      <c r="AC68" s="3">
        <v>829000</v>
      </c>
      <c r="AD68" s="134"/>
      <c r="AE68" s="134"/>
      <c r="AF68" s="134"/>
      <c r="AG68" s="134"/>
      <c r="AH68" s="134"/>
      <c r="AI68" s="134"/>
    </row>
    <row r="69" spans="1:35" s="5" customFormat="1" ht="45" customHeight="1">
      <c r="A69" s="135">
        <f t="shared" si="1"/>
        <v>65</v>
      </c>
      <c r="B69" s="135">
        <f>'תקציב החברה לפיתוח 2024'!B67</f>
        <v>2164</v>
      </c>
      <c r="C69" s="235" t="str">
        <f>'תקציב החברה לפיתוח 2024'!C67</f>
        <v>שדרוג מתחם המשקל העירוני</v>
      </c>
      <c r="D69" s="120">
        <f>'תקציב החברה לפיתוח 2024'!D67</f>
        <v>300000</v>
      </c>
      <c r="E69" s="120">
        <f>'תקציב החברה לפיתוח 2024'!E67</f>
        <v>300000</v>
      </c>
      <c r="F69" s="120">
        <f>'תקציב החברה לפיתוח 2024'!F67</f>
        <v>0</v>
      </c>
      <c r="G69" s="120">
        <f>'תקציב החברה לפיתוח 2024'!G67</f>
        <v>300000</v>
      </c>
      <c r="H69" s="120">
        <f>'תקציב החברה לפיתוח 2024'!H67</f>
        <v>41092</v>
      </c>
      <c r="I69" s="120">
        <f>'תקציב החברה לפיתוח 2024'!I67</f>
        <v>0</v>
      </c>
      <c r="J69" s="120">
        <f>'תקציב החברה לפיתוח 2024'!J67</f>
        <v>4015</v>
      </c>
      <c r="K69" s="120">
        <f>'תקציב החברה לפיתוח 2024'!K67</f>
        <v>4015</v>
      </c>
      <c r="L69" s="120">
        <f>'תקציב החברה לפיתוח 2024'!L67</f>
        <v>45107</v>
      </c>
      <c r="M69" s="120">
        <f>'תקציב החברה לפיתוח 2024'!M67</f>
        <v>4893</v>
      </c>
      <c r="N69" s="120">
        <f>'תקציב החברה לפיתוח 2024'!N67</f>
        <v>50000</v>
      </c>
      <c r="O69" s="120">
        <f>'תקציב החברה לפיתוח 2024'!O67</f>
        <v>200000</v>
      </c>
      <c r="P69" s="120">
        <f>'תקציב החברה לפיתוח 2024'!P67</f>
        <v>254893</v>
      </c>
      <c r="Q69" s="120">
        <f>'תקציב החברה לפיתוח 2024'!Q67</f>
        <v>0</v>
      </c>
      <c r="R69" s="120">
        <f>'תקציב החברה לפיתוח 2024'!R67</f>
        <v>0</v>
      </c>
      <c r="S69" s="120">
        <f>'תקציב החברה לפיתוח 2024'!S67</f>
        <v>0</v>
      </c>
      <c r="T69" s="120">
        <f>'תקציב החברה לפיתוח 2024'!T67</f>
        <v>250000</v>
      </c>
      <c r="U69" s="120">
        <f>'תקציב החברה לפיתוח 2024'!U67</f>
        <v>-200000</v>
      </c>
      <c r="V69" s="120">
        <f>'תקציב החברה לפיתוח 2024'!V67</f>
        <v>0</v>
      </c>
      <c r="W69" s="120">
        <f>'תקציב החברה לפיתוח 2024'!W67</f>
        <v>-200000</v>
      </c>
      <c r="X69" s="120">
        <f>'תקציב החברה לפיתוח 2024'!X67</f>
        <v>0</v>
      </c>
      <c r="Y69" s="120">
        <f>'תקציב החברה לפיתוח 2024'!Y67</f>
        <v>0</v>
      </c>
      <c r="Z69" s="120">
        <f>'תקציב החברה לפיתוח 2024'!Z67</f>
        <v>0</v>
      </c>
      <c r="AA69" s="120">
        <f>'תקציב החברה לפיתוח 2024'!AA67</f>
        <v>0</v>
      </c>
      <c r="AB69" s="235" t="str">
        <f>'תקציב החברה לפיתוח 2024'!AB67</f>
        <v>עבודות במתחם המשקל העירוני להסדרת נושא הבטיחות.</v>
      </c>
      <c r="AC69" s="3"/>
      <c r="AD69" s="134"/>
      <c r="AE69" s="134"/>
      <c r="AF69" s="134"/>
      <c r="AG69" s="134"/>
      <c r="AH69" s="134"/>
      <c r="AI69" s="134"/>
    </row>
    <row r="70" spans="1:35" s="5" customFormat="1" ht="45" customHeight="1">
      <c r="A70" s="135">
        <f t="shared" si="1"/>
        <v>66</v>
      </c>
      <c r="B70" s="135" t="e">
        <f>'תקציב החברה לפיתוח 2024'!#REF!</f>
        <v>#REF!</v>
      </c>
      <c r="C70" s="235" t="e">
        <f>'תקציב החברה לפיתוח 2024'!#REF!</f>
        <v>#REF!</v>
      </c>
      <c r="D70" s="120" t="e">
        <f>'תקציב החברה לפיתוח 2024'!#REF!</f>
        <v>#REF!</v>
      </c>
      <c r="E70" s="120" t="e">
        <f>'תקציב החברה לפיתוח 2024'!#REF!</f>
        <v>#REF!</v>
      </c>
      <c r="F70" s="120" t="e">
        <f>'תקציב החברה לפיתוח 2024'!#REF!</f>
        <v>#REF!</v>
      </c>
      <c r="G70" s="120" t="e">
        <f>'תקציב החברה לפיתוח 2024'!#REF!</f>
        <v>#REF!</v>
      </c>
      <c r="H70" s="120" t="e">
        <f>'תקציב החברה לפיתוח 2024'!#REF!</f>
        <v>#REF!</v>
      </c>
      <c r="I70" s="120" t="e">
        <f>'תקציב החברה לפיתוח 2024'!#REF!</f>
        <v>#REF!</v>
      </c>
      <c r="J70" s="120" t="e">
        <f>'תקציב החברה לפיתוח 2024'!#REF!</f>
        <v>#REF!</v>
      </c>
      <c r="K70" s="120" t="e">
        <f>'תקציב החברה לפיתוח 2024'!#REF!</f>
        <v>#REF!</v>
      </c>
      <c r="L70" s="120" t="e">
        <f>'תקציב החברה לפיתוח 2024'!#REF!</f>
        <v>#REF!</v>
      </c>
      <c r="M70" s="120" t="e">
        <f>'תקציב החברה לפיתוח 2024'!#REF!</f>
        <v>#REF!</v>
      </c>
      <c r="N70" s="120" t="e">
        <f>'תקציב החברה לפיתוח 2024'!#REF!</f>
        <v>#REF!</v>
      </c>
      <c r="O70" s="120" t="e">
        <f>'תקציב החברה לפיתוח 2024'!#REF!</f>
        <v>#REF!</v>
      </c>
      <c r="P70" s="120" t="e">
        <f>'תקציב החברה לפיתוח 2024'!#REF!</f>
        <v>#REF!</v>
      </c>
      <c r="Q70" s="120" t="e">
        <f>'תקציב החברה לפיתוח 2024'!#REF!</f>
        <v>#REF!</v>
      </c>
      <c r="R70" s="120" t="e">
        <f>'תקציב החברה לפיתוח 2024'!#REF!</f>
        <v>#REF!</v>
      </c>
      <c r="S70" s="120" t="e">
        <f>'תקציב החברה לפיתוח 2024'!#REF!</f>
        <v>#REF!</v>
      </c>
      <c r="T70" s="120" t="e">
        <f>'תקציב החברה לפיתוח 2024'!#REF!</f>
        <v>#REF!</v>
      </c>
      <c r="U70" s="120" t="e">
        <f>'תקציב החברה לפיתוח 2024'!#REF!</f>
        <v>#REF!</v>
      </c>
      <c r="V70" s="120" t="e">
        <f>'תקציב החברה לפיתוח 2024'!#REF!</f>
        <v>#REF!</v>
      </c>
      <c r="W70" s="120" t="e">
        <f>'תקציב החברה לפיתוח 2024'!#REF!</f>
        <v>#REF!</v>
      </c>
      <c r="X70" s="120" t="e">
        <f>'תקציב החברה לפיתוח 2024'!#REF!</f>
        <v>#REF!</v>
      </c>
      <c r="Y70" s="120" t="e">
        <f>'תקציב החברה לפיתוח 2024'!#REF!</f>
        <v>#REF!</v>
      </c>
      <c r="Z70" s="120" t="e">
        <f>'תקציב החברה לפיתוח 2024'!#REF!</f>
        <v>#REF!</v>
      </c>
      <c r="AA70" s="120" t="e">
        <f>'תקציב החברה לפיתוח 2024'!#REF!</f>
        <v>#REF!</v>
      </c>
      <c r="AB70" s="235" t="e">
        <f>'תקציב החברה לפיתוח 2024'!#REF!</f>
        <v>#REF!</v>
      </c>
      <c r="AC70" s="3">
        <v>810000</v>
      </c>
      <c r="AD70" s="134"/>
      <c r="AE70" s="134"/>
      <c r="AF70" s="134"/>
      <c r="AG70" s="134"/>
      <c r="AH70" s="134"/>
      <c r="AI70" s="134"/>
    </row>
    <row r="71" spans="1:35" s="5" customFormat="1" ht="45" customHeight="1">
      <c r="A71" s="135">
        <f t="shared" ref="A71:A105" si="2">A70+1</f>
        <v>67</v>
      </c>
      <c r="B71" s="135">
        <f>'תקציב החברה לפיתוח 2024'!B68</f>
        <v>2175</v>
      </c>
      <c r="C71" s="235" t="str">
        <f>'תקציב החברה לפיתוח 2024'!C68</f>
        <v>גנ"י דוד השמעוני</v>
      </c>
      <c r="D71" s="120">
        <f>'תקציב החברה לפיתוח 2024'!D68</f>
        <v>21000000</v>
      </c>
      <c r="E71" s="120">
        <f>'תקציב החברה לפיתוח 2024'!E68</f>
        <v>21000000</v>
      </c>
      <c r="F71" s="120">
        <f>'תקציב החברה לפיתוח 2024'!F68</f>
        <v>0</v>
      </c>
      <c r="G71" s="120">
        <f>'תקציב החברה לפיתוח 2024'!G68</f>
        <v>17445297</v>
      </c>
      <c r="H71" s="120">
        <f>'תקציב החברה לפיתוח 2024'!H68</f>
        <v>17642170</v>
      </c>
      <c r="I71" s="120">
        <f>'תקציב החברה לפיתוח 2024'!I68</f>
        <v>0</v>
      </c>
      <c r="J71" s="120">
        <f>'תקציב החברה לפיתוח 2024'!J68</f>
        <v>0</v>
      </c>
      <c r="K71" s="120">
        <f>'תקציב החברה לפיתוח 2024'!K68</f>
        <v>0</v>
      </c>
      <c r="L71" s="120">
        <f>'תקציב החברה לפיתוח 2024'!L68</f>
        <v>17642170</v>
      </c>
      <c r="M71" s="120">
        <f>'תקציב החברה לפיתוח 2024'!M68</f>
        <v>3127</v>
      </c>
      <c r="N71" s="120">
        <f>'תקציב החברה לפיתוח 2024'!N68</f>
        <v>3354703</v>
      </c>
      <c r="O71" s="120">
        <f>'תקציב החברה לפיתוח 2024'!O68</f>
        <v>0</v>
      </c>
      <c r="P71" s="120">
        <f>'תקציב החברה לפיתוח 2024'!P68</f>
        <v>-196873</v>
      </c>
      <c r="Q71" s="120">
        <f>'תקציב החברה לפיתוח 2024'!Q68</f>
        <v>1500000</v>
      </c>
      <c r="R71" s="120">
        <f>'תקציב החברה לפיתוח 2024'!R68</f>
        <v>0</v>
      </c>
      <c r="S71" s="120">
        <f>'תקציב החברה לפיתוח 2024'!S68</f>
        <v>1500000</v>
      </c>
      <c r="T71" s="120">
        <f>'תקציב החברה לפיתוח 2024'!T68</f>
        <v>1300000</v>
      </c>
      <c r="U71" s="120">
        <f>'תקציב החברה לפיתוח 2024'!U68</f>
        <v>2054703</v>
      </c>
      <c r="V71" s="120">
        <f>'תקציב החברה לפיתוח 2024'!V68</f>
        <v>1488188</v>
      </c>
      <c r="W71" s="120">
        <f>'תקציב החברה לפיתוח 2024'!W68</f>
        <v>0</v>
      </c>
      <c r="X71" s="120">
        <f>'תקציב החברה לפיתוח 2024'!X68</f>
        <v>0</v>
      </c>
      <c r="Y71" s="120">
        <f>'תקציב החברה לפיתוח 2024'!Y68</f>
        <v>0</v>
      </c>
      <c r="Z71" s="120">
        <f>'תקציב החברה לפיתוח 2024'!Z68</f>
        <v>0</v>
      </c>
      <c r="AA71" s="120">
        <f>'תקציב החברה לפיתוח 2024'!AA68</f>
        <v>566515</v>
      </c>
      <c r="AB71" s="235" t="str">
        <f>'תקציב החברה לפיתוח 2024'!AB68</f>
        <v>תכנון וביצוע הקמת 5 כיתות גן במתחם השמעוני. מימון מ. החינוך. הצטיידות תב"ר 20044 בחינוך.</v>
      </c>
      <c r="AC71" s="3">
        <v>810000</v>
      </c>
      <c r="AD71" s="134"/>
      <c r="AE71" s="134"/>
      <c r="AF71" s="134"/>
      <c r="AG71" s="134"/>
      <c r="AH71" s="134"/>
      <c r="AI71" s="134"/>
    </row>
    <row r="72" spans="1:35" s="5" customFormat="1" ht="45" customHeight="1">
      <c r="A72" s="135">
        <f t="shared" si="2"/>
        <v>68</v>
      </c>
      <c r="B72" s="135">
        <f>'תקציב החברה לפיתוח 2024'!B69</f>
        <v>2180</v>
      </c>
      <c r="C72" s="235" t="str">
        <f>'תקציב החברה לפיתוח 2024'!C69</f>
        <v>ליווי פרויקטים פינוי בינוי</v>
      </c>
      <c r="D72" s="120">
        <f>'תקציב החברה לפיתוח 2024'!D69</f>
        <v>2600000</v>
      </c>
      <c r="E72" s="120">
        <f>'תקציב החברה לפיתוח 2024'!E69</f>
        <v>1000000</v>
      </c>
      <c r="F72" s="120">
        <f>'תקציב החברה לפיתוח 2024'!F69</f>
        <v>1600000</v>
      </c>
      <c r="G72" s="120">
        <f>'תקציב החברה לפיתוח 2024'!G69</f>
        <v>1000000</v>
      </c>
      <c r="H72" s="120">
        <f>'תקציב החברה לפיתוח 2024'!H69</f>
        <v>481929</v>
      </c>
      <c r="I72" s="120">
        <f>'תקציב החברה לפיתוח 2024'!I69</f>
        <v>0</v>
      </c>
      <c r="J72" s="120">
        <f>'תקציב החברה לפיתוח 2024'!J69</f>
        <v>0</v>
      </c>
      <c r="K72" s="120">
        <f>'תקציב החברה לפיתוח 2024'!K69</f>
        <v>0</v>
      </c>
      <c r="L72" s="120">
        <f>'תקציב החברה לפיתוח 2024'!L69</f>
        <v>481929</v>
      </c>
      <c r="M72" s="120">
        <f>'תקציב החברה לפיתוח 2024'!M69</f>
        <v>3071</v>
      </c>
      <c r="N72" s="120">
        <f>'תקציב החברה לפיתוח 2024'!N69</f>
        <v>515000</v>
      </c>
      <c r="O72" s="120">
        <f>'תקציב החברה לפיתוח 2024'!O69</f>
        <v>1600000</v>
      </c>
      <c r="P72" s="120">
        <f>'תקציב החברה לפיתוח 2024'!P69</f>
        <v>518071</v>
      </c>
      <c r="Q72" s="120">
        <f>'תקציב החברה לפיתוח 2024'!Q69</f>
        <v>0</v>
      </c>
      <c r="R72" s="120">
        <f>'תקציב החברה לפיתוח 2024'!R69</f>
        <v>0</v>
      </c>
      <c r="S72" s="120">
        <f>'תקציב החברה לפיתוח 2024'!S69</f>
        <v>0</v>
      </c>
      <c r="T72" s="120">
        <f>'תקציב החברה לפיתוח 2024'!T69</f>
        <v>515000</v>
      </c>
      <c r="U72" s="120">
        <f>'תקציב החברה לפיתוח 2024'!U69</f>
        <v>0</v>
      </c>
      <c r="V72" s="120">
        <f>'תקציב החברה לפיתוח 2024'!V69</f>
        <v>0</v>
      </c>
      <c r="W72" s="120">
        <f>'תקציב החברה לפיתוח 2024'!W69</f>
        <v>0</v>
      </c>
      <c r="X72" s="120">
        <f>'תקציב החברה לפיתוח 2024'!X69</f>
        <v>0</v>
      </c>
      <c r="Y72" s="120">
        <f>'תקציב החברה לפיתוח 2024'!Y69</f>
        <v>0</v>
      </c>
      <c r="Z72" s="120">
        <f>'תקציב החברה לפיתוח 2024'!Z69</f>
        <v>0</v>
      </c>
      <c r="AA72" s="120">
        <f>'תקציב החברה לפיתוח 2024'!AA69</f>
        <v>0</v>
      </c>
      <c r="AB72" s="235" t="str">
        <f>'תקציב החברה לפיתוח 2024'!AB69</f>
        <v>ליווי פרויקטים של פינוי בינוי הכולל הכנת אומדנים ומפרטים ופיקוח על היתרים וביצוע בפועל.</v>
      </c>
      <c r="AC72" s="3">
        <v>732000</v>
      </c>
      <c r="AD72" s="134"/>
      <c r="AE72" s="134"/>
      <c r="AF72" s="134"/>
      <c r="AG72" s="134"/>
      <c r="AH72" s="134"/>
      <c r="AI72" s="134"/>
    </row>
    <row r="73" spans="1:35" s="5" customFormat="1" ht="45" customHeight="1">
      <c r="A73" s="135">
        <f t="shared" si="2"/>
        <v>69</v>
      </c>
      <c r="B73" s="135">
        <f>'תקציב החברה לפיתוח 2024'!B70</f>
        <v>2182</v>
      </c>
      <c r="C73" s="235" t="str">
        <f>'תקציב החברה לפיתוח 2024'!C70</f>
        <v>תכנון שב"צ דן שומרון בי"ס על יסודי</v>
      </c>
      <c r="D73" s="120">
        <f>'תקציב החברה לפיתוח 2024'!D70</f>
        <v>3900000</v>
      </c>
      <c r="E73" s="120">
        <f>'תקציב החברה לפיתוח 2024'!E70</f>
        <v>3900000</v>
      </c>
      <c r="F73" s="120">
        <f>'תקציב החברה לפיתוח 2024'!F70</f>
        <v>0</v>
      </c>
      <c r="G73" s="120">
        <f>'תקציב החברה לפיתוח 2024'!G70</f>
        <v>2000000</v>
      </c>
      <c r="H73" s="120">
        <f>'תקציב החברה לפיתוח 2024'!H70</f>
        <v>1513466</v>
      </c>
      <c r="I73" s="120">
        <f>'תקציב החברה לפיתוח 2024'!I70</f>
        <v>0</v>
      </c>
      <c r="J73" s="120">
        <f>'תקציב החברה לפיתוח 2024'!J70</f>
        <v>0</v>
      </c>
      <c r="K73" s="120">
        <f>'תקציב החברה לפיתוח 2024'!K70</f>
        <v>0</v>
      </c>
      <c r="L73" s="120">
        <f>'תקציב החברה לפיתוח 2024'!L70</f>
        <v>1513466</v>
      </c>
      <c r="M73" s="120">
        <f>'תקציב החברה לפיתוח 2024'!M70</f>
        <v>6534</v>
      </c>
      <c r="N73" s="120">
        <f>'תקציב החברה לפיתוח 2024'!N70</f>
        <v>1030000</v>
      </c>
      <c r="O73" s="120">
        <f>'תקציב החברה לפיתוח 2024'!O70</f>
        <v>1350000</v>
      </c>
      <c r="P73" s="120">
        <f>'תקציב החברה לפיתוח 2024'!P70</f>
        <v>486534</v>
      </c>
      <c r="Q73" s="120">
        <f>'תקציב החברה לפיתוח 2024'!Q70</f>
        <v>350000</v>
      </c>
      <c r="R73" s="120">
        <f>'תקציב החברה לפיתוח 2024'!R70</f>
        <v>0</v>
      </c>
      <c r="S73" s="120">
        <f>'תקציב החברה לפיתוח 2024'!S70</f>
        <v>350000</v>
      </c>
      <c r="T73" s="120">
        <f>'תקציב החברה לפיתוח 2024'!T70</f>
        <v>830000</v>
      </c>
      <c r="U73" s="120">
        <f>'תקציב החברה לפיתוח 2024'!U70</f>
        <v>200000</v>
      </c>
      <c r="V73" s="120">
        <f>'תקציב החברה לפיתוח 2024'!V70</f>
        <v>200000</v>
      </c>
      <c r="W73" s="120">
        <f>'תקציב החברה לפיתוח 2024'!W70</f>
        <v>0</v>
      </c>
      <c r="X73" s="120">
        <f>'תקציב החברה לפיתוח 2024'!X70</f>
        <v>0</v>
      </c>
      <c r="Y73" s="120">
        <f>'תקציב החברה לפיתוח 2024'!Y70</f>
        <v>0</v>
      </c>
      <c r="Z73" s="120">
        <f>'תקציב החברה לפיתוח 2024'!Z70</f>
        <v>0</v>
      </c>
      <c r="AA73" s="120">
        <f>'תקציב החברה לפיתוח 2024'!AA70</f>
        <v>0</v>
      </c>
      <c r="AB73" s="235" t="str">
        <f>'תקציב החברה לפיתוח 2024'!AB70</f>
        <v>הקמת תיכון 30 כיתות בשב"צ דן שומרון גוש 656 חל' 991. תכנון.</v>
      </c>
      <c r="AC73" s="3">
        <v>810000</v>
      </c>
      <c r="AD73" s="134"/>
      <c r="AE73" s="134"/>
      <c r="AF73" s="134"/>
      <c r="AG73" s="134"/>
      <c r="AH73" s="134"/>
      <c r="AI73" s="134"/>
    </row>
    <row r="74" spans="1:35" customFormat="1" ht="45" customHeight="1">
      <c r="A74" s="135">
        <f t="shared" si="2"/>
        <v>70</v>
      </c>
      <c r="B74" s="135" t="e">
        <f>'תקציב החברה לפיתוח 2024'!#REF!</f>
        <v>#REF!</v>
      </c>
      <c r="C74" s="235" t="e">
        <f>'תקציב החברה לפיתוח 2024'!#REF!</f>
        <v>#REF!</v>
      </c>
      <c r="D74" s="120" t="e">
        <f>'תקציב החברה לפיתוח 2024'!#REF!</f>
        <v>#REF!</v>
      </c>
      <c r="E74" s="120" t="e">
        <f>'תקציב החברה לפיתוח 2024'!#REF!</f>
        <v>#REF!</v>
      </c>
      <c r="F74" s="120" t="e">
        <f>'תקציב החברה לפיתוח 2024'!#REF!</f>
        <v>#REF!</v>
      </c>
      <c r="G74" s="120" t="e">
        <f>'תקציב החברה לפיתוח 2024'!#REF!</f>
        <v>#REF!</v>
      </c>
      <c r="H74" s="120" t="e">
        <f>'תקציב החברה לפיתוח 2024'!#REF!</f>
        <v>#REF!</v>
      </c>
      <c r="I74" s="120" t="e">
        <f>'תקציב החברה לפיתוח 2024'!#REF!</f>
        <v>#REF!</v>
      </c>
      <c r="J74" s="120" t="e">
        <f>'תקציב החברה לפיתוח 2024'!#REF!</f>
        <v>#REF!</v>
      </c>
      <c r="K74" s="120" t="e">
        <f>'תקציב החברה לפיתוח 2024'!#REF!</f>
        <v>#REF!</v>
      </c>
      <c r="L74" s="120" t="e">
        <f>'תקציב החברה לפיתוח 2024'!#REF!</f>
        <v>#REF!</v>
      </c>
      <c r="M74" s="120" t="e">
        <f>'תקציב החברה לפיתוח 2024'!#REF!</f>
        <v>#REF!</v>
      </c>
      <c r="N74" s="120" t="e">
        <f>'תקציב החברה לפיתוח 2024'!#REF!</f>
        <v>#REF!</v>
      </c>
      <c r="O74" s="120" t="e">
        <f>'תקציב החברה לפיתוח 2024'!#REF!</f>
        <v>#REF!</v>
      </c>
      <c r="P74" s="120" t="e">
        <f>'תקציב החברה לפיתוח 2024'!#REF!</f>
        <v>#REF!</v>
      </c>
      <c r="Q74" s="120" t="e">
        <f>'תקציב החברה לפיתוח 2024'!#REF!</f>
        <v>#REF!</v>
      </c>
      <c r="R74" s="120" t="e">
        <f>'תקציב החברה לפיתוח 2024'!#REF!</f>
        <v>#REF!</v>
      </c>
      <c r="S74" s="120" t="e">
        <f>'תקציב החברה לפיתוח 2024'!#REF!</f>
        <v>#REF!</v>
      </c>
      <c r="T74" s="120" t="e">
        <f>'תקציב החברה לפיתוח 2024'!#REF!</f>
        <v>#REF!</v>
      </c>
      <c r="U74" s="120" t="e">
        <f>'תקציב החברה לפיתוח 2024'!#REF!</f>
        <v>#REF!</v>
      </c>
      <c r="V74" s="120" t="e">
        <f>'תקציב החברה לפיתוח 2024'!#REF!</f>
        <v>#REF!</v>
      </c>
      <c r="W74" s="120" t="e">
        <f>'תקציב החברה לפיתוח 2024'!#REF!</f>
        <v>#REF!</v>
      </c>
      <c r="X74" s="120" t="e">
        <f>'תקציב החברה לפיתוח 2024'!#REF!</f>
        <v>#REF!</v>
      </c>
      <c r="Y74" s="120" t="e">
        <f>'תקציב החברה לפיתוח 2024'!#REF!</f>
        <v>#REF!</v>
      </c>
      <c r="Z74" s="120" t="e">
        <f>'תקציב החברה לפיתוח 2024'!#REF!</f>
        <v>#REF!</v>
      </c>
      <c r="AA74" s="120" t="e">
        <f>'תקציב החברה לפיתוח 2024'!#REF!</f>
        <v>#REF!</v>
      </c>
      <c r="AB74" s="235" t="e">
        <f>'תקציב החברה לפיתוח 2024'!#REF!</f>
        <v>#REF!</v>
      </c>
      <c r="AC74" s="3">
        <v>930000</v>
      </c>
      <c r="AD74" s="134"/>
      <c r="AE74" s="134"/>
      <c r="AF74" s="134"/>
      <c r="AG74" s="134"/>
    </row>
    <row r="75" spans="1:35" s="5" customFormat="1" ht="45" customHeight="1">
      <c r="A75" s="135">
        <f t="shared" si="2"/>
        <v>71</v>
      </c>
      <c r="B75" s="135">
        <f>'תקציב החברה לפיתוח 2024'!B71</f>
        <v>2185</v>
      </c>
      <c r="C75" s="235" t="str">
        <f>'תקציב החברה לפיתוח 2024'!C71</f>
        <v>תוספת 6 כיתות לימוד בי"ס שז"ר</v>
      </c>
      <c r="D75" s="120">
        <f>'תקציב החברה לפיתוח 2024'!D71</f>
        <v>40000000</v>
      </c>
      <c r="E75" s="120">
        <f>'תקציב החברה לפיתוח 2024'!E71</f>
        <v>40000000</v>
      </c>
      <c r="F75" s="120">
        <f>'תקציב החברה לפיתוח 2024'!F71</f>
        <v>0</v>
      </c>
      <c r="G75" s="120">
        <f>'תקציב החברה לפיתוח 2024'!G71</f>
        <v>5387282</v>
      </c>
      <c r="H75" s="120">
        <f>'תקציב החברה לפיתוח 2024'!H71</f>
        <v>3549893</v>
      </c>
      <c r="I75" s="120">
        <f>'תקציב החברה לפיתוח 2024'!I71</f>
        <v>0</v>
      </c>
      <c r="J75" s="120">
        <f>'תקציב החברה לפיתוח 2024'!J71</f>
        <v>0</v>
      </c>
      <c r="K75" s="120">
        <f>'תקציב החברה לפיתוח 2024'!K71</f>
        <v>0</v>
      </c>
      <c r="L75" s="120">
        <f>'תקציב החברה לפיתוח 2024'!L71</f>
        <v>3549893</v>
      </c>
      <c r="M75" s="120">
        <f>'תקציב החברה לפיתוח 2024'!M71</f>
        <v>7389</v>
      </c>
      <c r="N75" s="120">
        <f>'תקציב החברה לפיתוח 2024'!N71</f>
        <v>5844093</v>
      </c>
      <c r="O75" s="120">
        <f>'תקציב החברה לפיתוח 2024'!O71</f>
        <v>30598625</v>
      </c>
      <c r="P75" s="120">
        <f>'תקציב החברה לפיתוח 2024'!P71</f>
        <v>1837389</v>
      </c>
      <c r="Q75" s="120">
        <f>'תקציב החברה לפיתוח 2024'!Q71</f>
        <v>0</v>
      </c>
      <c r="R75" s="120">
        <f>'תקציב החברה לפיתוח 2024'!R71</f>
        <v>0</v>
      </c>
      <c r="S75" s="120">
        <f>'תקציב החברה לפיתוח 2024'!S71</f>
        <v>0</v>
      </c>
      <c r="T75" s="120">
        <f>'תקציב החברה לפיתוח 2024'!T71</f>
        <v>1830000</v>
      </c>
      <c r="U75" s="120">
        <f>'תקציב החברה לפיתוח 2024'!U71</f>
        <v>4014093</v>
      </c>
      <c r="V75" s="120">
        <f>'תקציב החברה לפיתוח 2024'!V71</f>
        <v>4014093</v>
      </c>
      <c r="W75" s="120">
        <f>'תקציב החברה לפיתוח 2024'!W71</f>
        <v>0</v>
      </c>
      <c r="X75" s="120">
        <f>'תקציב החברה לפיתוח 2024'!X71</f>
        <v>0</v>
      </c>
      <c r="Y75" s="120">
        <f>'תקציב החברה לפיתוח 2024'!Y71</f>
        <v>0</v>
      </c>
      <c r="Z75" s="120">
        <f>'תקציב החברה לפיתוח 2024'!Z71</f>
        <v>0</v>
      </c>
      <c r="AA75" s="120">
        <f>'תקציב החברה לפיתוח 2024'!AA71</f>
        <v>0</v>
      </c>
      <c r="AB75" s="235" t="str">
        <f>'תקציב החברה לפיתוח 2024'!AB71</f>
        <v>אולם ספורט ותוספת 6 כיתות בי"ס שז"ר. מימון מ. החינוך.</v>
      </c>
      <c r="AC75" s="3">
        <v>810000</v>
      </c>
      <c r="AD75" s="134"/>
      <c r="AE75" s="134"/>
      <c r="AF75" s="134"/>
      <c r="AG75" s="134"/>
      <c r="AH75" s="134"/>
      <c r="AI75" s="134"/>
    </row>
    <row r="76" spans="1:35" s="5" customFormat="1" ht="45" customHeight="1">
      <c r="A76" s="135">
        <f t="shared" si="2"/>
        <v>72</v>
      </c>
      <c r="B76" s="135">
        <f>'תקציב החברה לפיתוח 2024'!B72</f>
        <v>2191</v>
      </c>
      <c r="C76" s="235" t="str">
        <f>'תקציב החברה לפיתוח 2024'!C72</f>
        <v>עבודות ניקוז רחוב סוקולוב</v>
      </c>
      <c r="D76" s="120">
        <f>'תקציב החברה לפיתוח 2024'!D72</f>
        <v>14000000</v>
      </c>
      <c r="E76" s="120">
        <f>'תקציב החברה לפיתוח 2024'!E72</f>
        <v>14000000</v>
      </c>
      <c r="F76" s="120">
        <f>'תקציב החברה לפיתוח 2024'!F72</f>
        <v>0</v>
      </c>
      <c r="G76" s="120">
        <f>'תקציב החברה לפיתוח 2024'!G72</f>
        <v>700000</v>
      </c>
      <c r="H76" s="120">
        <f>'תקציב החברה לפיתוח 2024'!H72</f>
        <v>482960</v>
      </c>
      <c r="I76" s="120">
        <f>'תקציב החברה לפיתוח 2024'!I72</f>
        <v>0</v>
      </c>
      <c r="J76" s="120">
        <f>'תקציב החברה לפיתוח 2024'!J72</f>
        <v>0</v>
      </c>
      <c r="K76" s="120">
        <f>'תקציב החברה לפיתוח 2024'!K72</f>
        <v>0</v>
      </c>
      <c r="L76" s="120">
        <f>'תקציב החברה לפיתוח 2024'!L72</f>
        <v>482960</v>
      </c>
      <c r="M76" s="120">
        <f>'תקציב החברה לפיתוח 2024'!M72</f>
        <v>7040</v>
      </c>
      <c r="N76" s="120">
        <f>'תקציב החברה לפיתוח 2024'!N72</f>
        <v>210000</v>
      </c>
      <c r="O76" s="120">
        <f>'תקציב החברה לפיתוח 2024'!O72</f>
        <v>13300000</v>
      </c>
      <c r="P76" s="120">
        <f>'תקציב החברה לפיתוח 2024'!P72</f>
        <v>217040</v>
      </c>
      <c r="Q76" s="120">
        <f>'תקציב החברה לפיתוח 2024'!Q72</f>
        <v>0</v>
      </c>
      <c r="R76" s="120">
        <f>'תקציב החברה לפיתוח 2024'!R72</f>
        <v>0</v>
      </c>
      <c r="S76" s="120">
        <f>'תקציב החברה לפיתוח 2024'!S72</f>
        <v>0</v>
      </c>
      <c r="T76" s="120">
        <f>'תקציב החברה לפיתוח 2024'!T72</f>
        <v>210000</v>
      </c>
      <c r="U76" s="120">
        <f>'תקציב החברה לפיתוח 2024'!U72</f>
        <v>0</v>
      </c>
      <c r="V76" s="120">
        <f>'תקציב החברה לפיתוח 2024'!V72</f>
        <v>0</v>
      </c>
      <c r="W76" s="120">
        <f>'תקציב החברה לפיתוח 2024'!W72</f>
        <v>0</v>
      </c>
      <c r="X76" s="120">
        <f>'תקציב החברה לפיתוח 2024'!X72</f>
        <v>0</v>
      </c>
      <c r="Y76" s="120">
        <f>'תקציב החברה לפיתוח 2024'!Y72</f>
        <v>0</v>
      </c>
      <c r="Z76" s="120">
        <f>'תקציב החברה לפיתוח 2024'!Z72</f>
        <v>0</v>
      </c>
      <c r="AA76" s="120">
        <f>'תקציב החברה לפיתוח 2024'!AA72</f>
        <v>0</v>
      </c>
      <c r="AB76" s="235" t="str">
        <f>'תקציב החברה לפיתוח 2024'!AB72</f>
        <v>תכנון וביצוע ניקוז ברחוב סוקולוב בשיתוף עם תאגיד המים. במסגרת תוכ. אב לניקוז.</v>
      </c>
      <c r="AC76" s="3">
        <v>742000</v>
      </c>
      <c r="AD76" s="134"/>
      <c r="AE76" s="134"/>
      <c r="AF76" s="134"/>
      <c r="AG76" s="134"/>
      <c r="AH76" s="134"/>
      <c r="AI76" s="134"/>
    </row>
    <row r="77" spans="1:35" s="5" customFormat="1" ht="45" customHeight="1">
      <c r="A77" s="135">
        <f t="shared" si="2"/>
        <v>73</v>
      </c>
      <c r="B77" s="135">
        <f>'תקציב החברה לפיתוח 2024'!B73</f>
        <v>2194</v>
      </c>
      <c r="C77" s="235" t="str">
        <f>'תקציב החברה לפיתוח 2024'!C73</f>
        <v xml:space="preserve">עבודות ניקוז  רחוב רבינו תם </v>
      </c>
      <c r="D77" s="120">
        <f>'תקציב החברה לפיתוח 2024'!D73</f>
        <v>700000</v>
      </c>
      <c r="E77" s="120">
        <f>'תקציב החברה לפיתוח 2024'!E73</f>
        <v>700000</v>
      </c>
      <c r="F77" s="120">
        <f>'תקציב החברה לפיתוח 2024'!F73</f>
        <v>0</v>
      </c>
      <c r="G77" s="120">
        <f>'תקציב החברה לפיתוח 2024'!G73</f>
        <v>100000</v>
      </c>
      <c r="H77" s="120">
        <f>'תקציב החברה לפיתוח 2024'!H73</f>
        <v>0</v>
      </c>
      <c r="I77" s="120">
        <f>'תקציב החברה לפיתוח 2024'!I73</f>
        <v>0</v>
      </c>
      <c r="J77" s="120">
        <f>'תקציב החברה לפיתוח 2024'!J73</f>
        <v>0</v>
      </c>
      <c r="K77" s="120">
        <f>'תקציב החברה לפיתוח 2024'!K73</f>
        <v>0</v>
      </c>
      <c r="L77" s="120">
        <f>'תקציב החברה לפיתוח 2024'!L73</f>
        <v>0</v>
      </c>
      <c r="M77" s="120">
        <f>'תקציב החברה לפיתוח 2024'!M73</f>
        <v>0</v>
      </c>
      <c r="N77" s="120">
        <f>'תקציב החברה לפיתוח 2024'!N73</f>
        <v>0</v>
      </c>
      <c r="O77" s="120">
        <f>'תקציב החברה לפיתוח 2024'!O73</f>
        <v>700000</v>
      </c>
      <c r="P77" s="120">
        <f>'תקציב החברה לפיתוח 2024'!P73</f>
        <v>100000</v>
      </c>
      <c r="Q77" s="120">
        <f>'תקציב החברה לפיתוח 2024'!Q73</f>
        <v>0</v>
      </c>
      <c r="R77" s="120">
        <f>'תקציב החברה לפיתוח 2024'!R73</f>
        <v>0</v>
      </c>
      <c r="S77" s="120">
        <f>'תקציב החברה לפיתוח 2024'!S73</f>
        <v>0</v>
      </c>
      <c r="T77" s="120">
        <f>'תקציב החברה לפיתוח 2024'!T73</f>
        <v>100000</v>
      </c>
      <c r="U77" s="120">
        <f>'תקציב החברה לפיתוח 2024'!U73</f>
        <v>-100000</v>
      </c>
      <c r="V77" s="120">
        <f>'תקציב החברה לפיתוח 2024'!V73</f>
        <v>-100000</v>
      </c>
      <c r="W77" s="120">
        <f>'תקציב החברה לפיתוח 2024'!W73</f>
        <v>0</v>
      </c>
      <c r="X77" s="120">
        <f>'תקציב החברה לפיתוח 2024'!X73</f>
        <v>0</v>
      </c>
      <c r="Y77" s="120">
        <f>'תקציב החברה לפיתוח 2024'!Y73</f>
        <v>0</v>
      </c>
      <c r="Z77" s="120">
        <f>'תקציב החברה לפיתוח 2024'!Z73</f>
        <v>0</v>
      </c>
      <c r="AA77" s="120">
        <f>'תקציב החברה לפיתוח 2024'!AA73</f>
        <v>0</v>
      </c>
      <c r="AB77" s="235" t="str">
        <f>'תקציב החברה לפיתוח 2024'!AB73</f>
        <v>תכנון וביצוע ניקוז ברחוב רבנו תם בשיתוף עם תאגיד המים. במסגרת תוכ. אב לניקוז.</v>
      </c>
      <c r="AC77" s="3">
        <v>742000</v>
      </c>
      <c r="AD77" s="134"/>
      <c r="AE77" s="134"/>
      <c r="AF77" s="134"/>
      <c r="AG77" s="134"/>
      <c r="AH77" s="134"/>
      <c r="AI77" s="134"/>
    </row>
    <row r="78" spans="1:35" s="5" customFormat="1" ht="45" customHeight="1">
      <c r="A78" s="135">
        <f t="shared" si="2"/>
        <v>74</v>
      </c>
      <c r="B78" s="135">
        <f>'תקציב החברה לפיתוח 2024'!B75</f>
        <v>2196</v>
      </c>
      <c r="C78" s="235" t="str">
        <f>'תקציב החברה לפיתוח 2024'!C75</f>
        <v xml:space="preserve">עבודות ניקוז   רחוב הרב גורן </v>
      </c>
      <c r="D78" s="120">
        <f>'תקציב החברה לפיתוח 2024'!D75</f>
        <v>21135000</v>
      </c>
      <c r="E78" s="120">
        <f>'תקציב החברה לפיתוח 2024'!E75</f>
        <v>21135000</v>
      </c>
      <c r="F78" s="120">
        <f>'תקציב החברה לפיתוח 2024'!F75</f>
        <v>0</v>
      </c>
      <c r="G78" s="120">
        <f>'תקציב החברה לפיתוח 2024'!G75</f>
        <v>1000000</v>
      </c>
      <c r="H78" s="120">
        <f>'תקציב החברה לפיתוח 2024'!H75</f>
        <v>982316</v>
      </c>
      <c r="I78" s="120">
        <f>'תקציב החברה לפיתוח 2024'!I75</f>
        <v>0</v>
      </c>
      <c r="J78" s="120">
        <f>'תקציב החברה לפיתוח 2024'!J75</f>
        <v>0</v>
      </c>
      <c r="K78" s="120">
        <f>'תקציב החברה לפיתוח 2024'!K75</f>
        <v>0</v>
      </c>
      <c r="L78" s="120">
        <f>'תקציב החברה לפיתוח 2024'!L75</f>
        <v>982316</v>
      </c>
      <c r="M78" s="120">
        <f>'תקציב החברה לפיתוח 2024'!M75</f>
        <v>7684</v>
      </c>
      <c r="N78" s="120">
        <f>'תקציב החברה לפיתוח 2024'!N75</f>
        <v>510000</v>
      </c>
      <c r="O78" s="120">
        <f>'תקציב החברה לפיתוח 2024'!O75</f>
        <v>19635000</v>
      </c>
      <c r="P78" s="120">
        <f>'תקציב החברה לפיתוח 2024'!P75</f>
        <v>17684</v>
      </c>
      <c r="Q78" s="120">
        <f>'תקציב החברה לפיתוח 2024'!Q75</f>
        <v>500000</v>
      </c>
      <c r="R78" s="120">
        <f>'תקציב החברה לפיתוח 2024'!R75</f>
        <v>0</v>
      </c>
      <c r="S78" s="120">
        <f>'תקציב החברה לפיתוח 2024'!S75</f>
        <v>500000</v>
      </c>
      <c r="T78" s="120">
        <f>'תקציב החברה לפיתוח 2024'!T75</f>
        <v>510000</v>
      </c>
      <c r="U78" s="120">
        <f>'תקציב החברה לפיתוח 2024'!U75</f>
        <v>0</v>
      </c>
      <c r="V78" s="120">
        <f>'תקציב החברה לפיתוח 2024'!V75</f>
        <v>0</v>
      </c>
      <c r="W78" s="120">
        <f>'תקציב החברה לפיתוח 2024'!W75</f>
        <v>0</v>
      </c>
      <c r="X78" s="120">
        <f>'תקציב החברה לפיתוח 2024'!X75</f>
        <v>0</v>
      </c>
      <c r="Y78" s="120">
        <f>'תקציב החברה לפיתוח 2024'!Y75</f>
        <v>0</v>
      </c>
      <c r="Z78" s="120">
        <f>'תקציב החברה לפיתוח 2024'!Z75</f>
        <v>0</v>
      </c>
      <c r="AA78" s="120">
        <f>'תקציב החברה לפיתוח 2024'!AA75</f>
        <v>0</v>
      </c>
      <c r="AB78" s="235" t="str">
        <f>'תקציב החברה לפיתוח 2024'!AB75</f>
        <v>תכנון וביצוע ניקוז ברחוב הרב גורן בשיתוף עם תאגיד המים. במסגרת תוכ. אב לניקוז.</v>
      </c>
      <c r="AC78" s="3">
        <v>742000</v>
      </c>
      <c r="AD78" s="134"/>
      <c r="AE78" s="134"/>
      <c r="AF78" s="134"/>
      <c r="AG78" s="134"/>
      <c r="AH78" s="134"/>
      <c r="AI78" s="134"/>
    </row>
    <row r="79" spans="1:35" s="5" customFormat="1" ht="45" customHeight="1">
      <c r="A79" s="135">
        <f t="shared" si="2"/>
        <v>75</v>
      </c>
      <c r="B79" s="135">
        <f>'תקציב החברה לפיתוח 2024'!B76</f>
        <v>2197</v>
      </c>
      <c r="C79" s="235" t="str">
        <f>'תקציב החברה לפיתוח 2024'!C76</f>
        <v xml:space="preserve">עבודות ניקוז   רחוב רוחמה ושבטי ישראל </v>
      </c>
      <c r="D79" s="120">
        <f>'תקציב החברה לפיתוח 2024'!D76</f>
        <v>15160000</v>
      </c>
      <c r="E79" s="120">
        <f>'תקציב החברה לפיתוח 2024'!E76</f>
        <v>15160000</v>
      </c>
      <c r="F79" s="120">
        <f>'תקציב החברה לפיתוח 2024'!F76</f>
        <v>0</v>
      </c>
      <c r="G79" s="120">
        <f>'תקציב החברה לפיתוח 2024'!G76</f>
        <v>700000</v>
      </c>
      <c r="H79" s="120">
        <f>'תקציב החברה לפיתוח 2024'!H76</f>
        <v>697954</v>
      </c>
      <c r="I79" s="120">
        <f>'תקציב החברה לפיתוח 2024'!I76</f>
        <v>0</v>
      </c>
      <c r="J79" s="120">
        <f>'תקציב החברה לפיתוח 2024'!J76</f>
        <v>0</v>
      </c>
      <c r="K79" s="120">
        <f>'תקציב החברה לפיתוח 2024'!K76</f>
        <v>0</v>
      </c>
      <c r="L79" s="120">
        <f>'תקציב החברה לפיתוח 2024'!L76</f>
        <v>697954</v>
      </c>
      <c r="M79" s="120">
        <f>'תקציב החברה לפיתוח 2024'!M76</f>
        <v>2046</v>
      </c>
      <c r="N79" s="120">
        <f>'תקציב החברה לפיתוח 2024'!N76</f>
        <v>0</v>
      </c>
      <c r="O79" s="120">
        <f>'תקציב החברה לפיתוח 2024'!O76</f>
        <v>14460000</v>
      </c>
      <c r="P79" s="120">
        <f>'תקציב החברה לפיתוח 2024'!P76</f>
        <v>2046</v>
      </c>
      <c r="Q79" s="120">
        <f>'תקציב החברה לפיתוח 2024'!Q76</f>
        <v>0</v>
      </c>
      <c r="R79" s="120">
        <f>'תקציב החברה לפיתוח 2024'!R76</f>
        <v>0</v>
      </c>
      <c r="S79" s="120">
        <f>'תקציב החברה לפיתוח 2024'!S76</f>
        <v>0</v>
      </c>
      <c r="T79" s="120">
        <f>'תקציב החברה לפיתוח 2024'!T76</f>
        <v>0</v>
      </c>
      <c r="U79" s="120">
        <f>'תקציב החברה לפיתוח 2024'!U76</f>
        <v>0</v>
      </c>
      <c r="V79" s="120">
        <f>'תקציב החברה לפיתוח 2024'!V76</f>
        <v>0</v>
      </c>
      <c r="W79" s="120">
        <f>'תקציב החברה לפיתוח 2024'!W76</f>
        <v>0</v>
      </c>
      <c r="X79" s="120">
        <f>'תקציב החברה לפיתוח 2024'!X76</f>
        <v>0</v>
      </c>
      <c r="Y79" s="120">
        <f>'תקציב החברה לפיתוח 2024'!Y76</f>
        <v>0</v>
      </c>
      <c r="Z79" s="120">
        <f>'תקציב החברה לפיתוח 2024'!Z76</f>
        <v>0</v>
      </c>
      <c r="AA79" s="120">
        <f>'תקציב החברה לפיתוח 2024'!AA76</f>
        <v>0</v>
      </c>
      <c r="AB79" s="235" t="str">
        <f>'תקציב החברה לפיתוח 2024'!AB76</f>
        <v>תכנון וביצוע ניקוז ברחוב רוחמה ושבטי ישראל בשיתוף עם תאגיד המים. במסגרת תוכ. אב לניקוז.</v>
      </c>
      <c r="AC79" s="3">
        <v>742000</v>
      </c>
      <c r="AD79" s="134"/>
      <c r="AE79" s="134"/>
      <c r="AF79" s="134"/>
      <c r="AG79" s="134"/>
      <c r="AH79" s="134"/>
      <c r="AI79" s="134"/>
    </row>
    <row r="80" spans="1:35" s="5" customFormat="1" ht="45" customHeight="1">
      <c r="A80" s="135">
        <f t="shared" si="2"/>
        <v>76</v>
      </c>
      <c r="B80" s="135">
        <f>'תקציב החברה לפיתוח 2024'!B77</f>
        <v>2198</v>
      </c>
      <c r="C80" s="235" t="str">
        <f>'תקציב החברה לפיתוח 2024'!C77</f>
        <v>פיתוח דרך מזרחית מקבילה לקיבוץ גלויות</v>
      </c>
      <c r="D80" s="120">
        <f>'תקציב החברה לפיתוח 2024'!D77</f>
        <v>16030000</v>
      </c>
      <c r="E80" s="120">
        <f>'תקציב החברה לפיתוח 2024'!E77</f>
        <v>16030000</v>
      </c>
      <c r="F80" s="120">
        <f>'תקציב החברה לפיתוח 2024'!F77</f>
        <v>0</v>
      </c>
      <c r="G80" s="120">
        <f>'תקציב החברה לפיתוח 2024'!G77</f>
        <v>800000</v>
      </c>
      <c r="H80" s="120">
        <f>'תקציב החברה לפיתוח 2024'!H77</f>
        <v>740050</v>
      </c>
      <c r="I80" s="120">
        <f>'תקציב החברה לפיתוח 2024'!I77</f>
        <v>0</v>
      </c>
      <c r="J80" s="120">
        <f>'תקציב החברה לפיתוח 2024'!J77</f>
        <v>0</v>
      </c>
      <c r="K80" s="120">
        <f>'תקציב החברה לפיתוח 2024'!K77</f>
        <v>0</v>
      </c>
      <c r="L80" s="120">
        <f>'תקציב החברה לפיתוח 2024'!L77</f>
        <v>740050</v>
      </c>
      <c r="M80" s="120">
        <f>'תקציב החברה לפיתוח 2024'!M77</f>
        <v>4950</v>
      </c>
      <c r="N80" s="120">
        <f>'תקציב החברה לפיתוח 2024'!N77</f>
        <v>55000</v>
      </c>
      <c r="O80" s="120">
        <f>'תקציב החברה לפיתוח 2024'!O77</f>
        <v>15230000</v>
      </c>
      <c r="P80" s="120">
        <f>'תקציב החברה לפיתוח 2024'!P77</f>
        <v>59950</v>
      </c>
      <c r="Q80" s="120">
        <f>'תקציב החברה לפיתוח 2024'!Q77</f>
        <v>0</v>
      </c>
      <c r="R80" s="120">
        <f>'תקציב החברה לפיתוח 2024'!R77</f>
        <v>0</v>
      </c>
      <c r="S80" s="120">
        <f>'תקציב החברה לפיתוח 2024'!S77</f>
        <v>0</v>
      </c>
      <c r="T80" s="120">
        <f>'תקציב החברה לפיתוח 2024'!T77</f>
        <v>55000</v>
      </c>
      <c r="U80" s="120">
        <f>'תקציב החברה לפיתוח 2024'!U77</f>
        <v>0</v>
      </c>
      <c r="V80" s="120">
        <f>'תקציב החברה לפיתוח 2024'!V77</f>
        <v>0</v>
      </c>
      <c r="W80" s="120">
        <f>'תקציב החברה לפיתוח 2024'!W77</f>
        <v>0</v>
      </c>
      <c r="X80" s="120">
        <f>'תקציב החברה לפיתוח 2024'!X77</f>
        <v>0</v>
      </c>
      <c r="Y80" s="120">
        <f>'תקציב החברה לפיתוח 2024'!Y77</f>
        <v>0</v>
      </c>
      <c r="Z80" s="120">
        <f>'תקציב החברה לפיתוח 2024'!Z77</f>
        <v>0</v>
      </c>
      <c r="AA80" s="120">
        <f>'תקציב החברה לפיתוח 2024'!AA77</f>
        <v>0</v>
      </c>
      <c r="AB80" s="235" t="str">
        <f>'תקציב החברה לפיתוח 2024'!AB77</f>
        <v>פיתוח רחוב חדש המזרחי ביותר בנווה עמל.  תכנון.</v>
      </c>
      <c r="AC80" s="3">
        <v>742000</v>
      </c>
      <c r="AD80" s="134"/>
      <c r="AE80" s="134"/>
      <c r="AF80" s="134"/>
      <c r="AG80" s="134"/>
      <c r="AH80" s="134"/>
      <c r="AI80" s="134"/>
    </row>
    <row r="81" spans="1:39" s="5" customFormat="1" ht="55.2">
      <c r="A81" s="135">
        <f t="shared" si="2"/>
        <v>77</v>
      </c>
      <c r="B81" s="135">
        <f>'תקציב החברה לפיתוח 2024'!B78</f>
        <v>2201</v>
      </c>
      <c r="C81" s="235" t="str">
        <f>'תקציב החברה לפיתוח 2024'!C78</f>
        <v>מתחם בי"ס הנדיב</v>
      </c>
      <c r="D81" s="120">
        <f>'תקציב החברה לפיתוח 2024'!D78</f>
        <v>120000000</v>
      </c>
      <c r="E81" s="120">
        <f>'תקציב החברה לפיתוח 2024'!E78</f>
        <v>80000000</v>
      </c>
      <c r="F81" s="120">
        <f>'תקציב החברה לפיתוח 2024'!F78</f>
        <v>40000000</v>
      </c>
      <c r="G81" s="120">
        <f>'תקציב החברה לפיתוח 2024'!G78</f>
        <v>4500000</v>
      </c>
      <c r="H81" s="120">
        <f>'תקציב החברה לפיתוח 2024'!H78</f>
        <v>6690820</v>
      </c>
      <c r="I81" s="120">
        <f>'תקציב החברה לפיתוח 2024'!I78</f>
        <v>0</v>
      </c>
      <c r="J81" s="120">
        <f>'תקציב החברה לפיתוח 2024'!J78</f>
        <v>0</v>
      </c>
      <c r="K81" s="120">
        <f>'תקציב החברה לפיתוח 2024'!K78</f>
        <v>0</v>
      </c>
      <c r="L81" s="120">
        <f>'תקציב החברה לפיתוח 2024'!L78</f>
        <v>6690820</v>
      </c>
      <c r="M81" s="120">
        <f>'תקציב החברה לפיתוח 2024'!M78</f>
        <v>5935</v>
      </c>
      <c r="N81" s="120">
        <f>'תקציב החברה לפיתוח 2024'!N78</f>
        <v>18880000</v>
      </c>
      <c r="O81" s="120">
        <f>'תקציב החברה לפיתוח 2024'!O78</f>
        <v>94423245</v>
      </c>
      <c r="P81" s="120">
        <f>'תקציב החברה לפיתוח 2024'!P78</f>
        <v>-2190820</v>
      </c>
      <c r="Q81" s="120">
        <f>'תקציב החברה לפיתוח 2024'!Q78</f>
        <v>5076755</v>
      </c>
      <c r="R81" s="120">
        <f>'תקציב החברה לפיתוח 2024'!R78</f>
        <v>0</v>
      </c>
      <c r="S81" s="120">
        <f>'תקציב החברה לפיתוח 2024'!S78</f>
        <v>5076755</v>
      </c>
      <c r="T81" s="120">
        <f>'תקציב החברה לפיתוח 2024'!T78</f>
        <v>2880000</v>
      </c>
      <c r="U81" s="120">
        <f>'תקציב החברה לפיתוח 2024'!U78</f>
        <v>16000000</v>
      </c>
      <c r="V81" s="120">
        <f>'תקציב החברה לפיתוח 2024'!V78</f>
        <v>16000000</v>
      </c>
      <c r="W81" s="120">
        <f>'תקציב החברה לפיתוח 2024'!W78</f>
        <v>0</v>
      </c>
      <c r="X81" s="120">
        <f>'תקציב החברה לפיתוח 2024'!X78</f>
        <v>0</v>
      </c>
      <c r="Y81" s="120">
        <f>'תקציב החברה לפיתוח 2024'!Y78</f>
        <v>0</v>
      </c>
      <c r="Z81" s="120">
        <f>'תקציב החברה לפיתוח 2024'!Z78</f>
        <v>0</v>
      </c>
      <c r="AA81" s="120">
        <f>'תקציב החברה לפיתוח 2024'!AA78</f>
        <v>0</v>
      </c>
      <c r="AB81" s="235" t="str">
        <f>'תקציב החברה לפיתוח 2024'!AB78</f>
        <v>הריסת מבנים קיימים ובניה מתחם חדש:בי"ס יסודי 24 כיתות, 4 כיתות ח"מ, אולם ספורט, מגרש ספורט מוצלל, 4 כיתות גנ"י. מימון מ. החינוך.</v>
      </c>
      <c r="AC81" s="3">
        <v>810000</v>
      </c>
      <c r="AD81" s="134"/>
      <c r="AE81" s="134"/>
      <c r="AF81" s="134"/>
      <c r="AG81" s="134"/>
      <c r="AH81" s="134"/>
      <c r="AI81" s="134"/>
    </row>
    <row r="82" spans="1:39" s="5" customFormat="1" ht="45" customHeight="1">
      <c r="A82" s="135">
        <f t="shared" si="2"/>
        <v>78</v>
      </c>
      <c r="B82" s="135">
        <f>'תקציב החברה לפיתוח 2024'!B79</f>
        <v>2202</v>
      </c>
      <c r="C82" s="235" t="str">
        <f>'תקציב החברה לפיתוח 2024'!C79</f>
        <v>בי"ס דמוקרטי</v>
      </c>
      <c r="D82" s="120">
        <f>'תקציב החברה לפיתוח 2024'!D79</f>
        <v>49000000</v>
      </c>
      <c r="E82" s="120">
        <f>'תקציב החברה לפיתוח 2024'!E79</f>
        <v>49000000</v>
      </c>
      <c r="F82" s="120">
        <f>'תקציב החברה לפיתוח 2024'!F79</f>
        <v>0</v>
      </c>
      <c r="G82" s="120">
        <f>'תקציב החברה לפיתוח 2024'!G79</f>
        <v>1200000</v>
      </c>
      <c r="H82" s="120">
        <f>'תקציב החברה לפיתוח 2024'!H79</f>
        <v>1195951</v>
      </c>
      <c r="I82" s="120">
        <f>'תקציב החברה לפיתוח 2024'!I79</f>
        <v>0</v>
      </c>
      <c r="J82" s="120">
        <f>'תקציב החברה לפיתוח 2024'!J79</f>
        <v>838</v>
      </c>
      <c r="K82" s="120">
        <f>'תקציב החברה לפיתוח 2024'!K79</f>
        <v>838</v>
      </c>
      <c r="L82" s="120">
        <f>'תקציב החברה לפיתוח 2024'!L79</f>
        <v>1196789</v>
      </c>
      <c r="M82" s="120">
        <f>'תקציב החברה לפיתוח 2024'!M79</f>
        <v>3211</v>
      </c>
      <c r="N82" s="120">
        <f>'תקציב החברה לפיתוח 2024'!N79</f>
        <v>0</v>
      </c>
      <c r="O82" s="120">
        <f>'תקציב החברה לפיתוח 2024'!O79</f>
        <v>47800000</v>
      </c>
      <c r="P82" s="120">
        <f>'תקציב החברה לפיתוח 2024'!P79</f>
        <v>3211</v>
      </c>
      <c r="Q82" s="120">
        <f>'תקציב החברה לפיתוח 2024'!Q79</f>
        <v>0</v>
      </c>
      <c r="R82" s="120">
        <f>'תקציב החברה לפיתוח 2024'!R79</f>
        <v>0</v>
      </c>
      <c r="S82" s="120">
        <f>'תקציב החברה לפיתוח 2024'!S79</f>
        <v>0</v>
      </c>
      <c r="T82" s="120">
        <f>'תקציב החברה לפיתוח 2024'!T79</f>
        <v>0</v>
      </c>
      <c r="U82" s="120">
        <f>'תקציב החברה לפיתוח 2024'!U79</f>
        <v>0</v>
      </c>
      <c r="V82" s="120">
        <f>'תקציב החברה לפיתוח 2024'!V79</f>
        <v>0</v>
      </c>
      <c r="W82" s="120">
        <f>'תקציב החברה לפיתוח 2024'!W79</f>
        <v>0</v>
      </c>
      <c r="X82" s="120">
        <f>'תקציב החברה לפיתוח 2024'!X79</f>
        <v>0</v>
      </c>
      <c r="Y82" s="120">
        <f>'תקציב החברה לפיתוח 2024'!Y79</f>
        <v>0</v>
      </c>
      <c r="Z82" s="120">
        <f>'תקציב החברה לפיתוח 2024'!Z79</f>
        <v>0</v>
      </c>
      <c r="AA82" s="120">
        <f>'תקציב החברה לפיתוח 2024'!AA79</f>
        <v>0</v>
      </c>
      <c r="AB82" s="235" t="str">
        <f>'תקציב החברה לפיתוח 2024'!AB79</f>
        <v xml:space="preserve">בדיקת היתכנות להקמת בי"ס יסודי 18 כיתות. </v>
      </c>
      <c r="AC82" s="3">
        <v>810000</v>
      </c>
      <c r="AD82" s="134"/>
      <c r="AE82" s="134"/>
      <c r="AF82" s="134"/>
      <c r="AG82" s="134"/>
      <c r="AH82" s="134"/>
      <c r="AI82" s="134"/>
    </row>
    <row r="83" spans="1:39" s="5" customFormat="1" ht="45" customHeight="1">
      <c r="A83" s="135">
        <f t="shared" si="2"/>
        <v>79</v>
      </c>
      <c r="B83" s="135">
        <f>'תקציב החברה לפיתוח 2024'!B80</f>
        <v>2203</v>
      </c>
      <c r="C83" s="235" t="str">
        <f>'תקציב החברה לפיתוח 2024'!C80</f>
        <v>אולם ספורט בי"ס יוחנני  ובניית כיתות וגנ"י</v>
      </c>
      <c r="D83" s="120">
        <f>'תקציב החברה לפיתוח 2024'!D80</f>
        <v>1700000</v>
      </c>
      <c r="E83" s="120">
        <f>'תקציב החברה לפיתוח 2024'!E80</f>
        <v>1000000</v>
      </c>
      <c r="F83" s="120">
        <f>'תקציב החברה לפיתוח 2024'!F80</f>
        <v>700000</v>
      </c>
      <c r="G83" s="120">
        <f>'תקציב החברה לפיתוח 2024'!G80</f>
        <v>1000000</v>
      </c>
      <c r="H83" s="120">
        <f>'תקציב החברה לפיתוח 2024'!H80</f>
        <v>743174</v>
      </c>
      <c r="I83" s="120">
        <f>'תקציב החברה לפיתוח 2024'!I80</f>
        <v>0</v>
      </c>
      <c r="J83" s="120">
        <f>'תקציב החברה לפיתוח 2024'!J80</f>
        <v>0</v>
      </c>
      <c r="K83" s="120">
        <f>'תקציב החברה לפיתוח 2024'!K80</f>
        <v>0</v>
      </c>
      <c r="L83" s="120">
        <f>'תקציב החברה לפיתוח 2024'!L80</f>
        <v>743174</v>
      </c>
      <c r="M83" s="120">
        <f>'תקציב החברה לפיתוח 2024'!M80</f>
        <v>6826</v>
      </c>
      <c r="N83" s="120">
        <f>'תקציב החברה לפיתוח 2024'!N80</f>
        <v>750000</v>
      </c>
      <c r="O83" s="120">
        <f>'תקציב החברה לפיתוח 2024'!O80</f>
        <v>200000</v>
      </c>
      <c r="P83" s="120">
        <f>'תקציב החברה לפיתוח 2024'!P80</f>
        <v>256826</v>
      </c>
      <c r="Q83" s="120">
        <f>'תקציב החברה לפיתוח 2024'!Q80</f>
        <v>0</v>
      </c>
      <c r="R83" s="120">
        <f>'תקציב החברה לפיתוח 2024'!R80</f>
        <v>0</v>
      </c>
      <c r="S83" s="120">
        <f>'תקציב החברה לפיתוח 2024'!S80</f>
        <v>0</v>
      </c>
      <c r="T83" s="120">
        <f>'תקציב החברה לפיתוח 2024'!T80</f>
        <v>250000</v>
      </c>
      <c r="U83" s="120">
        <f>'תקציב החברה לפיתוח 2024'!U80</f>
        <v>500000</v>
      </c>
      <c r="V83" s="120">
        <f>'תקציב החברה לפיתוח 2024'!V80</f>
        <v>500000</v>
      </c>
      <c r="W83" s="120">
        <f>'תקציב החברה לפיתוח 2024'!W80</f>
        <v>0</v>
      </c>
      <c r="X83" s="120">
        <f>'תקציב החברה לפיתוח 2024'!X80</f>
        <v>0</v>
      </c>
      <c r="Y83" s="120">
        <f>'תקציב החברה לפיתוח 2024'!Y80</f>
        <v>0</v>
      </c>
      <c r="Z83" s="120">
        <f>'תקציב החברה לפיתוח 2024'!Z80</f>
        <v>0</v>
      </c>
      <c r="AA83" s="120">
        <f>'תקציב החברה לפיתוח 2024'!AA80</f>
        <v>0</v>
      </c>
      <c r="AB83" s="235" t="str">
        <f>'תקציב החברה לפיתוח 2024'!AB80</f>
        <v xml:space="preserve">הריסת א. ספורט קיים, בנית חדש, בניית 6  כיתות לימוד ובניית 3 גנ"י במקום גן קיים אלה. </v>
      </c>
      <c r="AC83" s="342">
        <v>829000</v>
      </c>
      <c r="AD83" s="134"/>
      <c r="AE83" s="134"/>
      <c r="AF83" s="134"/>
      <c r="AG83" s="134"/>
      <c r="AH83" s="134"/>
      <c r="AI83" s="134"/>
    </row>
    <row r="84" spans="1:39" s="5" customFormat="1" ht="45" customHeight="1">
      <c r="A84" s="135">
        <f t="shared" si="2"/>
        <v>80</v>
      </c>
      <c r="B84" s="135">
        <f>'תקציב החברה לפיתוח 2024'!B81</f>
        <v>2205</v>
      </c>
      <c r="C84" s="235" t="str">
        <f>'תקציב החברה לפיתוח 2024'!C81</f>
        <v xml:space="preserve">תיכון היובל </v>
      </c>
      <c r="D84" s="120">
        <f>'תקציב החברה לפיתוח 2024'!D81</f>
        <v>18275000</v>
      </c>
      <c r="E84" s="120">
        <f>'תקציב החברה לפיתוח 2024'!E81</f>
        <v>18000000</v>
      </c>
      <c r="F84" s="120">
        <f>'תקציב החברה לפיתוח 2024'!F81</f>
        <v>275000</v>
      </c>
      <c r="G84" s="120">
        <f>'תקציב החברה לפיתוח 2024'!G81</f>
        <v>12000000</v>
      </c>
      <c r="H84" s="120">
        <f>'תקציב החברה לפיתוח 2024'!H81</f>
        <v>16546009</v>
      </c>
      <c r="I84" s="120">
        <f>'תקציב החברה לפיתוח 2024'!I81</f>
        <v>0</v>
      </c>
      <c r="J84" s="120">
        <f>'תקציב החברה לפיתוח 2024'!J81</f>
        <v>22511</v>
      </c>
      <c r="K84" s="120">
        <f>'תקציב החברה לפיתוח 2024'!K81</f>
        <v>22511</v>
      </c>
      <c r="L84" s="120">
        <f>'תקציב החברה לפיתוח 2024'!L81</f>
        <v>16568520</v>
      </c>
      <c r="M84" s="120">
        <f>'תקציב החברה לפיתוח 2024'!M81</f>
        <v>1480</v>
      </c>
      <c r="N84" s="120">
        <f>'תקציב החברה לפיתוח 2024'!N81</f>
        <v>1705000</v>
      </c>
      <c r="O84" s="120">
        <f>'תקציב החברה לפיתוח 2024'!O81</f>
        <v>0</v>
      </c>
      <c r="P84" s="120">
        <f>'תקציב החברה לפיתוח 2024'!P81</f>
        <v>-4568520</v>
      </c>
      <c r="Q84" s="120">
        <f>'תקציב החברה לפיתוח 2024'!Q81</f>
        <v>6000000</v>
      </c>
      <c r="R84" s="120">
        <f>'תקציב החברה לפיתוח 2024'!R81</f>
        <v>0</v>
      </c>
      <c r="S84" s="120">
        <f>'תקציב החברה לפיתוח 2024'!S81</f>
        <v>6000000</v>
      </c>
      <c r="T84" s="120">
        <f>'תקציב החברה לפיתוח 2024'!T81</f>
        <v>1430000</v>
      </c>
      <c r="U84" s="120">
        <f>'תקציב החברה לפיתוח 2024'!U81</f>
        <v>275000</v>
      </c>
      <c r="V84" s="120">
        <f>'תקציב החברה לפיתוח 2024'!V81</f>
        <v>275000</v>
      </c>
      <c r="W84" s="120">
        <f>'תקציב החברה לפיתוח 2024'!W81</f>
        <v>0</v>
      </c>
      <c r="X84" s="120">
        <f>'תקציב החברה לפיתוח 2024'!X81</f>
        <v>0</v>
      </c>
      <c r="Y84" s="120">
        <f>'תקציב החברה לפיתוח 2024'!Y81</f>
        <v>0</v>
      </c>
      <c r="Z84" s="120">
        <f>'תקציב החברה לפיתוח 2024'!Z81</f>
        <v>0</v>
      </c>
      <c r="AA84" s="120">
        <f>'תקציב החברה לפיתוח 2024'!AA81</f>
        <v>0</v>
      </c>
      <c r="AB84" s="235" t="str">
        <f>'תקציב החברה לפיתוח 2024'!AB81</f>
        <v>תכנון וביצוע של תוספת 6 כיתות ומעבדות בתיכון היובל. קדם מימון מ. החינוך.</v>
      </c>
      <c r="AC84" s="3">
        <v>810000</v>
      </c>
      <c r="AD84" s="134"/>
      <c r="AE84" s="134"/>
      <c r="AF84" s="134"/>
      <c r="AG84" s="134"/>
      <c r="AH84" s="134"/>
      <c r="AI84" s="134"/>
    </row>
    <row r="85" spans="1:39" s="5" customFormat="1" ht="45" customHeight="1">
      <c r="A85" s="135">
        <f t="shared" si="2"/>
        <v>81</v>
      </c>
      <c r="B85" s="135">
        <f>'תקציב החברה לפיתוח 2024'!B82</f>
        <v>2206</v>
      </c>
      <c r="C85" s="235" t="str">
        <f>'תקציב החברה לפיתוח 2024'!C82</f>
        <v>חט"ב באלתרמן</v>
      </c>
      <c r="D85" s="120">
        <f>'תקציב החברה לפיתוח 2024'!D82</f>
        <v>92000000</v>
      </c>
      <c r="E85" s="120">
        <f>'תקציב החברה לפיתוח 2024'!E82</f>
        <v>92000000</v>
      </c>
      <c r="F85" s="120">
        <f>'תקציב החברה לפיתוח 2024'!F82</f>
        <v>0</v>
      </c>
      <c r="G85" s="120">
        <f>'תקציב החברה לפיתוח 2024'!G82</f>
        <v>2273187</v>
      </c>
      <c r="H85" s="120">
        <f>'תקציב החברה לפיתוח 2024'!H82</f>
        <v>2849931</v>
      </c>
      <c r="I85" s="120">
        <f>'תקציב החברה לפיתוח 2024'!I82</f>
        <v>0</v>
      </c>
      <c r="J85" s="120">
        <f>'תקציב החברה לפיתוח 2024'!J82</f>
        <v>0</v>
      </c>
      <c r="K85" s="120">
        <f>'תקציב החברה לפיתוח 2024'!K82</f>
        <v>0</v>
      </c>
      <c r="L85" s="120">
        <f>'תקציב החברה לפיתוח 2024'!L82</f>
        <v>2849931</v>
      </c>
      <c r="M85" s="120">
        <f>'תקציב החברה לפיתוח 2024'!M82</f>
        <v>16620</v>
      </c>
      <c r="N85" s="120">
        <f>'תקציב החברה לפיתוח 2024'!N82</f>
        <v>13000000</v>
      </c>
      <c r="O85" s="120">
        <f>'תקציב החברה לפיתוח 2024'!O82</f>
        <v>76133449</v>
      </c>
      <c r="P85" s="120">
        <f>'תקציב החברה לפיתוח 2024'!P82</f>
        <v>-576744</v>
      </c>
      <c r="Q85" s="120">
        <f>'תקציב החברה לפיתוח 2024'!Q82</f>
        <v>593364</v>
      </c>
      <c r="R85" s="120">
        <f>'תקציב החברה לפיתוח 2024'!R82</f>
        <v>0</v>
      </c>
      <c r="S85" s="120">
        <f>'תקציב החברה לפיתוח 2024'!S82</f>
        <v>593364</v>
      </c>
      <c r="T85" s="120">
        <f>'תקציב החברה לפיתוח 2024'!T82</f>
        <v>0</v>
      </c>
      <c r="U85" s="120">
        <f>'תקציב החברה לפיתוח 2024'!U82</f>
        <v>13000000</v>
      </c>
      <c r="V85" s="120">
        <f>'תקציב החברה לפיתוח 2024'!V82</f>
        <v>13000000</v>
      </c>
      <c r="W85" s="120">
        <f>'תקציב החברה לפיתוח 2024'!W82</f>
        <v>0</v>
      </c>
      <c r="X85" s="120">
        <f>'תקציב החברה לפיתוח 2024'!X82</f>
        <v>0</v>
      </c>
      <c r="Y85" s="120">
        <f>'תקציב החברה לפיתוח 2024'!Y82</f>
        <v>0</v>
      </c>
      <c r="Z85" s="120">
        <f>'תקציב החברה לפיתוח 2024'!Z82</f>
        <v>0</v>
      </c>
      <c r="AA85" s="120">
        <f>'תקציב החברה לפיתוח 2024'!AA82</f>
        <v>0</v>
      </c>
      <c r="AB85" s="235" t="str">
        <f>'תקציב החברה לפיתוח 2024'!AB82</f>
        <v>תכנון חט"ב חדשה 24 כיתות באלתרמן. מימון מ. החינוך.</v>
      </c>
      <c r="AC85" s="3">
        <v>810000</v>
      </c>
      <c r="AD85" s="134"/>
      <c r="AE85" s="134"/>
      <c r="AF85" s="134"/>
      <c r="AG85" s="134"/>
      <c r="AH85" s="134"/>
      <c r="AI85" s="134"/>
    </row>
    <row r="86" spans="1:39" s="5" customFormat="1" ht="45" customHeight="1">
      <c r="A86" s="135">
        <f t="shared" si="2"/>
        <v>82</v>
      </c>
      <c r="B86" s="135" t="e">
        <f>'תקציב החברה לפיתוח 2024'!#REF!</f>
        <v>#REF!</v>
      </c>
      <c r="C86" s="235" t="e">
        <f>'תקציב החברה לפיתוח 2024'!#REF!</f>
        <v>#REF!</v>
      </c>
      <c r="D86" s="120" t="e">
        <f>'תקציב החברה לפיתוח 2024'!#REF!</f>
        <v>#REF!</v>
      </c>
      <c r="E86" s="120" t="e">
        <f>'תקציב החברה לפיתוח 2024'!#REF!</f>
        <v>#REF!</v>
      </c>
      <c r="F86" s="120" t="e">
        <f>'תקציב החברה לפיתוח 2024'!#REF!</f>
        <v>#REF!</v>
      </c>
      <c r="G86" s="120" t="e">
        <f>'תקציב החברה לפיתוח 2024'!#REF!</f>
        <v>#REF!</v>
      </c>
      <c r="H86" s="120" t="e">
        <f>'תקציב החברה לפיתוח 2024'!#REF!</f>
        <v>#REF!</v>
      </c>
      <c r="I86" s="120" t="e">
        <f>'תקציב החברה לפיתוח 2024'!#REF!</f>
        <v>#REF!</v>
      </c>
      <c r="J86" s="120" t="e">
        <f>'תקציב החברה לפיתוח 2024'!#REF!</f>
        <v>#REF!</v>
      </c>
      <c r="K86" s="120" t="e">
        <f>'תקציב החברה לפיתוח 2024'!#REF!</f>
        <v>#REF!</v>
      </c>
      <c r="L86" s="120" t="e">
        <f>'תקציב החברה לפיתוח 2024'!#REF!</f>
        <v>#REF!</v>
      </c>
      <c r="M86" s="120" t="e">
        <f>'תקציב החברה לפיתוח 2024'!#REF!</f>
        <v>#REF!</v>
      </c>
      <c r="N86" s="120" t="e">
        <f>'תקציב החברה לפיתוח 2024'!#REF!</f>
        <v>#REF!</v>
      </c>
      <c r="O86" s="120" t="e">
        <f>'תקציב החברה לפיתוח 2024'!#REF!</f>
        <v>#REF!</v>
      </c>
      <c r="P86" s="120" t="e">
        <f>'תקציב החברה לפיתוח 2024'!#REF!</f>
        <v>#REF!</v>
      </c>
      <c r="Q86" s="120" t="e">
        <f>'תקציב החברה לפיתוח 2024'!#REF!</f>
        <v>#REF!</v>
      </c>
      <c r="R86" s="120" t="e">
        <f>'תקציב החברה לפיתוח 2024'!#REF!</f>
        <v>#REF!</v>
      </c>
      <c r="S86" s="120" t="e">
        <f>'תקציב החברה לפיתוח 2024'!#REF!</f>
        <v>#REF!</v>
      </c>
      <c r="T86" s="120" t="e">
        <f>'תקציב החברה לפיתוח 2024'!#REF!</f>
        <v>#REF!</v>
      </c>
      <c r="U86" s="120" t="e">
        <f>'תקציב החברה לפיתוח 2024'!#REF!</f>
        <v>#REF!</v>
      </c>
      <c r="V86" s="120" t="e">
        <f>'תקציב החברה לפיתוח 2024'!#REF!</f>
        <v>#REF!</v>
      </c>
      <c r="W86" s="120" t="e">
        <f>'תקציב החברה לפיתוח 2024'!#REF!</f>
        <v>#REF!</v>
      </c>
      <c r="X86" s="120" t="e">
        <f>'תקציב החברה לפיתוח 2024'!#REF!</f>
        <v>#REF!</v>
      </c>
      <c r="Y86" s="120" t="e">
        <f>'תקציב החברה לפיתוח 2024'!#REF!</f>
        <v>#REF!</v>
      </c>
      <c r="Z86" s="120" t="e">
        <f>'תקציב החברה לפיתוח 2024'!#REF!</f>
        <v>#REF!</v>
      </c>
      <c r="AA86" s="120" t="e">
        <f>'תקציב החברה לפיתוח 2024'!#REF!</f>
        <v>#REF!</v>
      </c>
      <c r="AB86" s="235" t="e">
        <f>'תקציב החברה לפיתוח 2024'!#REF!</f>
        <v>#REF!</v>
      </c>
      <c r="AC86" s="342">
        <v>850000</v>
      </c>
      <c r="AD86" s="134"/>
      <c r="AE86" s="134"/>
      <c r="AF86" s="134"/>
      <c r="AG86" s="134"/>
      <c r="AH86" s="134"/>
      <c r="AI86" s="134"/>
    </row>
    <row r="87" spans="1:39" s="5" customFormat="1" ht="45" customHeight="1">
      <c r="A87" s="135">
        <f t="shared" si="2"/>
        <v>83</v>
      </c>
      <c r="B87" s="135">
        <f>'תקציב החברה לפיתוח 2024'!B83</f>
        <v>2208</v>
      </c>
      <c r="C87" s="235" t="str">
        <f>'תקציב החברה לפיתוח 2024'!C83</f>
        <v>מקווה גליל ים</v>
      </c>
      <c r="D87" s="120">
        <f>'תקציב החברה לפיתוח 2024'!D83</f>
        <v>201609</v>
      </c>
      <c r="E87" s="120">
        <f>'תקציב החברה לפיתוח 2024'!E83</f>
        <v>12750000</v>
      </c>
      <c r="F87" s="120">
        <f>'תקציב החברה לפיתוח 2024'!F83</f>
        <v>-12548391</v>
      </c>
      <c r="G87" s="120">
        <f>'תקציב החברה לפיתוח 2024'!G83</f>
        <v>500000</v>
      </c>
      <c r="H87" s="120">
        <f>'תקציב החברה לפיתוח 2024'!H83</f>
        <v>201609</v>
      </c>
      <c r="I87" s="120">
        <f>'תקציב החברה לפיתוח 2024'!I83</f>
        <v>0</v>
      </c>
      <c r="J87" s="120">
        <f>'תקציב החברה לפיתוח 2024'!J83</f>
        <v>0</v>
      </c>
      <c r="K87" s="120">
        <f>'תקציב החברה לפיתוח 2024'!K83</f>
        <v>0</v>
      </c>
      <c r="L87" s="120">
        <f>'תקציב החברה לפיתוח 2024'!L83</f>
        <v>201609</v>
      </c>
      <c r="M87" s="120">
        <f>'תקציב החברה לפיתוח 2024'!M83</f>
        <v>0</v>
      </c>
      <c r="N87" s="120">
        <f>'תקציב החברה לפיתוח 2024'!N83</f>
        <v>0</v>
      </c>
      <c r="O87" s="120">
        <f>'תקציב החברה לפיתוח 2024'!O83</f>
        <v>0</v>
      </c>
      <c r="P87" s="120">
        <f>'תקציב החברה לפיתוח 2024'!P83</f>
        <v>298391</v>
      </c>
      <c r="Q87" s="120">
        <f>'תקציב החברה לפיתוח 2024'!Q83</f>
        <v>250000</v>
      </c>
      <c r="R87" s="120">
        <f>'תקציב החברה לפיתוח 2024'!R83</f>
        <v>0</v>
      </c>
      <c r="S87" s="120">
        <f>'תקציב החברה לפיתוח 2024'!S83</f>
        <v>250000</v>
      </c>
      <c r="T87" s="120">
        <f>'תקציב החברה לפיתוח 2024'!T83</f>
        <v>548391</v>
      </c>
      <c r="U87" s="120">
        <f>'תקציב החברה לפיתוח 2024'!U83</f>
        <v>-548391</v>
      </c>
      <c r="V87" s="120">
        <f>'תקציב החברה לפיתוח 2024'!V83</f>
        <v>-548391</v>
      </c>
      <c r="W87" s="120">
        <f>'תקציב החברה לפיתוח 2024'!W83</f>
        <v>0</v>
      </c>
      <c r="X87" s="120">
        <f>'תקציב החברה לפיתוח 2024'!X83</f>
        <v>0</v>
      </c>
      <c r="Y87" s="120">
        <f>'תקציב החברה לפיתוח 2024'!Y83</f>
        <v>0</v>
      </c>
      <c r="Z87" s="120">
        <f>'תקציב החברה לפיתוח 2024'!Z83</f>
        <v>0</v>
      </c>
      <c r="AA87" s="120">
        <f>'תקציב החברה לפיתוח 2024'!AA83</f>
        <v>0</v>
      </c>
      <c r="AB87" s="235" t="str">
        <f>'תקציב החברה לפיתוח 2024'!AB83</f>
        <v>תכנון מקווה במתחם גליל ים. חן סופיים.</v>
      </c>
      <c r="AC87" s="342">
        <v>850000</v>
      </c>
      <c r="AD87" s="134"/>
      <c r="AE87" s="134"/>
      <c r="AF87" s="134"/>
      <c r="AG87" s="134"/>
      <c r="AH87" s="134"/>
      <c r="AI87" s="134"/>
    </row>
    <row r="88" spans="1:39" s="5" customFormat="1" ht="45" customHeight="1">
      <c r="A88" s="135">
        <f t="shared" si="2"/>
        <v>84</v>
      </c>
      <c r="B88" s="135">
        <f>'תקציב החברה לפיתוח 2024'!B84</f>
        <v>2209</v>
      </c>
      <c r="C88" s="235" t="str">
        <f>'תקציב החברה לפיתוח 2024'!C84</f>
        <v>בית ספר ברנר (תוספת 6 כיתות)</v>
      </c>
      <c r="D88" s="120">
        <f>'תקציב החברה לפיתוח 2024'!D84</f>
        <v>46500000</v>
      </c>
      <c r="E88" s="120">
        <f>'תקציב החברה לפיתוח 2024'!E84</f>
        <v>46500000</v>
      </c>
      <c r="F88" s="120">
        <f>'תקציב החברה לפיתוח 2024'!F84</f>
        <v>0</v>
      </c>
      <c r="G88" s="120">
        <f>'תקציב החברה לפיתוח 2024'!G84</f>
        <v>1500000</v>
      </c>
      <c r="H88" s="120">
        <f>'תקציב החברה לפיתוח 2024'!H84</f>
        <v>1045608</v>
      </c>
      <c r="I88" s="120">
        <f>'תקציב החברה לפיתוח 2024'!I84</f>
        <v>0</v>
      </c>
      <c r="J88" s="120">
        <f>'תקציב החברה לפיתוח 2024'!J84</f>
        <v>0</v>
      </c>
      <c r="K88" s="120">
        <f>'תקציב החברה לפיתוח 2024'!K84</f>
        <v>0</v>
      </c>
      <c r="L88" s="120">
        <f>'תקציב החברה לפיתוח 2024'!L84</f>
        <v>1045608</v>
      </c>
      <c r="M88" s="120">
        <f>'תקציב החברה לפיתוח 2024'!M84</f>
        <v>4392</v>
      </c>
      <c r="N88" s="120">
        <f>'תקציב החברה לפיתוח 2024'!N84</f>
        <v>5000000</v>
      </c>
      <c r="O88" s="120">
        <f>'תקציב החברה לפיתוח 2024'!O84</f>
        <v>40450000</v>
      </c>
      <c r="P88" s="120">
        <f>'תקציב החברה לפיתוח 2024'!P84</f>
        <v>454392</v>
      </c>
      <c r="Q88" s="120">
        <f>'תקציב החברה לפיתוח 2024'!Q84</f>
        <v>0</v>
      </c>
      <c r="R88" s="120">
        <f>'תקציב החברה לפיתוח 2024'!R84</f>
        <v>0</v>
      </c>
      <c r="S88" s="120">
        <f>'תקציב החברה לפיתוח 2024'!S84</f>
        <v>0</v>
      </c>
      <c r="T88" s="120">
        <f>'תקציב החברה לפיתוח 2024'!T84</f>
        <v>450000</v>
      </c>
      <c r="U88" s="120">
        <f>'תקציב החברה לפיתוח 2024'!U84</f>
        <v>4550000</v>
      </c>
      <c r="V88" s="120">
        <f>'תקציב החברה לפיתוח 2024'!V84</f>
        <v>4550000</v>
      </c>
      <c r="W88" s="120">
        <f>'תקציב החברה לפיתוח 2024'!W84</f>
        <v>0</v>
      </c>
      <c r="X88" s="120">
        <f>'תקציב החברה לפיתוח 2024'!X84</f>
        <v>0</v>
      </c>
      <c r="Y88" s="120">
        <f>'תקציב החברה לפיתוח 2024'!Y84</f>
        <v>0</v>
      </c>
      <c r="Z88" s="120">
        <f>'תקציב החברה לפיתוח 2024'!Z84</f>
        <v>0</v>
      </c>
      <c r="AA88" s="120">
        <f>'תקציב החברה לפיתוח 2024'!AA84</f>
        <v>0</v>
      </c>
      <c r="AB88" s="235" t="str">
        <f>'תקציב החברה לפיתוח 2024'!AB84</f>
        <v>תכנון וביצוע תוספת 8 כיתות בי"ס ברנר ובניית אולם ספורט.</v>
      </c>
      <c r="AC88" s="3">
        <v>810000</v>
      </c>
      <c r="AD88" s="134"/>
      <c r="AE88" s="134"/>
      <c r="AF88" s="134"/>
      <c r="AG88" s="134"/>
      <c r="AH88" s="134"/>
      <c r="AI88" s="134"/>
    </row>
    <row r="89" spans="1:39" s="157" customFormat="1" ht="45" customHeight="1">
      <c r="A89" s="135">
        <f t="shared" si="2"/>
        <v>85</v>
      </c>
      <c r="B89" s="135">
        <f>'תקציב החברה לפיתוח 2024'!B85</f>
        <v>2213</v>
      </c>
      <c r="C89" s="235" t="str">
        <f>'תקציב החברה לפיתוח 2024'!C85</f>
        <v>הקמת מערכות pv מעל גגות מבני ציבור בהרצליה</v>
      </c>
      <c r="D89" s="120">
        <f>'תקציב החברה לפיתוח 2024'!D85</f>
        <v>7100000</v>
      </c>
      <c r="E89" s="120">
        <f>'תקציב החברה לפיתוח 2024'!E85</f>
        <v>7100000</v>
      </c>
      <c r="F89" s="120">
        <f>'תקציב החברה לפיתוח 2024'!F85</f>
        <v>0</v>
      </c>
      <c r="G89" s="120">
        <f>'תקציב החברה לפיתוח 2024'!G85</f>
        <v>7100000</v>
      </c>
      <c r="H89" s="120">
        <f>'תקציב החברה לפיתוח 2024'!H85</f>
        <v>5524946</v>
      </c>
      <c r="I89" s="120">
        <f>'תקציב החברה לפיתוח 2024'!I85</f>
        <v>0</v>
      </c>
      <c r="J89" s="120">
        <f>'תקציב החברה לפיתוח 2024'!J85</f>
        <v>0</v>
      </c>
      <c r="K89" s="120">
        <f>'תקציב החברה לפיתוח 2024'!K85</f>
        <v>0</v>
      </c>
      <c r="L89" s="120">
        <f>'תקציב החברה לפיתוח 2024'!L85</f>
        <v>5524946</v>
      </c>
      <c r="M89" s="120">
        <f>'תקציב החברה לפיתוח 2024'!M85</f>
        <v>5054</v>
      </c>
      <c r="N89" s="120">
        <f>'תקציב החברה לפיתוח 2024'!N85</f>
        <v>1570000</v>
      </c>
      <c r="O89" s="120">
        <f>'תקציב החברה לפיתוח 2024'!O85</f>
        <v>0</v>
      </c>
      <c r="P89" s="120">
        <f>'תקציב החברה לפיתוח 2024'!P85</f>
        <v>1575054</v>
      </c>
      <c r="Q89" s="120">
        <f>'תקציב החברה לפיתוח 2024'!Q85</f>
        <v>0</v>
      </c>
      <c r="R89" s="120">
        <f>'תקציב החברה לפיתוח 2024'!R85</f>
        <v>0</v>
      </c>
      <c r="S89" s="120">
        <f>'תקציב החברה לפיתוח 2024'!S85</f>
        <v>0</v>
      </c>
      <c r="T89" s="120">
        <f>'תקציב החברה לפיתוח 2024'!T85</f>
        <v>1570000</v>
      </c>
      <c r="U89" s="120">
        <f>'תקציב החברה לפיתוח 2024'!U85</f>
        <v>0</v>
      </c>
      <c r="V89" s="120">
        <f>'תקציב החברה לפיתוח 2024'!V85</f>
        <v>0</v>
      </c>
      <c r="W89" s="120">
        <f>'תקציב החברה לפיתוח 2024'!W85</f>
        <v>0</v>
      </c>
      <c r="X89" s="120">
        <f>'תקציב החברה לפיתוח 2024'!X85</f>
        <v>0</v>
      </c>
      <c r="Y89" s="120">
        <f>'תקציב החברה לפיתוח 2024'!Y85</f>
        <v>0</v>
      </c>
      <c r="Z89" s="120">
        <f>'תקציב החברה לפיתוח 2024'!Z85</f>
        <v>0</v>
      </c>
      <c r="AA89" s="120">
        <f>'תקציב החברה לפיתוח 2024'!AA85</f>
        <v>0</v>
      </c>
      <c r="AB89" s="235" t="str">
        <f>'תקציב החברה לפיתוח 2024'!AB85</f>
        <v>הקמת מערכות סולאריות על גגות אולמות ספורט ומתנ"סים 14 במספר עפ"י רשימה.  מימון הלוואה.</v>
      </c>
      <c r="AC89" s="3">
        <v>870000</v>
      </c>
      <c r="AD89" s="134"/>
      <c r="AE89" s="134"/>
      <c r="AF89" s="134"/>
      <c r="AG89" s="134"/>
      <c r="AH89" s="134"/>
      <c r="AI89" s="134"/>
    </row>
    <row r="90" spans="1:39" s="5" customFormat="1" ht="45" customHeight="1">
      <c r="A90" s="135">
        <f t="shared" si="2"/>
        <v>86</v>
      </c>
      <c r="B90" s="135">
        <f>'תקציב החברה לפיתוח 2024'!B86</f>
        <v>2220</v>
      </c>
      <c r="C90" s="235" t="str">
        <f>'תקציב החברה לפיתוח 2024'!C86</f>
        <v>גן יניב - פיתוח והקמת מתקני כושר</v>
      </c>
      <c r="D90" s="120">
        <f>'תקציב החברה לפיתוח 2024'!D86</f>
        <v>2700000</v>
      </c>
      <c r="E90" s="120">
        <f>'תקציב החברה לפיתוח 2024'!E86</f>
        <v>2200000</v>
      </c>
      <c r="F90" s="120">
        <f>'תקציב החברה לפיתוח 2024'!F86</f>
        <v>500000</v>
      </c>
      <c r="G90" s="120">
        <f>'תקציב החברה לפיתוח 2024'!G86</f>
        <v>1000000</v>
      </c>
      <c r="H90" s="120">
        <f>'תקציב החברה לפיתוח 2024'!H86</f>
        <v>948844</v>
      </c>
      <c r="I90" s="120">
        <f>'תקציב החברה לפיתוח 2024'!I86</f>
        <v>0</v>
      </c>
      <c r="J90" s="120">
        <f>'תקציב החברה לפיתוח 2024'!J86</f>
        <v>0</v>
      </c>
      <c r="K90" s="120">
        <f>'תקציב החברה לפיתוח 2024'!K86</f>
        <v>0</v>
      </c>
      <c r="L90" s="120">
        <f>'תקציב החברה לפיתוח 2024'!L86</f>
        <v>948844</v>
      </c>
      <c r="M90" s="120">
        <f>'תקציב החברה לפיתוח 2024'!M86</f>
        <v>1156</v>
      </c>
      <c r="N90" s="120">
        <f>'תקציב החברה לפיתוח 2024'!N86</f>
        <v>1750000</v>
      </c>
      <c r="O90" s="120">
        <f>'תקציב החברה לפיתוח 2024'!O86</f>
        <v>0</v>
      </c>
      <c r="P90" s="120">
        <f>'תקציב החברה לפיתוח 2024'!P86</f>
        <v>51156</v>
      </c>
      <c r="Q90" s="120">
        <f>'תקציב החברה לפיתוח 2024'!Q86</f>
        <v>1200000</v>
      </c>
      <c r="R90" s="120">
        <f>'תקציב החברה לפיתוח 2024'!R86</f>
        <v>0</v>
      </c>
      <c r="S90" s="120">
        <f>'תקציב החברה לפיתוח 2024'!S86</f>
        <v>1200000</v>
      </c>
      <c r="T90" s="120">
        <f>'תקציב החברה לפיתוח 2024'!T86</f>
        <v>1250000</v>
      </c>
      <c r="U90" s="120">
        <f>'תקציב החברה לפיתוח 2024'!U86</f>
        <v>500000</v>
      </c>
      <c r="V90" s="120">
        <f>'תקציב החברה לפיתוח 2024'!V86</f>
        <v>500000</v>
      </c>
      <c r="W90" s="120">
        <f>'תקציב החברה לפיתוח 2024'!W86</f>
        <v>0</v>
      </c>
      <c r="X90" s="120">
        <f>'תקציב החברה לפיתוח 2024'!X86</f>
        <v>0</v>
      </c>
      <c r="Y90" s="120">
        <f>'תקציב החברה לפיתוח 2024'!Y86</f>
        <v>0</v>
      </c>
      <c r="Z90" s="120">
        <f>'תקציב החברה לפיתוח 2024'!Z86</f>
        <v>0</v>
      </c>
      <c r="AA90" s="120">
        <f>'תקציב החברה לפיתוח 2024'!AA86</f>
        <v>0</v>
      </c>
      <c r="AB90" s="235" t="str">
        <f>'תקציב החברה לפיתוח 2024'!AB86</f>
        <v>תכנון וביצוע הקמת מתקני כושר ופיתוח בשטח הגבול בין גינת הכלבים וחיבור לגן הציבורי בשטח של 1.3 דונם.</v>
      </c>
      <c r="AC90" s="3">
        <v>746000</v>
      </c>
      <c r="AD90" s="134"/>
      <c r="AE90" s="134"/>
      <c r="AF90" s="134"/>
      <c r="AG90" s="134"/>
      <c r="AH90" s="134"/>
      <c r="AI90" s="134"/>
    </row>
    <row r="91" spans="1:39" s="5" customFormat="1" ht="45" customHeight="1">
      <c r="A91" s="135">
        <f t="shared" si="2"/>
        <v>87</v>
      </c>
      <c r="B91" s="135">
        <f>'תקציב החברה לפיתוח 2024'!B87</f>
        <v>2232</v>
      </c>
      <c r="C91" s="235" t="str">
        <f>'תקציב החברה לפיתוח 2024'!C87</f>
        <v>החלפת קו ניקוז רח' שלווה</v>
      </c>
      <c r="D91" s="120">
        <f>'תקציב החברה לפיתוח 2024'!D87</f>
        <v>17200000</v>
      </c>
      <c r="E91" s="120">
        <f>'תקציב החברה לפיתוח 2024'!E87</f>
        <v>17200000</v>
      </c>
      <c r="F91" s="120">
        <f>'תקציב החברה לפיתוח 2024'!F87</f>
        <v>0</v>
      </c>
      <c r="G91" s="120">
        <f>'תקציב החברה לפיתוח 2024'!G87</f>
        <v>800000</v>
      </c>
      <c r="H91" s="120">
        <f>'תקציב החברה לפיתוח 2024'!H87</f>
        <v>778625</v>
      </c>
      <c r="I91" s="120">
        <f>'תקציב החברה לפיתוח 2024'!I87</f>
        <v>0</v>
      </c>
      <c r="J91" s="120">
        <f>'תקציב החברה לפיתוח 2024'!J87</f>
        <v>0</v>
      </c>
      <c r="K91" s="120">
        <f>'תקציב החברה לפיתוח 2024'!K87</f>
        <v>0</v>
      </c>
      <c r="L91" s="120">
        <f>'תקציב החברה לפיתוח 2024'!L87</f>
        <v>778625</v>
      </c>
      <c r="M91" s="120">
        <f>'תקציב החברה לפיתוח 2024'!M87</f>
        <v>1375</v>
      </c>
      <c r="N91" s="120">
        <f>'תקציב החברה לפיתוח 2024'!N87</f>
        <v>4020000</v>
      </c>
      <c r="O91" s="120">
        <f>'תקציב החברה לפיתוח 2024'!O87</f>
        <v>12400000</v>
      </c>
      <c r="P91" s="120">
        <f>'תקציב החברה לפיתוח 2024'!P87</f>
        <v>21375</v>
      </c>
      <c r="Q91" s="120">
        <f>'תקציב החברה לפיתוח 2024'!Q87</f>
        <v>0</v>
      </c>
      <c r="R91" s="120">
        <f>'תקציב החברה לפיתוח 2024'!R87</f>
        <v>0</v>
      </c>
      <c r="S91" s="120">
        <f>'תקציב החברה לפיתוח 2024'!S87</f>
        <v>0</v>
      </c>
      <c r="T91" s="120">
        <f>'תקציב החברה לפיתוח 2024'!T87</f>
        <v>20000</v>
      </c>
      <c r="U91" s="120">
        <f>'תקציב החברה לפיתוח 2024'!U87</f>
        <v>4000000</v>
      </c>
      <c r="V91" s="120">
        <f>'תקציב החברה לפיתוח 2024'!V87</f>
        <v>4000000</v>
      </c>
      <c r="W91" s="120">
        <f>'תקציב החברה לפיתוח 2024'!W87</f>
        <v>0</v>
      </c>
      <c r="X91" s="120">
        <f>'תקציב החברה לפיתוח 2024'!X87</f>
        <v>0</v>
      </c>
      <c r="Y91" s="120">
        <f>'תקציב החברה לפיתוח 2024'!Y87</f>
        <v>0</v>
      </c>
      <c r="Z91" s="120">
        <f>'תקציב החברה לפיתוח 2024'!Z87</f>
        <v>0</v>
      </c>
      <c r="AA91" s="120">
        <f>'תקציב החברה לפיתוח 2024'!AA87</f>
        <v>0</v>
      </c>
      <c r="AB91" s="235" t="str">
        <f>'תקציב החברה לפיתוח 2024'!AB87</f>
        <v xml:space="preserve">החלפת קו ניקוז ברח' שלווה. </v>
      </c>
      <c r="AC91" s="3">
        <v>745000</v>
      </c>
      <c r="AD91" s="134"/>
      <c r="AE91" s="134"/>
      <c r="AF91" s="134"/>
      <c r="AG91" s="134"/>
      <c r="AH91" s="134"/>
      <c r="AI91" s="134"/>
    </row>
    <row r="92" spans="1:39" s="5" customFormat="1" ht="45" customHeight="1">
      <c r="A92" s="135">
        <f t="shared" si="2"/>
        <v>88</v>
      </c>
      <c r="B92" s="135">
        <f>'תקציב החברה לפיתוח 2024'!B88</f>
        <v>2233</v>
      </c>
      <c r="C92" s="235" t="str">
        <f>'תקציב החברה לפיתוח 2024'!C88</f>
        <v>החלפת קו ניקוז רח' בזל</v>
      </c>
      <c r="D92" s="120">
        <f>'תקציב החברה לפיתוח 2024'!D88</f>
        <v>20250000</v>
      </c>
      <c r="E92" s="120">
        <f>'תקציב החברה לפיתוח 2024'!E88</f>
        <v>20250000</v>
      </c>
      <c r="F92" s="120">
        <f>'תקציב החברה לפיתוח 2024'!F88</f>
        <v>0</v>
      </c>
      <c r="G92" s="120">
        <f>'תקציב החברה לפיתוח 2024'!G88</f>
        <v>800000</v>
      </c>
      <c r="H92" s="120">
        <f>'תקציב החברה לפיתוח 2024'!H88</f>
        <v>789541</v>
      </c>
      <c r="I92" s="120">
        <f>'תקציב החברה לפיתוח 2024'!I88</f>
        <v>0</v>
      </c>
      <c r="J92" s="120">
        <f>'תקציב החברה לפיתוח 2024'!J88</f>
        <v>0</v>
      </c>
      <c r="K92" s="120">
        <f>'תקציב החברה לפיתוח 2024'!K88</f>
        <v>0</v>
      </c>
      <c r="L92" s="120">
        <f>'תקציב החברה לפיתוח 2024'!L88</f>
        <v>789541</v>
      </c>
      <c r="M92" s="120">
        <f>'תקציב החברה לפיתוח 2024'!M88</f>
        <v>10459</v>
      </c>
      <c r="N92" s="120">
        <f>'תקציב החברה לפיתוח 2024'!N88</f>
        <v>0</v>
      </c>
      <c r="O92" s="120">
        <f>'תקציב החברה לפיתוח 2024'!O88</f>
        <v>19450000</v>
      </c>
      <c r="P92" s="120">
        <f>'תקציב החברה לפיתוח 2024'!P88</f>
        <v>10459</v>
      </c>
      <c r="Q92" s="120">
        <f>'תקציב החברה לפיתוח 2024'!Q88</f>
        <v>0</v>
      </c>
      <c r="R92" s="120">
        <f>'תקציב החברה לפיתוח 2024'!R88</f>
        <v>0</v>
      </c>
      <c r="S92" s="120">
        <f>'תקציב החברה לפיתוח 2024'!S88</f>
        <v>0</v>
      </c>
      <c r="T92" s="120">
        <f>'תקציב החברה לפיתוח 2024'!T88</f>
        <v>0</v>
      </c>
      <c r="U92" s="120">
        <f>'תקציב החברה לפיתוח 2024'!U88</f>
        <v>0</v>
      </c>
      <c r="V92" s="120">
        <f>'תקציב החברה לפיתוח 2024'!V88</f>
        <v>0</v>
      </c>
      <c r="W92" s="120">
        <f>'תקציב החברה לפיתוח 2024'!W88</f>
        <v>0</v>
      </c>
      <c r="X92" s="120">
        <f>'תקציב החברה לפיתוח 2024'!X88</f>
        <v>0</v>
      </c>
      <c r="Y92" s="120">
        <f>'תקציב החברה לפיתוח 2024'!Y88</f>
        <v>0</v>
      </c>
      <c r="Z92" s="120">
        <f>'תקציב החברה לפיתוח 2024'!Z88</f>
        <v>0</v>
      </c>
      <c r="AA92" s="120">
        <f>'תקציב החברה לפיתוח 2024'!AA88</f>
        <v>0</v>
      </c>
      <c r="AB92" s="235" t="str">
        <f>'תקציב החברה לפיתוח 2024'!AB88</f>
        <v xml:space="preserve">החלפת קו ניקוז ברח' בזל. </v>
      </c>
      <c r="AC92" s="3">
        <v>745000</v>
      </c>
      <c r="AD92" s="134"/>
      <c r="AE92" s="134"/>
      <c r="AF92" s="134"/>
      <c r="AG92" s="134"/>
      <c r="AH92" s="134"/>
      <c r="AI92" s="134"/>
    </row>
    <row r="93" spans="1:39" s="5" customFormat="1" ht="55.2">
      <c r="A93" s="3">
        <f t="shared" si="2"/>
        <v>89</v>
      </c>
      <c r="B93" s="135">
        <f>'תקציב החברה לפיתוח 2024'!B89</f>
        <v>20004</v>
      </c>
      <c r="C93" s="235" t="str">
        <f>'תקציב החברה לפיתוח 2024'!C89</f>
        <v xml:space="preserve">שצפ הואדי והמנהרה הרומית </v>
      </c>
      <c r="D93" s="120">
        <f>'תקציב החברה לפיתוח 2024'!D89</f>
        <v>24750000</v>
      </c>
      <c r="E93" s="120">
        <f>'תקציב החברה לפיתוח 2024'!E89</f>
        <v>24750000</v>
      </c>
      <c r="F93" s="120">
        <f>'תקציב החברה לפיתוח 2024'!F89</f>
        <v>0</v>
      </c>
      <c r="G93" s="120">
        <f>'תקציב החברה לפיתוח 2024'!G89</f>
        <v>250000</v>
      </c>
      <c r="H93" s="120">
        <f>'תקציב החברה לפיתוח 2024'!H89</f>
        <v>231723</v>
      </c>
      <c r="I93" s="120">
        <f>'תקציב החברה לפיתוח 2024'!I89</f>
        <v>0</v>
      </c>
      <c r="J93" s="120">
        <f>'תקציב החברה לפיתוח 2024'!J89</f>
        <v>0</v>
      </c>
      <c r="K93" s="120">
        <f>'תקציב החברה לפיתוח 2024'!K89</f>
        <v>0</v>
      </c>
      <c r="L93" s="120">
        <f>'תקציב החברה לפיתוח 2024'!L89</f>
        <v>231723</v>
      </c>
      <c r="M93" s="120">
        <f>'תקציב החברה לפיתוח 2024'!M89</f>
        <v>18277</v>
      </c>
      <c r="N93" s="120">
        <f>'תקציב החברה לפיתוח 2024'!N89</f>
        <v>7000000</v>
      </c>
      <c r="O93" s="120">
        <f>'תקציב החברה לפיתוח 2024'!O89</f>
        <v>17500000</v>
      </c>
      <c r="P93" s="120">
        <f>'תקציב החברה לפיתוח 2024'!P89</f>
        <v>18277</v>
      </c>
      <c r="Q93" s="120">
        <f>'תקציב החברה לפיתוח 2024'!Q89</f>
        <v>0</v>
      </c>
      <c r="R93" s="120">
        <f>'תקציב החברה לפיתוח 2024'!R89</f>
        <v>0</v>
      </c>
      <c r="S93" s="120">
        <f>'תקציב החברה לפיתוח 2024'!S89</f>
        <v>0</v>
      </c>
      <c r="T93" s="120">
        <f>'תקציב החברה לפיתוח 2024'!T89</f>
        <v>0</v>
      </c>
      <c r="U93" s="120">
        <f>'תקציב החברה לפיתוח 2024'!U89</f>
        <v>7000000</v>
      </c>
      <c r="V93" s="120">
        <f>'תקציב החברה לפיתוח 2024'!V89</f>
        <v>947200</v>
      </c>
      <c r="W93" s="120">
        <f>'תקציב החברה לפיתוח 2024'!W89</f>
        <v>0</v>
      </c>
      <c r="X93" s="120">
        <f>'תקציב החברה לפיתוח 2024'!X89</f>
        <v>0</v>
      </c>
      <c r="Y93" s="120">
        <f>'תקציב החברה לפיתוח 2024'!Y89</f>
        <v>0</v>
      </c>
      <c r="Z93" s="120">
        <f>'תקציב החברה לפיתוח 2024'!Z89</f>
        <v>0</v>
      </c>
      <c r="AA93" s="120">
        <f>'תקציב החברה לפיתוח 2024'!AA89</f>
        <v>6052800</v>
      </c>
      <c r="AB93" s="235" t="str">
        <f>'תקציב החברה לפיתוח 2024'!AB89</f>
        <v>עבודות פיתוח, גינון והשקייה,  ניקוז ותיעול פיתוח לאזור הואדי כולל שיקום מדרכות ושבילי אופניים בנעמי שמר, עבודות חשמל,תאורה. מימון נת"ע.</v>
      </c>
      <c r="AC93" s="3">
        <v>742000</v>
      </c>
      <c r="AD93" s="134"/>
      <c r="AE93" s="134"/>
      <c r="AF93" s="134"/>
      <c r="AG93" s="134"/>
      <c r="AH93" s="272"/>
      <c r="AI93" s="272"/>
      <c r="AJ93" s="272"/>
      <c r="AK93" s="18"/>
      <c r="AL93" s="18"/>
      <c r="AM93" s="18"/>
    </row>
    <row r="94" spans="1:39" s="5" customFormat="1" ht="45" customHeight="1">
      <c r="A94" s="3">
        <f t="shared" si="2"/>
        <v>90</v>
      </c>
      <c r="B94" s="135">
        <f>'תקציב החברה לפיתוח 2024'!B91</f>
        <v>20010</v>
      </c>
      <c r="C94" s="235" t="str">
        <f>'תקציב החברה לפיתוח 2024'!C91</f>
        <v>גנ"י אחד העם</v>
      </c>
      <c r="D94" s="120">
        <f>'תקציב החברה לפיתוח 2024'!D91</f>
        <v>7000000</v>
      </c>
      <c r="E94" s="120">
        <f>'תקציב החברה לפיתוח 2024'!E91</f>
        <v>7000000</v>
      </c>
      <c r="F94" s="120">
        <f>'תקציב החברה לפיתוח 2024'!F91</f>
        <v>0</v>
      </c>
      <c r="G94" s="120">
        <f>'תקציב החברה לפיתוח 2024'!G91</f>
        <v>500000</v>
      </c>
      <c r="H94" s="120">
        <f>'תקציב החברה לפיתוח 2024'!H91</f>
        <v>39342</v>
      </c>
      <c r="I94" s="120">
        <f>'תקציב החברה לפיתוח 2024'!I91</f>
        <v>0</v>
      </c>
      <c r="J94" s="120">
        <f>'תקציב החברה לפיתוח 2024'!J91</f>
        <v>0</v>
      </c>
      <c r="K94" s="120">
        <f>'תקציב החברה לפיתוח 2024'!K91</f>
        <v>0</v>
      </c>
      <c r="L94" s="120">
        <f>'תקציב החברה לפיתוח 2024'!L91</f>
        <v>39342</v>
      </c>
      <c r="M94" s="120">
        <f>'תקציב החברה לפיתוח 2024'!M91</f>
        <v>0</v>
      </c>
      <c r="N94" s="120">
        <f>'תקציב החברה לפיתוח 2024'!N91</f>
        <v>0</v>
      </c>
      <c r="O94" s="120">
        <f>'תקציב החברה לפיתוח 2024'!O91</f>
        <v>6960658</v>
      </c>
      <c r="P94" s="120">
        <f>'תקציב החברה לפיתוח 2024'!P91</f>
        <v>460658</v>
      </c>
      <c r="Q94" s="120">
        <f>'תקציב החברה לפיתוח 2024'!Q91</f>
        <v>0</v>
      </c>
      <c r="R94" s="120">
        <f>'תקציב החברה לפיתוח 2024'!R91</f>
        <v>0</v>
      </c>
      <c r="S94" s="120">
        <f>'תקציב החברה לפיתוח 2024'!S91</f>
        <v>0</v>
      </c>
      <c r="T94" s="120">
        <f>'תקציב החברה לפיתוח 2024'!T91</f>
        <v>460658</v>
      </c>
      <c r="U94" s="120">
        <f>'תקציב החברה לפיתוח 2024'!U91</f>
        <v>-460658</v>
      </c>
      <c r="V94" s="120">
        <f>'תקציב החברה לפיתוח 2024'!V91</f>
        <v>-460658</v>
      </c>
      <c r="W94" s="120">
        <f>'תקציב החברה לפיתוח 2024'!W91</f>
        <v>0</v>
      </c>
      <c r="X94" s="120">
        <f>'תקציב החברה לפיתוח 2024'!X91</f>
        <v>0</v>
      </c>
      <c r="Y94" s="120">
        <f>'תקציב החברה לפיתוח 2024'!Y91</f>
        <v>0</v>
      </c>
      <c r="Z94" s="120">
        <f>'תקציב החברה לפיתוח 2024'!Z91</f>
        <v>0</v>
      </c>
      <c r="AA94" s="120">
        <f>'תקציב החברה לפיתוח 2024'!AA91</f>
        <v>0</v>
      </c>
      <c r="AB94" s="235" t="str">
        <f>'תקציב החברה לפיתוח 2024'!AB91</f>
        <v>תכנון וביצוע 2 גנ"י. סגירת תב"ר.</v>
      </c>
      <c r="AC94" s="3">
        <v>810000</v>
      </c>
      <c r="AD94" s="134"/>
      <c r="AE94" s="134"/>
      <c r="AF94" s="134"/>
      <c r="AG94" s="134"/>
      <c r="AH94" s="134"/>
      <c r="AI94" s="134"/>
    </row>
    <row r="95" spans="1:39" s="5" customFormat="1" ht="45" customHeight="1">
      <c r="A95" s="135">
        <f t="shared" si="2"/>
        <v>91</v>
      </c>
      <c r="B95" s="135">
        <f>'תקציב החברה לפיתוח 2024'!B92</f>
        <v>20011</v>
      </c>
      <c r="C95" s="235" t="str">
        <f>'תקציב החברה לפיתוח 2024'!C92</f>
        <v>גנ"י ומעון יום שיקומי  חנה רובינא (*) עדכון</v>
      </c>
      <c r="D95" s="120">
        <f>'תקציב החברה לפיתוח 2024'!D92</f>
        <v>21500000</v>
      </c>
      <c r="E95" s="120">
        <f>'תקציב החברה לפיתוח 2024'!E92</f>
        <v>18500000</v>
      </c>
      <c r="F95" s="120">
        <f>'תקציב החברה לפיתוח 2024'!F92</f>
        <v>3000000</v>
      </c>
      <c r="G95" s="120">
        <f>'תקציב החברה לפיתוח 2024'!G92</f>
        <v>600000</v>
      </c>
      <c r="H95" s="120">
        <f>'תקציב החברה לפיתוח 2024'!H92</f>
        <v>881319</v>
      </c>
      <c r="I95" s="120">
        <f>'תקציב החברה לפיתוח 2024'!I92</f>
        <v>0</v>
      </c>
      <c r="J95" s="120">
        <f>'תקציב החברה לפיתוח 2024'!J92</f>
        <v>0</v>
      </c>
      <c r="K95" s="120">
        <f>'תקציב החברה לפיתוח 2024'!K92</f>
        <v>0</v>
      </c>
      <c r="L95" s="120">
        <f>'תקציב החברה לפיתוח 2024'!L92</f>
        <v>881319</v>
      </c>
      <c r="M95" s="120">
        <f>'תקציב החברה לפיתוח 2024'!M92</f>
        <v>8681</v>
      </c>
      <c r="N95" s="120">
        <f>'תקציב החברה לפיתוח 2024'!N92</f>
        <v>6110000</v>
      </c>
      <c r="O95" s="120">
        <f>'תקציב החברה לפיתוח 2024'!O92</f>
        <v>14500000</v>
      </c>
      <c r="P95" s="120">
        <f>'תקציב החברה לפיתוח 2024'!P92</f>
        <v>-281319</v>
      </c>
      <c r="Q95" s="120">
        <f>'תקציב החברה לפיתוח 2024'!Q92</f>
        <v>400000</v>
      </c>
      <c r="R95" s="120">
        <f>'תקציב החברה לפיתוח 2024'!R92</f>
        <v>0</v>
      </c>
      <c r="S95" s="120">
        <f>'תקציב החברה לפיתוח 2024'!S92</f>
        <v>400000</v>
      </c>
      <c r="T95" s="120">
        <f>'תקציב החברה לפיתוח 2024'!T92</f>
        <v>110000</v>
      </c>
      <c r="U95" s="120">
        <f>'תקציב החברה לפיתוח 2024'!U92</f>
        <v>6000000</v>
      </c>
      <c r="V95" s="120">
        <f>'תקציב החברה לפיתוח 2024'!V92</f>
        <v>500490</v>
      </c>
      <c r="W95" s="120">
        <f>'תקציב החברה לפיתוח 2024'!W92</f>
        <v>0</v>
      </c>
      <c r="X95" s="120">
        <f>'תקציב החברה לפיתוח 2024'!X92</f>
        <v>0</v>
      </c>
      <c r="Y95" s="120">
        <f>'תקציב החברה לפיתוח 2024'!Y92</f>
        <v>0</v>
      </c>
      <c r="Z95" s="120">
        <f>'תקציב החברה לפיתוח 2024'!Z92</f>
        <v>0</v>
      </c>
      <c r="AA95" s="120">
        <f>'תקציב החברה לפיתוח 2024'!AA92</f>
        <v>5499510</v>
      </c>
      <c r="AB95" s="235" t="str">
        <f>'תקציב החברה לפיתוח 2024'!AB92</f>
        <v xml:space="preserve"> בניה 2 כיתות גנ"י ו3 כיתות  מעון יום שיקומי בחנה רובינא. מימון מ. החינוך, קרן שלם והמוסד לב.לאומי. הצטיידות גם בתב"ר 20044 בחינוך. עדכון שם.</v>
      </c>
      <c r="AC95" s="3">
        <v>810000</v>
      </c>
      <c r="AD95" s="134"/>
      <c r="AE95" s="134"/>
      <c r="AF95" s="134"/>
      <c r="AG95" s="134"/>
      <c r="AH95" s="134"/>
      <c r="AI95" s="134"/>
    </row>
    <row r="96" spans="1:39" s="5" customFormat="1" ht="45" customHeight="1">
      <c r="A96" s="135">
        <f t="shared" si="2"/>
        <v>92</v>
      </c>
      <c r="B96" s="135">
        <f>'תקציב החברה לפיתוח 2024'!B93</f>
        <v>20013</v>
      </c>
      <c r="C96" s="235" t="str">
        <f>'תקציב החברה לפיתוח 2024'!C93</f>
        <v>גנ"י ומעונות יום רח' הזמר העברי מתחם המסילה</v>
      </c>
      <c r="D96" s="120">
        <f>'תקציב החברה לפיתוח 2024'!D93</f>
        <v>1000000</v>
      </c>
      <c r="E96" s="120">
        <f>'תקציב החברה לפיתוח 2024'!E93</f>
        <v>1000000</v>
      </c>
      <c r="F96" s="120">
        <f>'תקציב החברה לפיתוח 2024'!F93</f>
        <v>0</v>
      </c>
      <c r="G96" s="120">
        <f>'תקציב החברה לפיתוח 2024'!G93</f>
        <v>550000</v>
      </c>
      <c r="H96" s="120">
        <f>'תקציב החברה לפיתוח 2024'!H93</f>
        <v>637852</v>
      </c>
      <c r="I96" s="120">
        <f>'תקציב החברה לפיתוח 2024'!I93</f>
        <v>0</v>
      </c>
      <c r="J96" s="120">
        <f>'תקציב החברה לפיתוח 2024'!J93</f>
        <v>0</v>
      </c>
      <c r="K96" s="120">
        <f>'תקציב החברה לפיתוח 2024'!K93</f>
        <v>0</v>
      </c>
      <c r="L96" s="120">
        <f>'תקציב החברה לפיתוח 2024'!L93</f>
        <v>637852</v>
      </c>
      <c r="M96" s="120">
        <f>'תקציב החברה לפיתוח 2024'!M93</f>
        <v>2148</v>
      </c>
      <c r="N96" s="120">
        <f>'תקציב החברה לפיתוח 2024'!N93</f>
        <v>360000</v>
      </c>
      <c r="O96" s="120">
        <f>'תקציב החברה לפיתוח 2024'!O93</f>
        <v>0</v>
      </c>
      <c r="P96" s="120">
        <f>'תקציב החברה לפיתוח 2024'!P93</f>
        <v>-87852</v>
      </c>
      <c r="Q96" s="120">
        <f>'תקציב החברה לפיתוח 2024'!Q93</f>
        <v>450000</v>
      </c>
      <c r="R96" s="120">
        <f>'תקציב החברה לפיתוח 2024'!R93</f>
        <v>0</v>
      </c>
      <c r="S96" s="120">
        <f>'תקציב החברה לפיתוח 2024'!S93</f>
        <v>450000</v>
      </c>
      <c r="T96" s="120">
        <f>'תקציב החברה לפיתוח 2024'!T93</f>
        <v>360000</v>
      </c>
      <c r="U96" s="120">
        <f>'תקציב החברה לפיתוח 2024'!U93</f>
        <v>0</v>
      </c>
      <c r="V96" s="120">
        <f>'תקציב החברה לפיתוח 2024'!V93</f>
        <v>0</v>
      </c>
      <c r="W96" s="120">
        <f>'תקציב החברה לפיתוח 2024'!W93</f>
        <v>0</v>
      </c>
      <c r="X96" s="120">
        <f>'תקציב החברה לפיתוח 2024'!X93</f>
        <v>0</v>
      </c>
      <c r="Y96" s="120">
        <f>'תקציב החברה לפיתוח 2024'!Y93</f>
        <v>0</v>
      </c>
      <c r="Z96" s="120">
        <f>'תקציב החברה לפיתוח 2024'!Z93</f>
        <v>0</v>
      </c>
      <c r="AA96" s="120">
        <f>'תקציב החברה לפיתוח 2024'!AA93</f>
        <v>0</v>
      </c>
      <c r="AB96" s="235" t="str">
        <f>'תקציב החברה לפיתוח 2024'!AB93</f>
        <v>תכנון 4 גנ"י ומעונות יום במתחם המסילה.</v>
      </c>
      <c r="AC96" s="3">
        <v>810000</v>
      </c>
      <c r="AD96" s="134"/>
      <c r="AE96" s="134"/>
      <c r="AF96" s="134"/>
      <c r="AG96" s="134"/>
      <c r="AH96" s="134"/>
      <c r="AI96" s="134"/>
    </row>
    <row r="97" spans="1:39" s="5" customFormat="1" ht="55.2">
      <c r="A97" s="135">
        <f t="shared" si="2"/>
        <v>93</v>
      </c>
      <c r="B97" s="135">
        <f>'תקציב החברה לפיתוח 2024'!B94</f>
        <v>20014</v>
      </c>
      <c r="C97" s="235" t="str">
        <f>'תקציב החברה לפיתוח 2024'!C94</f>
        <v xml:space="preserve">מתחם ספורט משותף במתחם אלתרמן אפולוניה </v>
      </c>
      <c r="D97" s="120">
        <f>'תקציב החברה לפיתוח 2024'!D94</f>
        <v>1500000</v>
      </c>
      <c r="E97" s="120">
        <f>'תקציב החברה לפיתוח 2024'!E94</f>
        <v>800000</v>
      </c>
      <c r="F97" s="120">
        <f>'תקציב החברה לפיתוח 2024'!F94</f>
        <v>700000</v>
      </c>
      <c r="G97" s="120">
        <f>'תקציב החברה לפיתוח 2024'!G94</f>
        <v>300000</v>
      </c>
      <c r="H97" s="120">
        <f>'תקציב החברה לפיתוח 2024'!H94</f>
        <v>300000</v>
      </c>
      <c r="I97" s="120">
        <f>'תקציב החברה לפיתוח 2024'!I94</f>
        <v>0</v>
      </c>
      <c r="J97" s="120">
        <f>'תקציב החברה לפיתוח 2024'!J94</f>
        <v>0</v>
      </c>
      <c r="K97" s="120">
        <f>'תקציב החברה לפיתוח 2024'!K94</f>
        <v>0</v>
      </c>
      <c r="L97" s="120">
        <f>'תקציב החברה לפיתוח 2024'!L94</f>
        <v>300000</v>
      </c>
      <c r="M97" s="120">
        <f>'תקציב החברה לפיתוח 2024'!M94</f>
        <v>0</v>
      </c>
      <c r="N97" s="120">
        <f>'תקציב החברה לפיתוח 2024'!N94</f>
        <v>150000</v>
      </c>
      <c r="O97" s="120">
        <f>'תקציב החברה לפיתוח 2024'!O94</f>
        <v>1050000</v>
      </c>
      <c r="P97" s="120">
        <f>'תקציב החברה לפיתוח 2024'!P94</f>
        <v>0</v>
      </c>
      <c r="Q97" s="120">
        <f>'תקציב החברה לפיתוח 2024'!Q94</f>
        <v>0</v>
      </c>
      <c r="R97" s="120">
        <f>'תקציב החברה לפיתוח 2024'!R94</f>
        <v>0</v>
      </c>
      <c r="S97" s="120">
        <f>'תקציב החברה לפיתוח 2024'!S94</f>
        <v>0</v>
      </c>
      <c r="T97" s="120">
        <f>'תקציב החברה לפיתוח 2024'!T94</f>
        <v>0</v>
      </c>
      <c r="U97" s="120">
        <f>'תקציב החברה לפיתוח 2024'!U94</f>
        <v>150000</v>
      </c>
      <c r="V97" s="120">
        <f>'תקציב החברה לפיתוח 2024'!V94</f>
        <v>150000</v>
      </c>
      <c r="W97" s="120">
        <f>'תקציב החברה לפיתוח 2024'!W94</f>
        <v>0</v>
      </c>
      <c r="X97" s="120">
        <f>'תקציב החברה לפיתוח 2024'!X94</f>
        <v>0</v>
      </c>
      <c r="Y97" s="120">
        <f>'תקציב החברה לפיתוח 2024'!Y94</f>
        <v>0</v>
      </c>
      <c r="Z97" s="120">
        <f>'תקציב החברה לפיתוח 2024'!Z94</f>
        <v>0</v>
      </c>
      <c r="AA97" s="120">
        <f>'תקציב החברה לפיתוח 2024'!AA94</f>
        <v>0</v>
      </c>
      <c r="AB97" s="235" t="str">
        <f>'תקציב החברה לפיתוח 2024'!AB94</f>
        <v>מתחם ספורט משותף: הרחבת הבריכה אולם ומגרש ספורט לתיכון היובל, אולם ספורט לבי״ס נבון ואולם התעמלות מכשירים. תכנון</v>
      </c>
      <c r="AC97" s="3">
        <v>829000</v>
      </c>
      <c r="AD97" s="134"/>
      <c r="AE97" s="134"/>
      <c r="AF97" s="134"/>
      <c r="AG97" s="134"/>
      <c r="AH97" s="134"/>
      <c r="AI97" s="134"/>
    </row>
    <row r="98" spans="1:39" s="5" customFormat="1" ht="45" customHeight="1">
      <c r="A98" s="135">
        <f t="shared" si="2"/>
        <v>94</v>
      </c>
      <c r="B98" s="135">
        <f>'תקציב החברה לפיתוח 2024'!B95</f>
        <v>20015</v>
      </c>
      <c r="C98" s="235" t="str">
        <f>'תקציב החברה לפיתוח 2024'!C95</f>
        <v>מועדון קרמבו ים</v>
      </c>
      <c r="D98" s="120">
        <f>'תקציב החברה לפיתוח 2024'!D95</f>
        <v>2139077</v>
      </c>
      <c r="E98" s="120">
        <f>'תקציב החברה לפיתוח 2024'!E95</f>
        <v>2500000</v>
      </c>
      <c r="F98" s="120">
        <f>'תקציב החברה לפיתוח 2024'!F95</f>
        <v>-360923</v>
      </c>
      <c r="G98" s="120">
        <f>'תקציב החברה לפיתוח 2024'!G95</f>
        <v>2100000</v>
      </c>
      <c r="H98" s="120">
        <f>'תקציב החברה לפיתוח 2024'!H95</f>
        <v>2139077</v>
      </c>
      <c r="I98" s="120">
        <f>'תקציב החברה לפיתוח 2024'!I95</f>
        <v>0</v>
      </c>
      <c r="J98" s="120">
        <f>'תקציב החברה לפיתוח 2024'!J95</f>
        <v>0</v>
      </c>
      <c r="K98" s="120">
        <f>'תקציב החברה לפיתוח 2024'!K95</f>
        <v>0</v>
      </c>
      <c r="L98" s="120">
        <f>'תקציב החברה לפיתוח 2024'!L95</f>
        <v>2139077</v>
      </c>
      <c r="M98" s="120">
        <f>'תקציב החברה לפיתוח 2024'!M95</f>
        <v>0</v>
      </c>
      <c r="N98" s="120">
        <f>'תקציב החברה לפיתוח 2024'!N95</f>
        <v>0</v>
      </c>
      <c r="O98" s="120">
        <f>'תקציב החברה לפיתוח 2024'!O95</f>
        <v>0</v>
      </c>
      <c r="P98" s="120">
        <f>'תקציב החברה לפיתוח 2024'!P95</f>
        <v>-39077</v>
      </c>
      <c r="Q98" s="120">
        <f>'תקציב החברה לפיתוח 2024'!Q95</f>
        <v>400000</v>
      </c>
      <c r="R98" s="120">
        <f>'תקציב החברה לפיתוח 2024'!R95</f>
        <v>0</v>
      </c>
      <c r="S98" s="120">
        <f>'תקציב החברה לפיתוח 2024'!S95</f>
        <v>400000</v>
      </c>
      <c r="T98" s="120">
        <f>'תקציב החברה לפיתוח 2024'!T95</f>
        <v>360923</v>
      </c>
      <c r="U98" s="120">
        <f>'תקציב החברה לפיתוח 2024'!U95</f>
        <v>-360923</v>
      </c>
      <c r="V98" s="120">
        <f>'תקציב החברה לפיתוח 2024'!V95</f>
        <v>-360923</v>
      </c>
      <c r="W98" s="120">
        <f>'תקציב החברה לפיתוח 2024'!W95</f>
        <v>0</v>
      </c>
      <c r="X98" s="120">
        <f>'תקציב החברה לפיתוח 2024'!X95</f>
        <v>0</v>
      </c>
      <c r="Y98" s="120">
        <f>'תקציב החברה לפיתוח 2024'!Y95</f>
        <v>0</v>
      </c>
      <c r="Z98" s="120">
        <f>'תקציב החברה לפיתוח 2024'!Z95</f>
        <v>0</v>
      </c>
      <c r="AA98" s="120">
        <f>'תקציב החברה לפיתוח 2024'!AA95</f>
        <v>0</v>
      </c>
      <c r="AB98" s="235" t="str">
        <f>'תקציב החברה לפיתוח 2024'!AB95</f>
        <v>הריסה ובניה  חדשה של מועדון צופי ים. הפרויקט הסתיים סגירת תב"ר.</v>
      </c>
      <c r="AC98" s="3">
        <v>829000</v>
      </c>
      <c r="AD98" s="134"/>
      <c r="AE98" s="134"/>
      <c r="AF98" s="134"/>
      <c r="AG98" s="134"/>
      <c r="AH98" s="134"/>
      <c r="AI98" s="134"/>
    </row>
    <row r="99" spans="1:39" s="5" customFormat="1" ht="45" customHeight="1">
      <c r="A99" s="135">
        <f t="shared" si="2"/>
        <v>95</v>
      </c>
      <c r="B99" s="135">
        <f>'תקציב החברה לפיתוח 2024'!B96</f>
        <v>20016</v>
      </c>
      <c r="C99" s="235" t="str">
        <f>'תקציב החברה לפיתוח 2024'!C96</f>
        <v>מרכז תרבות בנושא האקלים ברחוב בן גוריון</v>
      </c>
      <c r="D99" s="120">
        <f>'תקציב החברה לפיתוח 2024'!D96</f>
        <v>2500000</v>
      </c>
      <c r="E99" s="120">
        <f>'תקציב החברה לפיתוח 2024'!E96</f>
        <v>1000000</v>
      </c>
      <c r="F99" s="120">
        <f>'תקציב החברה לפיתוח 2024'!F96</f>
        <v>1500000</v>
      </c>
      <c r="G99" s="120">
        <f>'תקציב החברה לפיתוח 2024'!G96</f>
        <v>700000</v>
      </c>
      <c r="H99" s="120">
        <f>'תקציב החברה לפיתוח 2024'!H96</f>
        <v>690530</v>
      </c>
      <c r="I99" s="120">
        <f>'תקציב החברה לפיתוח 2024'!I96</f>
        <v>0</v>
      </c>
      <c r="J99" s="120">
        <f>'תקציב החברה לפיתוח 2024'!J96</f>
        <v>0</v>
      </c>
      <c r="K99" s="120">
        <f>'תקציב החברה לפיתוח 2024'!K96</f>
        <v>0</v>
      </c>
      <c r="L99" s="120">
        <f>'תקציב החברה לפיתוח 2024'!L96</f>
        <v>690530</v>
      </c>
      <c r="M99" s="120">
        <f>'תקציב החברה לפיתוח 2024'!M96</f>
        <v>4470</v>
      </c>
      <c r="N99" s="120">
        <f>'תקציב החברה לפיתוח 2024'!N96</f>
        <v>1005000</v>
      </c>
      <c r="O99" s="120">
        <f>'תקציב החברה לפיתוח 2024'!O96</f>
        <v>800000</v>
      </c>
      <c r="P99" s="120">
        <f>'תקציב החברה לפיתוח 2024'!P96</f>
        <v>9470</v>
      </c>
      <c r="Q99" s="120">
        <f>'תקציב החברה לפיתוח 2024'!Q96</f>
        <v>300000</v>
      </c>
      <c r="R99" s="120">
        <f>'תקציב החברה לפיתוח 2024'!R96</f>
        <v>0</v>
      </c>
      <c r="S99" s="120">
        <f>'תקציב החברה לפיתוח 2024'!S96</f>
        <v>300000</v>
      </c>
      <c r="T99" s="120">
        <f>'תקציב החברה לפיתוח 2024'!T96</f>
        <v>305000</v>
      </c>
      <c r="U99" s="120">
        <f>'תקציב החברה לפיתוח 2024'!U96</f>
        <v>700000</v>
      </c>
      <c r="V99" s="120">
        <f>'תקציב החברה לפיתוח 2024'!V96</f>
        <v>700000</v>
      </c>
      <c r="W99" s="120">
        <f>'תקציב החברה לפיתוח 2024'!W96</f>
        <v>0</v>
      </c>
      <c r="X99" s="120">
        <f>'תקציב החברה לפיתוח 2024'!X96</f>
        <v>0</v>
      </c>
      <c r="Y99" s="120">
        <f>'תקציב החברה לפיתוח 2024'!Y96</f>
        <v>0</v>
      </c>
      <c r="Z99" s="120">
        <f>'תקציב החברה לפיתוח 2024'!Z96</f>
        <v>0</v>
      </c>
      <c r="AA99" s="120">
        <f>'תקציב החברה לפיתוח 2024'!AA96</f>
        <v>0</v>
      </c>
      <c r="AB99" s="235" t="str">
        <f>'תקציב החברה לפיתוח 2024'!AB96</f>
        <v xml:space="preserve">הקמת מרכז תרבות עם קונספט אקלימי חדשני בו יהיו גם פעילויות חינוכית, פיתוח עסקי, חברתי ותיירותי בתחום. </v>
      </c>
      <c r="AC99" s="3">
        <v>826000</v>
      </c>
      <c r="AD99" s="134"/>
      <c r="AE99" s="134"/>
      <c r="AF99" s="134"/>
      <c r="AG99" s="134"/>
      <c r="AH99" s="134"/>
      <c r="AI99" s="134"/>
    </row>
    <row r="100" spans="1:39" s="5" customFormat="1" ht="45" customHeight="1">
      <c r="A100" s="135">
        <f t="shared" si="2"/>
        <v>96</v>
      </c>
      <c r="B100" s="135">
        <f>'תקציב החברה לפיתוח 2024'!B97</f>
        <v>20017</v>
      </c>
      <c r="C100" s="235" t="str">
        <f>'תקציב החברה לפיתוח 2024'!C97</f>
        <v>ביכנ"ס  הרצליה הירוקה</v>
      </c>
      <c r="D100" s="120">
        <f>'תקציב החברה לפיתוח 2024'!D97</f>
        <v>10000000</v>
      </c>
      <c r="E100" s="120">
        <f>'תקציב החברה לפיתוח 2024'!E97</f>
        <v>10000000</v>
      </c>
      <c r="F100" s="120">
        <f>'תקציב החברה לפיתוח 2024'!F97</f>
        <v>0</v>
      </c>
      <c r="G100" s="120">
        <f>'תקציב החברה לפיתוח 2024'!G97</f>
        <v>350000</v>
      </c>
      <c r="H100" s="120">
        <f>'תקציב החברה לפיתוח 2024'!H97</f>
        <v>303035</v>
      </c>
      <c r="I100" s="120">
        <f>'תקציב החברה לפיתוח 2024'!I97</f>
        <v>0</v>
      </c>
      <c r="J100" s="120">
        <f>'תקציב החברה לפיתוח 2024'!J97</f>
        <v>0</v>
      </c>
      <c r="K100" s="120">
        <f>'תקציב החברה לפיתוח 2024'!K97</f>
        <v>0</v>
      </c>
      <c r="L100" s="120">
        <f>'תקציב החברה לפיתוח 2024'!L97</f>
        <v>303035</v>
      </c>
      <c r="M100" s="120">
        <f>'תקציב החברה לפיתוח 2024'!M97</f>
        <v>1965</v>
      </c>
      <c r="N100" s="120">
        <f>'תקציב החברה לפיתוח 2024'!N97</f>
        <v>2545000</v>
      </c>
      <c r="O100" s="120">
        <f>'תקציב החברה לפיתוח 2024'!O97</f>
        <v>7150000</v>
      </c>
      <c r="P100" s="120">
        <f>'תקציב החברה לפיתוח 2024'!P97</f>
        <v>46965</v>
      </c>
      <c r="Q100" s="120">
        <f>'תקציב החברה לפיתוח 2024'!Q97</f>
        <v>2000000</v>
      </c>
      <c r="R100" s="120">
        <f>'תקציב החברה לפיתוח 2024'!R97</f>
        <v>0</v>
      </c>
      <c r="S100" s="120">
        <f>'תקציב החברה לפיתוח 2024'!S97</f>
        <v>2000000</v>
      </c>
      <c r="T100" s="120">
        <f>'תקציב החברה לפיתוח 2024'!T97</f>
        <v>2045000</v>
      </c>
      <c r="U100" s="120">
        <f>'תקציב החברה לפיתוח 2024'!U97</f>
        <v>500000</v>
      </c>
      <c r="V100" s="120">
        <f>'תקציב החברה לפיתוח 2024'!V97</f>
        <v>500000</v>
      </c>
      <c r="W100" s="120">
        <f>'תקציב החברה לפיתוח 2024'!W97</f>
        <v>0</v>
      </c>
      <c r="X100" s="120">
        <f>'תקציב החברה לפיתוח 2024'!X97</f>
        <v>0</v>
      </c>
      <c r="Y100" s="120">
        <f>'תקציב החברה לפיתוח 2024'!Y97</f>
        <v>0</v>
      </c>
      <c r="Z100" s="120">
        <f>'תקציב החברה לפיתוח 2024'!Z97</f>
        <v>0</v>
      </c>
      <c r="AA100" s="120">
        <f>'תקציב החברה לפיתוח 2024'!AA97</f>
        <v>0</v>
      </c>
      <c r="AB100" s="235" t="str">
        <f>'תקציב החברה לפיתוח 2024'!AB97</f>
        <v>תכנון וביצוע ביכנ"ס גוש 6526 חלקה 46 בדויד השמעוני בהרצליה הירוקה.</v>
      </c>
      <c r="AC100" s="3">
        <v>850000</v>
      </c>
      <c r="AD100" s="134"/>
      <c r="AE100" s="134"/>
      <c r="AF100" s="134"/>
      <c r="AG100" s="134"/>
      <c r="AH100" s="134"/>
      <c r="AI100" s="134"/>
    </row>
    <row r="101" spans="1:39" s="5" customFormat="1" ht="45" customHeight="1">
      <c r="A101" s="135">
        <f t="shared" si="2"/>
        <v>97</v>
      </c>
      <c r="B101" s="135">
        <f>'תקציב החברה לפיתוח 2024'!B98</f>
        <v>20018</v>
      </c>
      <c r="C101" s="235" t="str">
        <f>'תקציב החברה לפיתוח 2024'!C98</f>
        <v>מוזיאון הרצליה - הרחבה ושיפוץ</v>
      </c>
      <c r="D101" s="120">
        <f>'תקציב החברה לפיתוח 2024'!D98</f>
        <v>45000000</v>
      </c>
      <c r="E101" s="120">
        <f>'תקציב החברה לפיתוח 2024'!E98</f>
        <v>1000000</v>
      </c>
      <c r="F101" s="120">
        <f>'תקציב החברה לפיתוח 2024'!F98</f>
        <v>44000000</v>
      </c>
      <c r="G101" s="120">
        <f>'תקציב החברה לפיתוח 2024'!G98</f>
        <v>1000000</v>
      </c>
      <c r="H101" s="120">
        <f>'תקציב החברה לפיתוח 2024'!H98</f>
        <v>956644</v>
      </c>
      <c r="I101" s="120">
        <f>'תקציב החברה לפיתוח 2024'!I98</f>
        <v>0</v>
      </c>
      <c r="J101" s="120">
        <f>'תקציב החברה לפיתוח 2024'!J98</f>
        <v>0</v>
      </c>
      <c r="K101" s="120">
        <f>'תקציב החברה לפיתוח 2024'!K98</f>
        <v>0</v>
      </c>
      <c r="L101" s="120">
        <f>'תקציב החברה לפיתוח 2024'!L98</f>
        <v>956644</v>
      </c>
      <c r="M101" s="120">
        <f>'תקציב החברה לפיתוח 2024'!M98</f>
        <v>3356</v>
      </c>
      <c r="N101" s="120">
        <f>'תקציב החברה לפיתוח 2024'!N98</f>
        <v>11540000</v>
      </c>
      <c r="O101" s="120">
        <f>'תקציב החברה לפיתוח 2024'!O98</f>
        <v>32500000</v>
      </c>
      <c r="P101" s="120">
        <f>'תקציב החברה לפיתוח 2024'!P98</f>
        <v>43356</v>
      </c>
      <c r="Q101" s="120">
        <f>'תקציב החברה לפיתוח 2024'!Q98</f>
        <v>0</v>
      </c>
      <c r="R101" s="120">
        <f>'תקציב החברה לפיתוח 2024'!R98</f>
        <v>0</v>
      </c>
      <c r="S101" s="120">
        <f>'תקציב החברה לפיתוח 2024'!S98</f>
        <v>0</v>
      </c>
      <c r="T101" s="120">
        <f>'תקציב החברה לפיתוח 2024'!T98</f>
        <v>40000</v>
      </c>
      <c r="U101" s="120">
        <f>'תקציב החברה לפיתוח 2024'!U98</f>
        <v>11500000</v>
      </c>
      <c r="V101" s="120">
        <f>'תקציב החברה לפיתוח 2024'!V98</f>
        <v>0</v>
      </c>
      <c r="W101" s="120">
        <f>'תקציב החברה לפיתוח 2024'!W98</f>
        <v>0</v>
      </c>
      <c r="X101" s="120">
        <f>'תקציב החברה לפיתוח 2024'!X98</f>
        <v>0</v>
      </c>
      <c r="Y101" s="120">
        <f>'תקציב החברה לפיתוח 2024'!Y98</f>
        <v>0</v>
      </c>
      <c r="Z101" s="120">
        <f>'תקציב החברה לפיתוח 2024'!Z98</f>
        <v>0</v>
      </c>
      <c r="AA101" s="120">
        <f>'תקציב החברה לפיתוח 2024'!AA98</f>
        <v>11500000</v>
      </c>
      <c r="AB101" s="235" t="str">
        <f>'תקציב החברה לפיתוח 2024'!AB98</f>
        <v>תוספת קומה כ - 300 מ"ר , עבודות שיפוץ ופיתוח רחבת המוזיאון. מימון מ. התרבות ומ. הפיס.</v>
      </c>
      <c r="AC101" s="3">
        <v>826000</v>
      </c>
      <c r="AD101" s="134"/>
      <c r="AE101" s="134"/>
      <c r="AF101" s="134"/>
      <c r="AG101" s="134"/>
      <c r="AH101" s="134"/>
      <c r="AI101" s="134"/>
    </row>
    <row r="102" spans="1:39" s="157" customFormat="1" ht="45" customHeight="1">
      <c r="A102" s="135">
        <f t="shared" si="2"/>
        <v>98</v>
      </c>
      <c r="B102" s="135">
        <f>'תקציב החברה לפיתוח 2024'!B99</f>
        <v>20024</v>
      </c>
      <c r="C102" s="235" t="str">
        <f>'תקציב החברה לפיתוח 2024'!C99</f>
        <v>הקמת תחנות הצלה חוף אכדיה צפון וחוף סידני עלי</v>
      </c>
      <c r="D102" s="120">
        <f>'תקציב החברה לפיתוח 2024'!D99</f>
        <v>817792</v>
      </c>
      <c r="E102" s="120">
        <f>'תקציב החברה לפיתוח 2024'!E99</f>
        <v>880000</v>
      </c>
      <c r="F102" s="120">
        <f>'תקציב החברה לפיתוח 2024'!F99</f>
        <v>-62208</v>
      </c>
      <c r="G102" s="120">
        <f>'תקציב החברה לפיתוח 2024'!G99</f>
        <v>880000</v>
      </c>
      <c r="H102" s="120">
        <f>'תקציב החברה לפיתוח 2024'!H99</f>
        <v>817792</v>
      </c>
      <c r="I102" s="120">
        <f>'תקציב החברה לפיתוח 2024'!I99</f>
        <v>0</v>
      </c>
      <c r="J102" s="120">
        <f>'תקציב החברה לפיתוח 2024'!J99</f>
        <v>0</v>
      </c>
      <c r="K102" s="120">
        <f>'תקציב החברה לפיתוח 2024'!K99</f>
        <v>0</v>
      </c>
      <c r="L102" s="120">
        <f>'תקציב החברה לפיתוח 2024'!L99</f>
        <v>817792</v>
      </c>
      <c r="M102" s="120">
        <f>'תקציב החברה לפיתוח 2024'!M99</f>
        <v>0</v>
      </c>
      <c r="N102" s="120">
        <f>'תקציב החברה לפיתוח 2024'!N99</f>
        <v>0</v>
      </c>
      <c r="O102" s="120">
        <f>'תקציב החברה לפיתוח 2024'!O99</f>
        <v>0</v>
      </c>
      <c r="P102" s="120">
        <f>'תקציב החברה לפיתוח 2024'!P99</f>
        <v>62208</v>
      </c>
      <c r="Q102" s="120">
        <f>'תקציב החברה לפיתוח 2024'!Q99</f>
        <v>0</v>
      </c>
      <c r="R102" s="120">
        <f>'תקציב החברה לפיתוח 2024'!R99</f>
        <v>0</v>
      </c>
      <c r="S102" s="120">
        <f>'תקציב החברה לפיתוח 2024'!S99</f>
        <v>0</v>
      </c>
      <c r="T102" s="120">
        <f>'תקציב החברה לפיתוח 2024'!T99</f>
        <v>62208</v>
      </c>
      <c r="U102" s="120">
        <f>'תקציב החברה לפיתוח 2024'!U99</f>
        <v>-62208</v>
      </c>
      <c r="V102" s="120">
        <f>'תקציב החברה לפיתוח 2024'!V99</f>
        <v>0</v>
      </c>
      <c r="W102" s="120">
        <f>'תקציב החברה לפיתוח 2024'!W99</f>
        <v>-62208</v>
      </c>
      <c r="X102" s="120">
        <f>'תקציב החברה לפיתוח 2024'!X99</f>
        <v>0</v>
      </c>
      <c r="Y102" s="120">
        <f>'תקציב החברה לפיתוח 2024'!Y99</f>
        <v>0</v>
      </c>
      <c r="Z102" s="120">
        <f>'תקציב החברה לפיתוח 2024'!Z99</f>
        <v>0</v>
      </c>
      <c r="AA102" s="120">
        <f>'תקציב החברה לפיתוח 2024'!AA99</f>
        <v>0</v>
      </c>
      <c r="AB102" s="235" t="str">
        <f>'תקציב החברה לפיתוח 2024'!AB99</f>
        <v>הקמת תחנות הצלה חדשות בחוף אכדיה צפון ובחוף סדני עלי. הפרויקט הסתיים. סגירת תב"ר.</v>
      </c>
      <c r="AC102" s="3">
        <v>747000</v>
      </c>
      <c r="AD102" s="134"/>
      <c r="AE102" s="134"/>
      <c r="AF102" s="134"/>
      <c r="AG102" s="134"/>
      <c r="AH102" s="134"/>
      <c r="AI102" s="134"/>
    </row>
    <row r="103" spans="1:39" s="157" customFormat="1" ht="69">
      <c r="A103" s="135">
        <f t="shared" si="2"/>
        <v>99</v>
      </c>
      <c r="B103" s="135">
        <f>'תקציב החברה לפיתוח 2024'!B100</f>
        <v>20028</v>
      </c>
      <c r="C103" s="235" t="str">
        <f>'תקציב החברה לפיתוח 2024'!C100</f>
        <v>פרוייקט התאמת חורשות וחצרות גנ"י פרויקט EACH</v>
      </c>
      <c r="D103" s="120">
        <f>'תקציב החברה לפיתוח 2024'!D100</f>
        <v>598616</v>
      </c>
      <c r="E103" s="120">
        <f>'תקציב החברה לפיתוח 2024'!E100</f>
        <v>620000</v>
      </c>
      <c r="F103" s="120">
        <f>'תקציב החברה לפיתוח 2024'!F100</f>
        <v>-21384</v>
      </c>
      <c r="G103" s="120">
        <f>'תקציב החברה לפיתוח 2024'!G100</f>
        <v>620000</v>
      </c>
      <c r="H103" s="120">
        <f>'תקציב החברה לפיתוח 2024'!H100</f>
        <v>598616</v>
      </c>
      <c r="I103" s="120">
        <f>'תקציב החברה לפיתוח 2024'!I100</f>
        <v>0</v>
      </c>
      <c r="J103" s="120">
        <f>'תקציב החברה לפיתוח 2024'!J100</f>
        <v>0</v>
      </c>
      <c r="K103" s="120">
        <f>'תקציב החברה לפיתוח 2024'!K100</f>
        <v>0</v>
      </c>
      <c r="L103" s="120">
        <f>'תקציב החברה לפיתוח 2024'!L100</f>
        <v>598616</v>
      </c>
      <c r="M103" s="120">
        <f>'תקציב החברה לפיתוח 2024'!M100</f>
        <v>0</v>
      </c>
      <c r="N103" s="120">
        <f>'תקציב החברה לפיתוח 2024'!N100</f>
        <v>0</v>
      </c>
      <c r="O103" s="120">
        <f>'תקציב החברה לפיתוח 2024'!O100</f>
        <v>0</v>
      </c>
      <c r="P103" s="120">
        <f>'תקציב החברה לפיתוח 2024'!P100</f>
        <v>21384</v>
      </c>
      <c r="Q103" s="120">
        <f>'תקציב החברה לפיתוח 2024'!Q100</f>
        <v>0</v>
      </c>
      <c r="R103" s="120">
        <f>'תקציב החברה לפיתוח 2024'!R100</f>
        <v>0</v>
      </c>
      <c r="S103" s="120">
        <f>'תקציב החברה לפיתוח 2024'!S100</f>
        <v>0</v>
      </c>
      <c r="T103" s="120">
        <f>'תקציב החברה לפיתוח 2024'!T100</f>
        <v>21384</v>
      </c>
      <c r="U103" s="120">
        <f>'תקציב החברה לפיתוח 2024'!U100</f>
        <v>-21384</v>
      </c>
      <c r="V103" s="120">
        <f>'תקציב החברה לפיתוח 2024'!V100</f>
        <v>0</v>
      </c>
      <c r="W103" s="120">
        <f>'תקציב החברה לפיתוח 2024'!W100</f>
        <v>-21384</v>
      </c>
      <c r="X103" s="120">
        <f>'תקציב החברה לפיתוח 2024'!X100</f>
        <v>0</v>
      </c>
      <c r="Y103" s="120">
        <f>'תקציב החברה לפיתוח 2024'!Y100</f>
        <v>0</v>
      </c>
      <c r="Z103" s="120">
        <f>'תקציב החברה לפיתוח 2024'!Z100</f>
        <v>0</v>
      </c>
      <c r="AA103" s="120">
        <f>'תקציב החברה לפיתוח 2024'!AA100</f>
        <v>0</v>
      </c>
      <c r="AB103" s="235" t="str">
        <f>'תקציב החברה לפיתוח 2024'!AB100</f>
        <v>פרוייקט חינוכי של גנ"י שהוסמכו להיות "גנים ירוקים" .שילוב למידה בטבע/חורשות מס' ימים בשבוע. עבו' התאמת החורשות לשהיית ילדים. הפרויקט הסתיים. סגירת תב"ר.</v>
      </c>
      <c r="AC103" s="3"/>
      <c r="AD103" s="134"/>
      <c r="AE103" s="134"/>
      <c r="AF103" s="134"/>
      <c r="AG103" s="134"/>
      <c r="AH103" s="134"/>
      <c r="AI103" s="134"/>
    </row>
    <row r="104" spans="1:39" s="5" customFormat="1" ht="69">
      <c r="A104" s="135">
        <f t="shared" si="2"/>
        <v>100</v>
      </c>
      <c r="B104" s="135">
        <f>'תקציב החברה לפיתוח 2024'!B101</f>
        <v>20063</v>
      </c>
      <c r="C104" s="235" t="str">
        <f>'תקציב החברה לפיתוח 2024'!C101</f>
        <v>ביכנ"ס ע"ש הרב שלמה קוממי זצ"ל ומרכז לטיפול בגיל הרך מגרש 301 גליל ים</v>
      </c>
      <c r="D104" s="120">
        <f>'תקציב החברה לפיתוח 2024'!D101</f>
        <v>1750000</v>
      </c>
      <c r="E104" s="120">
        <f>'תקציב החברה לפיתוח 2024'!E101</f>
        <v>1000000</v>
      </c>
      <c r="F104" s="120">
        <f>'תקציב החברה לפיתוח 2024'!F101</f>
        <v>750000</v>
      </c>
      <c r="G104" s="120">
        <f>'תקציב החברה לפיתוח 2024'!G101</f>
        <v>150000</v>
      </c>
      <c r="H104" s="120">
        <f>'תקציב החברה לפיתוח 2024'!H101</f>
        <v>379788</v>
      </c>
      <c r="I104" s="120">
        <f>'תקציב החברה לפיתוח 2024'!I101</f>
        <v>0</v>
      </c>
      <c r="J104" s="120">
        <f>'תקציב החברה לפיתוח 2024'!J101</f>
        <v>0</v>
      </c>
      <c r="K104" s="120">
        <f>'תקציב החברה לפיתוח 2024'!K101</f>
        <v>0</v>
      </c>
      <c r="L104" s="120">
        <f>'תקציב החברה לפיתוח 2024'!L101</f>
        <v>379788</v>
      </c>
      <c r="M104" s="120">
        <f>'תקציב החברה לפיתוח 2024'!M101</f>
        <v>212</v>
      </c>
      <c r="N104" s="120">
        <f>'תקציב החברה לפיתוח 2024'!N101</f>
        <v>870000</v>
      </c>
      <c r="O104" s="120">
        <f>'תקציב החברה לפיתוח 2024'!O101</f>
        <v>500000</v>
      </c>
      <c r="P104" s="120">
        <f>'תקציב החברה לפיתוח 2024'!P101</f>
        <v>-229788</v>
      </c>
      <c r="Q104" s="120">
        <f>'תקציב החברה לפיתוח 2024'!Q101</f>
        <v>350000</v>
      </c>
      <c r="R104" s="120">
        <f>'תקציב החברה לפיתוח 2024'!R101</f>
        <v>0</v>
      </c>
      <c r="S104" s="120">
        <f>'תקציב החברה לפיתוח 2024'!S101</f>
        <v>350000</v>
      </c>
      <c r="T104" s="120">
        <f>'תקציב החברה לפיתוח 2024'!T101</f>
        <v>120000</v>
      </c>
      <c r="U104" s="120">
        <f>'תקציב החברה לפיתוח 2024'!U101</f>
        <v>750000</v>
      </c>
      <c r="V104" s="120">
        <f>'תקציב החברה לפיתוח 2024'!V101</f>
        <v>750000</v>
      </c>
      <c r="W104" s="120">
        <f>'תקציב החברה לפיתוח 2024'!W101</f>
        <v>0</v>
      </c>
      <c r="X104" s="120">
        <f>'תקציב החברה לפיתוח 2024'!X101</f>
        <v>0</v>
      </c>
      <c r="Y104" s="120">
        <f>'תקציב החברה לפיתוח 2024'!Y101</f>
        <v>0</v>
      </c>
      <c r="Z104" s="120">
        <f>'תקציב החברה לפיתוח 2024'!Z101</f>
        <v>0</v>
      </c>
      <c r="AA104" s="120">
        <f>'תקציב החברה לפיתוח 2024'!AA101</f>
        <v>0</v>
      </c>
      <c r="AB104" s="235" t="str">
        <f>'תקציב החברה לפיתוח 2024'!AB101</f>
        <v>ביכנ"ס ומרכז טיפול לגיל הרך מגרש 301.</v>
      </c>
      <c r="AC104" s="3">
        <v>850000</v>
      </c>
      <c r="AD104" s="134"/>
      <c r="AE104" s="134"/>
      <c r="AF104" s="134"/>
      <c r="AG104" s="134"/>
      <c r="AH104" s="134"/>
      <c r="AI104" s="134"/>
    </row>
    <row r="105" spans="1:39" s="5" customFormat="1" ht="45" customHeight="1">
      <c r="A105" s="135">
        <f t="shared" si="2"/>
        <v>101</v>
      </c>
      <c r="B105" s="135">
        <f>'תקציב החברה לפיתוח 2024'!B110</f>
        <v>20098</v>
      </c>
      <c r="C105" s="235" t="str">
        <f>'תקציב החברה לפיתוח 2024'!C110</f>
        <v>פיתוח רחבת בניין העירייה שער העיר</v>
      </c>
      <c r="D105" s="120">
        <f>'תקציב החברה לפיתוח 2024'!D110</f>
        <v>500000</v>
      </c>
      <c r="E105" s="120">
        <f>'תקציב החברה לפיתוח 2024'!E110</f>
        <v>250000</v>
      </c>
      <c r="F105" s="120">
        <f>'תקציב החברה לפיתוח 2024'!F110</f>
        <v>250000</v>
      </c>
      <c r="G105" s="120">
        <f>'תקציב החברה לפיתוח 2024'!G110</f>
        <v>250000</v>
      </c>
      <c r="H105" s="120">
        <f>'תקציב החברה לפיתוח 2024'!H110</f>
        <v>24336</v>
      </c>
      <c r="I105" s="120">
        <f>'תקציב החברה לפיתוח 2024'!I110</f>
        <v>0</v>
      </c>
      <c r="J105" s="120">
        <f>'תקציב החברה לפיתוח 2024'!J110</f>
        <v>0</v>
      </c>
      <c r="K105" s="120">
        <f>'תקציב החברה לפיתוח 2024'!K110</f>
        <v>0</v>
      </c>
      <c r="L105" s="120">
        <f>'תקציב החברה לפיתוח 2024'!L110</f>
        <v>24336</v>
      </c>
      <c r="M105" s="120">
        <f>'תקציב החברה לפיתוח 2024'!M110</f>
        <v>664</v>
      </c>
      <c r="N105" s="120">
        <f>'תקציב החברה לפיתוח 2024'!N110</f>
        <v>225000</v>
      </c>
      <c r="O105" s="120">
        <f>'תקציב החברה לפיתוח 2024'!O110</f>
        <v>250000</v>
      </c>
      <c r="P105" s="120">
        <f>'תקציב החברה לפיתוח 2024'!P110</f>
        <v>225664</v>
      </c>
      <c r="Q105" s="120">
        <f>'תקציב החברה לפיתוח 2024'!Q110</f>
        <v>0</v>
      </c>
      <c r="R105" s="120">
        <f>'תקציב החברה לפיתוח 2024'!R110</f>
        <v>0</v>
      </c>
      <c r="S105" s="120">
        <f>'תקציב החברה לפיתוח 2024'!S110</f>
        <v>0</v>
      </c>
      <c r="T105" s="120">
        <f>'תקציב החברה לפיתוח 2024'!T110</f>
        <v>225000</v>
      </c>
      <c r="U105" s="120">
        <f>'תקציב החברה לפיתוח 2024'!U110</f>
        <v>0</v>
      </c>
      <c r="V105" s="120">
        <f>'תקציב החברה לפיתוח 2024'!V110</f>
        <v>0</v>
      </c>
      <c r="W105" s="120">
        <f>'תקציב החברה לפיתוח 2024'!W110</f>
        <v>0</v>
      </c>
      <c r="X105" s="120">
        <f>'תקציב החברה לפיתוח 2024'!X110</f>
        <v>0</v>
      </c>
      <c r="Y105" s="120">
        <f>'תקציב החברה לפיתוח 2024'!Y110</f>
        <v>0</v>
      </c>
      <c r="Z105" s="120">
        <f>'תקציב החברה לפיתוח 2024'!Z110</f>
        <v>0</v>
      </c>
      <c r="AA105" s="120">
        <f>'תקציב החברה לפיתוח 2024'!AA110</f>
        <v>0</v>
      </c>
      <c r="AB105" s="235" t="str">
        <f>'תקציב החברה לפיתוח 2024'!AB110</f>
        <v>תכנון נופי ראשוני למתחם רחבת בניין העיריה.</v>
      </c>
      <c r="AC105" s="3">
        <v>732000</v>
      </c>
      <c r="AD105" s="134"/>
      <c r="AE105" s="134"/>
      <c r="AF105" s="134"/>
      <c r="AG105" s="134"/>
      <c r="AH105" s="272"/>
      <c r="AI105" s="272"/>
      <c r="AJ105" s="272"/>
      <c r="AK105" s="18"/>
      <c r="AL105" s="18"/>
      <c r="AM105" s="18"/>
    </row>
    <row r="106" spans="1:39" s="223" customFormat="1" ht="45" customHeight="1">
      <c r="A106" s="137"/>
      <c r="B106" s="222"/>
      <c r="C106" s="137" t="s">
        <v>167</v>
      </c>
      <c r="D106" s="138" t="e">
        <f t="shared" ref="D106:AA106" si="3">SUM(D5:D105)</f>
        <v>#REF!</v>
      </c>
      <c r="E106" s="138" t="e">
        <f t="shared" si="3"/>
        <v>#REF!</v>
      </c>
      <c r="F106" s="138" t="e">
        <f t="shared" si="3"/>
        <v>#REF!</v>
      </c>
      <c r="G106" s="138" t="e">
        <f t="shared" si="3"/>
        <v>#REF!</v>
      </c>
      <c r="H106" s="138" t="e">
        <f t="shared" si="3"/>
        <v>#REF!</v>
      </c>
      <c r="I106" s="138" t="e">
        <f t="shared" si="3"/>
        <v>#REF!</v>
      </c>
      <c r="J106" s="138" t="e">
        <f t="shared" si="3"/>
        <v>#REF!</v>
      </c>
      <c r="K106" s="138" t="e">
        <f t="shared" si="3"/>
        <v>#REF!</v>
      </c>
      <c r="L106" s="138" t="e">
        <f t="shared" si="3"/>
        <v>#REF!</v>
      </c>
      <c r="M106" s="138" t="e">
        <f t="shared" si="3"/>
        <v>#REF!</v>
      </c>
      <c r="N106" s="138" t="e">
        <f t="shared" si="3"/>
        <v>#REF!</v>
      </c>
      <c r="O106" s="138" t="e">
        <f t="shared" si="3"/>
        <v>#REF!</v>
      </c>
      <c r="P106" s="138" t="e">
        <f t="shared" si="3"/>
        <v>#REF!</v>
      </c>
      <c r="Q106" s="138" t="e">
        <f t="shared" si="3"/>
        <v>#REF!</v>
      </c>
      <c r="R106" s="138" t="e">
        <f t="shared" si="3"/>
        <v>#REF!</v>
      </c>
      <c r="S106" s="138" t="e">
        <f t="shared" si="3"/>
        <v>#REF!</v>
      </c>
      <c r="T106" s="138" t="e">
        <f t="shared" si="3"/>
        <v>#REF!</v>
      </c>
      <c r="U106" s="138" t="e">
        <f t="shared" si="3"/>
        <v>#REF!</v>
      </c>
      <c r="V106" s="138" t="e">
        <f t="shared" si="3"/>
        <v>#REF!</v>
      </c>
      <c r="W106" s="138" t="e">
        <f t="shared" si="3"/>
        <v>#REF!</v>
      </c>
      <c r="X106" s="138" t="e">
        <f t="shared" si="3"/>
        <v>#REF!</v>
      </c>
      <c r="Y106" s="138" t="e">
        <f t="shared" si="3"/>
        <v>#REF!</v>
      </c>
      <c r="Z106" s="138" t="e">
        <f t="shared" si="3"/>
        <v>#REF!</v>
      </c>
      <c r="AA106" s="138" t="e">
        <f t="shared" si="3"/>
        <v>#REF!</v>
      </c>
      <c r="AB106" s="138" t="e">
        <f>SUM(AB5:AB47)</f>
        <v>#REF!</v>
      </c>
      <c r="AC106" s="138"/>
      <c r="AD106" s="134"/>
      <c r="AE106" s="134"/>
      <c r="AF106" s="134"/>
      <c r="AG106" s="134"/>
      <c r="AH106" s="134"/>
      <c r="AI106" s="134"/>
    </row>
    <row r="107" spans="1:39" s="223" customFormat="1" ht="45" customHeight="1">
      <c r="A107" s="137"/>
      <c r="B107" s="222"/>
      <c r="C107" s="137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20">
        <f>G107-L107</f>
        <v>0</v>
      </c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4"/>
      <c r="AE107" s="134"/>
      <c r="AF107" s="134"/>
      <c r="AG107" s="134"/>
      <c r="AH107" s="134"/>
      <c r="AI107" s="134"/>
    </row>
    <row r="108" spans="1:39" s="223" customFormat="1" ht="45" customHeight="1">
      <c r="A108" s="137"/>
      <c r="B108" s="222"/>
      <c r="C108" s="137" t="s">
        <v>124</v>
      </c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20">
        <f>G108-L108</f>
        <v>0</v>
      </c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3"/>
      <c r="AC108" s="137"/>
      <c r="AD108" s="134"/>
      <c r="AE108" s="134"/>
      <c r="AF108" s="134"/>
      <c r="AG108" s="134"/>
      <c r="AH108" s="134"/>
      <c r="AI108" s="134"/>
    </row>
    <row r="109" spans="1:39" s="134" customFormat="1" ht="45" customHeight="1">
      <c r="A109" s="135">
        <f>A105+1</f>
        <v>102</v>
      </c>
      <c r="B109" s="135">
        <f>'תקציב החברה לפיתוח 2024'!B120</f>
        <v>1547</v>
      </c>
      <c r="C109" s="235" t="str">
        <f>'תקציב החברה לפיתוח 2024'!C120</f>
        <v>פיתוח מתחם גליל ים הר' 1985 א'</v>
      </c>
      <c r="D109" s="120">
        <f>'תקציב החברה לפיתוח 2024'!D120</f>
        <v>144000000</v>
      </c>
      <c r="E109" s="120">
        <f>'תקציב החברה לפיתוח 2024'!E120</f>
        <v>144000000</v>
      </c>
      <c r="F109" s="120">
        <f>'תקציב החברה לפיתוח 2024'!F120</f>
        <v>0</v>
      </c>
      <c r="G109" s="120">
        <f>'תקציב החברה לפיתוח 2024'!G120</f>
        <v>114000000</v>
      </c>
      <c r="H109" s="120">
        <f>'תקציב החברה לפיתוח 2024'!H120</f>
        <v>113874221</v>
      </c>
      <c r="I109" s="120">
        <f>'תקציב החברה לפיתוח 2024'!I120</f>
        <v>0</v>
      </c>
      <c r="J109" s="120">
        <f>'תקציב החברה לפיתוח 2024'!J120</f>
        <v>0</v>
      </c>
      <c r="K109" s="120">
        <f>'תקציב החברה לפיתוח 2024'!K120</f>
        <v>0</v>
      </c>
      <c r="L109" s="120">
        <f>'תקציב החברה לפיתוח 2024'!L120</f>
        <v>113874221</v>
      </c>
      <c r="M109" s="120">
        <f>'תקציב החברה לפיתוח 2024'!M120</f>
        <v>779</v>
      </c>
      <c r="N109" s="120">
        <f>'תקציב החברה לפיתוח 2024'!N120</f>
        <v>6000000</v>
      </c>
      <c r="O109" s="120">
        <f>'תקציב החברה לפיתוח 2024'!O120</f>
        <v>24125000</v>
      </c>
      <c r="P109" s="120">
        <f>'תקציב החברה לפיתוח 2024'!P120</f>
        <v>125779</v>
      </c>
      <c r="Q109" s="120">
        <f>'תקציב החברה לפיתוח 2024'!Q120</f>
        <v>0</v>
      </c>
      <c r="R109" s="120">
        <f>'תקציב החברה לפיתוח 2024'!R120</f>
        <v>0</v>
      </c>
      <c r="S109" s="120">
        <f>'תקציב החברה לפיתוח 2024'!S120</f>
        <v>0</v>
      </c>
      <c r="T109" s="120">
        <f>'תקציב החברה לפיתוח 2024'!T120</f>
        <v>125000</v>
      </c>
      <c r="U109" s="120">
        <f>'תקציב החברה לפיתוח 2024'!U120</f>
        <v>5875000</v>
      </c>
      <c r="V109" s="120">
        <f>'תקציב החברה לפיתוח 2024'!V120</f>
        <v>375000</v>
      </c>
      <c r="W109" s="120">
        <f>'תקציב החברה לפיתוח 2024'!W120</f>
        <v>0</v>
      </c>
      <c r="X109" s="120">
        <f>'תקציב החברה לפיתוח 2024'!X120</f>
        <v>0</v>
      </c>
      <c r="Y109" s="120">
        <f>'תקציב החברה לפיתוח 2024'!Y120</f>
        <v>0</v>
      </c>
      <c r="Z109" s="135">
        <f>'תקציב החברה לפיתוח 2024'!Z120</f>
        <v>0</v>
      </c>
      <c r="AA109" s="135">
        <f>'תקציב החברה לפיתוח 2024'!AA120</f>
        <v>5500000</v>
      </c>
      <c r="AB109" s="235" t="str">
        <f>'תקציב החברה לפיתוח 2024'!AB120</f>
        <v>עבודות פיתוח. מימון רמ"י במסגרת הסכם "הגג". ביצוע שצ"פים (415) 2024 מימון עיריה.  מימון רמ"י ( שצ"פים מכרז "גליל ים ג'").</v>
      </c>
      <c r="AC109" s="135">
        <v>742000</v>
      </c>
    </row>
    <row r="110" spans="1:39" ht="45" customHeight="1">
      <c r="A110" s="135">
        <f t="shared" ref="A110:A121" si="4">A109+1</f>
        <v>103</v>
      </c>
      <c r="B110" s="135">
        <f>'תקציב החברה לפיתוח 2024'!B121</f>
        <v>1827</v>
      </c>
      <c r="C110" s="235" t="str">
        <f>'תקציב החברה לפיתוח 2024'!C121</f>
        <v xml:space="preserve">פארק גליל ים </v>
      </c>
      <c r="D110" s="120">
        <f>'תקציב החברה לפיתוח 2024'!D121</f>
        <v>100000000</v>
      </c>
      <c r="E110" s="120">
        <f>'תקציב החברה לפיתוח 2024'!E121</f>
        <v>100000000</v>
      </c>
      <c r="F110" s="120">
        <f>'תקציב החברה לפיתוח 2024'!F121</f>
        <v>0</v>
      </c>
      <c r="G110" s="120">
        <f>'תקציב החברה לפיתוח 2024'!G121</f>
        <v>89000000</v>
      </c>
      <c r="H110" s="120">
        <f>'תקציב החברה לפיתוח 2024'!H121</f>
        <v>92668742</v>
      </c>
      <c r="I110" s="120">
        <f>'תקציב החברה לפיתוח 2024'!I121</f>
        <v>0</v>
      </c>
      <c r="J110" s="120">
        <f>'תקציב החברה לפיתוח 2024'!J121</f>
        <v>0</v>
      </c>
      <c r="K110" s="120">
        <f>'תקציב החברה לפיתוח 2024'!K121</f>
        <v>0</v>
      </c>
      <c r="L110" s="120">
        <f>'תקציב החברה לפיתוח 2024'!L121</f>
        <v>92668742</v>
      </c>
      <c r="M110" s="120">
        <f>'תקציב החברה לפיתוח 2024'!M121</f>
        <v>31258</v>
      </c>
      <c r="N110" s="120">
        <f>'תקציב החברה לפיתוח 2024'!N121</f>
        <v>7300000</v>
      </c>
      <c r="O110" s="120">
        <f>'תקציב החברה לפיתוח 2024'!O121</f>
        <v>0</v>
      </c>
      <c r="P110" s="120">
        <f>'תקציב החברה לפיתוח 2024'!P121</f>
        <v>-3668742</v>
      </c>
      <c r="Q110" s="120">
        <f>'תקציב החברה לפיתוח 2024'!Q121</f>
        <v>11000000</v>
      </c>
      <c r="R110" s="120">
        <f>'תקציב החברה לפיתוח 2024'!R121</f>
        <v>0</v>
      </c>
      <c r="S110" s="120">
        <f>'תקציב החברה לפיתוח 2024'!S121</f>
        <v>11000000</v>
      </c>
      <c r="T110" s="120">
        <f>'תקציב החברה לפיתוח 2024'!T121</f>
        <v>7300000</v>
      </c>
      <c r="U110" s="120">
        <f>'תקציב החברה לפיתוח 2024'!U121</f>
        <v>0</v>
      </c>
      <c r="V110" s="120">
        <f>'תקציב החברה לפיתוח 2024'!V121</f>
        <v>0</v>
      </c>
      <c r="W110" s="120">
        <f>'תקציב החברה לפיתוח 2024'!W121</f>
        <v>0</v>
      </c>
      <c r="X110" s="120">
        <f>'תקציב החברה לפיתוח 2024'!X121</f>
        <v>0</v>
      </c>
      <c r="Y110" s="120">
        <f>'תקציב החברה לפיתוח 2024'!Y121</f>
        <v>0</v>
      </c>
      <c r="Z110" s="135">
        <f>'תקציב החברה לפיתוח 2024'!Z121</f>
        <v>0</v>
      </c>
      <c r="AA110" s="135">
        <f>'תקציב החברה לפיתוח 2024'!AA121</f>
        <v>0</v>
      </c>
      <c r="AB110" s="235" t="str">
        <f>'תקציב החברה לפיתוח 2024'!AB121</f>
        <v>עבודות פיתוח. מימון רמ"י במסגרת הסכם "הגג". חן סופיים. לקראת סיום.</v>
      </c>
      <c r="AC110" s="135">
        <v>746000</v>
      </c>
    </row>
    <row r="111" spans="1:39" s="134" customFormat="1" ht="45" customHeight="1">
      <c r="A111" s="135">
        <f t="shared" si="4"/>
        <v>104</v>
      </c>
      <c r="B111" s="135">
        <f>'תקציב החברה לפיתוח 2024'!B122</f>
        <v>1905</v>
      </c>
      <c r="C111" s="235" t="str">
        <f>'תקציב החברה לפיתוח 2024'!C122</f>
        <v>שצ"פ מערב קיר אקוסטי גליל ים ב'</v>
      </c>
      <c r="D111" s="120">
        <f>'תקציב החברה לפיתוח 2024'!D122</f>
        <v>3366000</v>
      </c>
      <c r="E111" s="120">
        <f>'תקציב החברה לפיתוח 2024'!E122</f>
        <v>3366000</v>
      </c>
      <c r="F111" s="120">
        <f>'תקציב החברה לפיתוח 2024'!F122</f>
        <v>0</v>
      </c>
      <c r="G111" s="120">
        <f>'תקציב החברה לפיתוח 2024'!G122</f>
        <v>3366000</v>
      </c>
      <c r="H111" s="120">
        <f>'תקציב החברה לפיתוח 2024'!H122</f>
        <v>0</v>
      </c>
      <c r="I111" s="120">
        <f>'תקציב החברה לפיתוח 2024'!I122</f>
        <v>0</v>
      </c>
      <c r="J111" s="120">
        <f>'תקציב החברה לפיתוח 2024'!J122</f>
        <v>0</v>
      </c>
      <c r="K111" s="120">
        <f>'תקציב החברה לפיתוח 2024'!K122</f>
        <v>0</v>
      </c>
      <c r="L111" s="120">
        <f>'תקציב החברה לפיתוח 2024'!L122</f>
        <v>0</v>
      </c>
      <c r="M111" s="120">
        <f>'תקציב החברה לפיתוח 2024'!M122</f>
        <v>0</v>
      </c>
      <c r="N111" s="120">
        <f>'תקציב החברה לפיתוח 2024'!N122</f>
        <v>3366000</v>
      </c>
      <c r="O111" s="120">
        <f>'תקציב החברה לפיתוח 2024'!O122</f>
        <v>0</v>
      </c>
      <c r="P111" s="120">
        <f>'תקציב החברה לפיתוח 2024'!P122</f>
        <v>3366000</v>
      </c>
      <c r="Q111" s="120">
        <f>'תקציב החברה לפיתוח 2024'!Q122</f>
        <v>0</v>
      </c>
      <c r="R111" s="120">
        <f>'תקציב החברה לפיתוח 2024'!R122</f>
        <v>0</v>
      </c>
      <c r="S111" s="120">
        <f>'תקציב החברה לפיתוח 2024'!S122</f>
        <v>0</v>
      </c>
      <c r="T111" s="120">
        <f>'תקציב החברה לפיתוח 2024'!T122</f>
        <v>3366000</v>
      </c>
      <c r="U111" s="120">
        <f>'תקציב החברה לפיתוח 2024'!U122</f>
        <v>0</v>
      </c>
      <c r="V111" s="120">
        <f>'תקציב החברה לפיתוח 2024'!V122</f>
        <v>0</v>
      </c>
      <c r="W111" s="120">
        <f>'תקציב החברה לפיתוח 2024'!W122</f>
        <v>0</v>
      </c>
      <c r="X111" s="120">
        <f>'תקציב החברה לפיתוח 2024'!X122</f>
        <v>0</v>
      </c>
      <c r="Y111" s="120">
        <f>'תקציב החברה לפיתוח 2024'!Y122</f>
        <v>0</v>
      </c>
      <c r="Z111" s="135">
        <f>'תקציב החברה לפיתוח 2024'!Z122</f>
        <v>0</v>
      </c>
      <c r="AA111" s="135">
        <f>'תקציב החברה לפיתוח 2024'!AA122</f>
        <v>0</v>
      </c>
      <c r="AB111" s="235" t="str">
        <f>'תקציב החברה לפיתוח 2024'!AB122</f>
        <v>מימון רמ"י במסגרת הסכם "הגג".</v>
      </c>
      <c r="AC111" s="135">
        <v>746000</v>
      </c>
    </row>
    <row r="112" spans="1:39" s="134" customFormat="1" ht="45" customHeight="1">
      <c r="A112" s="135">
        <f t="shared" si="4"/>
        <v>105</v>
      </c>
      <c r="B112" s="135">
        <f>'תקציב החברה לפיתוח 2024'!B123</f>
        <v>1908</v>
      </c>
      <c r="C112" s="235" t="str">
        <f>'תקציב החברה לפיתוח 2024'!C123</f>
        <v>כיתות מעון וגן שטח 303 גליל ים א'</v>
      </c>
      <c r="D112" s="120">
        <f>'תקציב החברה לפיתוח 2024'!D123</f>
        <v>19053647</v>
      </c>
      <c r="E112" s="120">
        <f>'תקציב החברה לפיתוח 2024'!E123</f>
        <v>19054496</v>
      </c>
      <c r="F112" s="120">
        <f>'תקציב החברה לפיתוח 2024'!F123</f>
        <v>-849</v>
      </c>
      <c r="G112" s="120">
        <f>'תקציב החברה לפיתוח 2024'!G123</f>
        <v>19054496</v>
      </c>
      <c r="H112" s="120">
        <f>'תקציב החברה לפיתוח 2024'!H123</f>
        <v>19053647</v>
      </c>
      <c r="I112" s="120">
        <f>'תקציב החברה לפיתוח 2024'!I123</f>
        <v>0</v>
      </c>
      <c r="J112" s="120">
        <f>'תקציב החברה לפיתוח 2024'!J123</f>
        <v>0</v>
      </c>
      <c r="K112" s="120">
        <f>'תקציב החברה לפיתוח 2024'!K123</f>
        <v>0</v>
      </c>
      <c r="L112" s="120">
        <f>'תקציב החברה לפיתוח 2024'!L123</f>
        <v>19053647</v>
      </c>
      <c r="M112" s="120">
        <f>'תקציב החברה לפיתוח 2024'!M123</f>
        <v>0</v>
      </c>
      <c r="N112" s="120">
        <f>'תקציב החברה לפיתוח 2024'!N123</f>
        <v>0</v>
      </c>
      <c r="O112" s="120">
        <f>'תקציב החברה לפיתוח 2024'!O123</f>
        <v>0</v>
      </c>
      <c r="P112" s="120">
        <f>'תקציב החברה לפיתוח 2024'!P123</f>
        <v>849</v>
      </c>
      <c r="Q112" s="120">
        <f>'תקציב החברה לפיתוח 2024'!Q123</f>
        <v>0</v>
      </c>
      <c r="R112" s="120">
        <f>'תקציב החברה לפיתוח 2024'!R123</f>
        <v>0</v>
      </c>
      <c r="S112" s="120">
        <f>'תקציב החברה לפיתוח 2024'!S123</f>
        <v>0</v>
      </c>
      <c r="T112" s="120">
        <f>'תקציב החברה לפיתוח 2024'!T123</f>
        <v>849</v>
      </c>
      <c r="U112" s="120">
        <f>'תקציב החברה לפיתוח 2024'!U123</f>
        <v>-849</v>
      </c>
      <c r="V112" s="120">
        <f>'תקציב החברה לפיתוח 2024'!V123</f>
        <v>-849</v>
      </c>
      <c r="W112" s="120">
        <f>'תקציב החברה לפיתוח 2024'!W123</f>
        <v>0</v>
      </c>
      <c r="X112" s="120">
        <f>'תקציב החברה לפיתוח 2024'!X123</f>
        <v>0</v>
      </c>
      <c r="Y112" s="120">
        <f>'תקציב החברה לפיתוח 2024'!Y123</f>
        <v>0</v>
      </c>
      <c r="Z112" s="135">
        <f>'תקציב החברה לפיתוח 2024'!Z123</f>
        <v>0</v>
      </c>
      <c r="AA112" s="120">
        <f>'תקציב החברה לפיתוח 2024'!AA123</f>
        <v>0</v>
      </c>
      <c r="AB112" s="235" t="str">
        <f>'תקציב החברה לפיתוח 2024'!AB123</f>
        <v xml:space="preserve"> כיתות גן (7) . הפרויקט הסתים . סגירת תב"ר.</v>
      </c>
      <c r="AC112" s="135">
        <v>810000</v>
      </c>
    </row>
    <row r="113" spans="1:35" ht="55.2">
      <c r="A113" s="135">
        <f t="shared" si="4"/>
        <v>106</v>
      </c>
      <c r="B113" s="135">
        <f>'תקציב החברה לפיתוח 2024'!B124</f>
        <v>1909</v>
      </c>
      <c r="C113" s="235" t="str">
        <f>'תקציב החברה לפיתוח 2024'!C124</f>
        <v xml:space="preserve">שטח 408 גליל ים ב'-גנ"י, בי"ס, ספריה </v>
      </c>
      <c r="D113" s="120">
        <f>'תקציב החברה לפיתוח 2024'!D124</f>
        <v>184500000</v>
      </c>
      <c r="E113" s="120">
        <f>'תקציב החברה לפיתוח 2024'!E124</f>
        <v>184500000</v>
      </c>
      <c r="F113" s="120">
        <f>'תקציב החברה לפיתוח 2024'!F124</f>
        <v>0</v>
      </c>
      <c r="G113" s="120">
        <f>'תקציב החברה לפיתוח 2024'!G124</f>
        <v>169145785</v>
      </c>
      <c r="H113" s="120">
        <f>'תקציב החברה לפיתוח 2024'!H124</f>
        <v>169128282</v>
      </c>
      <c r="I113" s="120">
        <f>'תקציב החברה לפיתוח 2024'!I124</f>
        <v>0</v>
      </c>
      <c r="J113" s="120">
        <f>'תקציב החברה לפיתוח 2024'!J124</f>
        <v>0</v>
      </c>
      <c r="K113" s="120">
        <f>'תקציב החברה לפיתוח 2024'!K124</f>
        <v>0</v>
      </c>
      <c r="L113" s="120">
        <f>'תקציב החברה לפיתוח 2024'!L124</f>
        <v>169128282</v>
      </c>
      <c r="M113" s="120">
        <f>'תקציב החברה לפיתוח 2024'!M124</f>
        <v>2503</v>
      </c>
      <c r="N113" s="120">
        <f>'תקציב החברה לפיתוח 2024'!N124</f>
        <v>11369215</v>
      </c>
      <c r="O113" s="120">
        <f>'תקציב החברה לפיתוח 2024'!O124</f>
        <v>4000000</v>
      </c>
      <c r="P113" s="120">
        <f>'תקציב החברה לפיתוח 2024'!P124</f>
        <v>17503</v>
      </c>
      <c r="Q113" s="120">
        <f>'תקציב החברה לפיתוח 2024'!Q124</f>
        <v>0</v>
      </c>
      <c r="R113" s="120">
        <f>'תקציב החברה לפיתוח 2024'!R124</f>
        <v>0</v>
      </c>
      <c r="S113" s="120">
        <f>'תקציב החברה לפיתוח 2024'!S124</f>
        <v>0</v>
      </c>
      <c r="T113" s="120">
        <f>'תקציב החברה לפיתוח 2024'!T124</f>
        <v>15000</v>
      </c>
      <c r="U113" s="120">
        <f>'תקציב החברה לפיתוח 2024'!U124</f>
        <v>11354215</v>
      </c>
      <c r="V113" s="120">
        <f>'תקציב החברה לפיתוח 2024'!V124</f>
        <v>6147109</v>
      </c>
      <c r="W113" s="120">
        <f>'תקציב החברה לפיתוח 2024'!W124</f>
        <v>0</v>
      </c>
      <c r="X113" s="120">
        <f>'תקציב החברה לפיתוח 2024'!X124</f>
        <v>0</v>
      </c>
      <c r="Y113" s="120">
        <f>'תקציב החברה לפיתוח 2024'!Y124</f>
        <v>0</v>
      </c>
      <c r="Z113" s="135">
        <f>'תקציב החברה לפיתוח 2024'!Z124</f>
        <v>0</v>
      </c>
      <c r="AA113" s="135">
        <f>'תקציב החברה לפיתוח 2024'!AA124</f>
        <v>5207106</v>
      </c>
      <c r="AB113" s="235" t="str">
        <f>'תקציב החברה לפיתוח 2024'!AB124</f>
        <v>בניית בי"ס יסודי 18 כיתות , 5 כיתות גן , מועדון תנועת נוער, אולם ספורט בינוני , מגרש ספורט משולב, חניון תתקרקעי 2 מפלסים.  מימון מ. החינוך בי"ס,גנ"י.</v>
      </c>
      <c r="AC113" s="135">
        <v>810000</v>
      </c>
    </row>
    <row r="114" spans="1:35" ht="45" customHeight="1">
      <c r="A114" s="135">
        <f t="shared" si="4"/>
        <v>107</v>
      </c>
      <c r="B114" s="135">
        <f>'תקציב החברה לפיתוח 2024'!B125</f>
        <v>1911</v>
      </c>
      <c r="C114" s="235" t="str">
        <f>'תקציב החברה לפיתוח 2024'!C125</f>
        <v xml:space="preserve">כיתות מעון 5 יום 5 כיתות גן-. 404 גליל ים ב' </v>
      </c>
      <c r="D114" s="120">
        <f>'תקציב החברה לפיתוח 2024'!D125</f>
        <v>26936240</v>
      </c>
      <c r="E114" s="120">
        <f>'תקציב החברה לפיתוח 2024'!E125</f>
        <v>27236240</v>
      </c>
      <c r="F114" s="120">
        <f>'תקציב החברה לפיתוח 2024'!F125</f>
        <v>-300000</v>
      </c>
      <c r="G114" s="120">
        <f>'תקציב החברה לפיתוח 2024'!G125</f>
        <v>27236240</v>
      </c>
      <c r="H114" s="120">
        <f>'תקציב החברה לפיתוח 2024'!H125</f>
        <v>26634223</v>
      </c>
      <c r="I114" s="120">
        <f>'תקציב החברה לפיתוח 2024'!I125</f>
        <v>0</v>
      </c>
      <c r="J114" s="120">
        <f>'תקציב החברה לפיתוח 2024'!J125</f>
        <v>0</v>
      </c>
      <c r="K114" s="120">
        <f>'תקציב החברה לפיתוח 2024'!K125</f>
        <v>0</v>
      </c>
      <c r="L114" s="120">
        <f>'תקציב החברה לפיתוח 2024'!L125</f>
        <v>26634223</v>
      </c>
      <c r="M114" s="120">
        <f>'תקציב החברה לפיתוח 2024'!M125</f>
        <v>2017</v>
      </c>
      <c r="N114" s="120">
        <f>'תקציב החברה לפיתוח 2024'!N125</f>
        <v>300000</v>
      </c>
      <c r="O114" s="120">
        <f>'תקציב החברה לפיתוח 2024'!O125</f>
        <v>0</v>
      </c>
      <c r="P114" s="120">
        <f>'תקציב החברה לפיתוח 2024'!P125</f>
        <v>602017</v>
      </c>
      <c r="Q114" s="120">
        <f>'תקציב החברה לפיתוח 2024'!Q125</f>
        <v>0</v>
      </c>
      <c r="R114" s="120">
        <f>'תקציב החברה לפיתוח 2024'!R125</f>
        <v>0</v>
      </c>
      <c r="S114" s="120">
        <f>'תקציב החברה לפיתוח 2024'!S125</f>
        <v>0</v>
      </c>
      <c r="T114" s="120">
        <f>'תקציב החברה לפיתוח 2024'!T125</f>
        <v>600000</v>
      </c>
      <c r="U114" s="120">
        <f>'תקציב החברה לפיתוח 2024'!U125</f>
        <v>-300000</v>
      </c>
      <c r="V114" s="120">
        <f>'תקציב החברה לפיתוח 2024'!V125</f>
        <v>-300000</v>
      </c>
      <c r="W114" s="120">
        <f>'תקציב החברה לפיתוח 2024'!W125</f>
        <v>0</v>
      </c>
      <c r="X114" s="120">
        <f>'תקציב החברה לפיתוח 2024'!X125</f>
        <v>0</v>
      </c>
      <c r="Y114" s="120">
        <f>'תקציב החברה לפיתוח 2024'!Y125</f>
        <v>0</v>
      </c>
      <c r="Z114" s="135">
        <f>'תקציב החברה לפיתוח 2024'!Z125</f>
        <v>0</v>
      </c>
      <c r="AA114" s="120">
        <f>'תקציב החברה לפיתוח 2024'!AA125</f>
        <v>0</v>
      </c>
      <c r="AB114" s="235" t="str">
        <f>'תקציב החברה לפיתוח 2024'!AB125</f>
        <v>בניית 10 כיתות גן .   חן סופיים. התב"ר לסגירה.</v>
      </c>
      <c r="AC114" s="135">
        <v>810000</v>
      </c>
    </row>
    <row r="115" spans="1:35" ht="55.2">
      <c r="A115" s="135">
        <f t="shared" si="4"/>
        <v>108</v>
      </c>
      <c r="B115" s="135">
        <f>'תקציב החברה לפיתוח 2024'!B126</f>
        <v>1912</v>
      </c>
      <c r="C115" s="235" t="str">
        <f>'תקציב החברה לפיתוח 2024'!C126</f>
        <v xml:space="preserve">קיריית החינוך ( מגרש 406)-ספריה, מרכז קהילתי </v>
      </c>
      <c r="D115" s="120">
        <f>'תקציב החברה לפיתוח 2024'!D126</f>
        <v>430000000</v>
      </c>
      <c r="E115" s="120">
        <f>'תקציב החברה לפיתוח 2024'!E126</f>
        <v>430000000</v>
      </c>
      <c r="F115" s="120">
        <f>'תקציב החברה לפיתוח 2024'!F126</f>
        <v>0</v>
      </c>
      <c r="G115" s="120">
        <f>'תקציב החברה לפיתוח 2024'!G126</f>
        <v>299404251</v>
      </c>
      <c r="H115" s="120">
        <f>'תקציב החברה לפיתוח 2024'!H126</f>
        <v>299054983</v>
      </c>
      <c r="I115" s="120">
        <f>'תקציב החברה לפיתוח 2024'!I126</f>
        <v>0</v>
      </c>
      <c r="J115" s="120">
        <f>'תקציב החברה לפיתוח 2024'!J126</f>
        <v>0</v>
      </c>
      <c r="K115" s="120">
        <f>'תקציב החברה לפיתוח 2024'!K126</f>
        <v>0</v>
      </c>
      <c r="L115" s="120">
        <f>'תקציב החברה לפיתוח 2024'!L126</f>
        <v>299054983</v>
      </c>
      <c r="M115" s="120">
        <f>'תקציב החברה לפיתוח 2024'!M126</f>
        <v>4268</v>
      </c>
      <c r="N115" s="120">
        <f>'תקציב החברה לפיתוח 2024'!N126</f>
        <v>65345000</v>
      </c>
      <c r="O115" s="120">
        <f>'תקציב החברה לפיתוח 2024'!O126</f>
        <v>65595749</v>
      </c>
      <c r="P115" s="120">
        <f>'תקציב החברה לפיתוח 2024'!P126</f>
        <v>349268</v>
      </c>
      <c r="Q115" s="120">
        <f>'תקציב החברה לפיתוח 2024'!Q126</f>
        <v>0</v>
      </c>
      <c r="R115" s="120">
        <f>'תקציב החברה לפיתוח 2024'!R126</f>
        <v>0</v>
      </c>
      <c r="S115" s="120">
        <f>'תקציב החברה לפיתוח 2024'!S126</f>
        <v>0</v>
      </c>
      <c r="T115" s="120">
        <f>'תקציב החברה לפיתוח 2024'!T126</f>
        <v>345000</v>
      </c>
      <c r="U115" s="120">
        <f>'תקציב החברה לפיתוח 2024'!U126</f>
        <v>65000000</v>
      </c>
      <c r="V115" s="120">
        <f>'תקציב החברה לפיתוח 2024'!V126</f>
        <v>52872606</v>
      </c>
      <c r="W115" s="120">
        <f>'תקציב החברה לפיתוח 2024'!W126</f>
        <v>0</v>
      </c>
      <c r="X115" s="120">
        <f>'תקציב החברה לפיתוח 2024'!X126</f>
        <v>0</v>
      </c>
      <c r="Y115" s="120">
        <f>'תקציב החברה לפיתוח 2024'!Y126</f>
        <v>0</v>
      </c>
      <c r="Z115" s="135">
        <f>'תקציב החברה לפיתוח 2024'!Z126</f>
        <v>0</v>
      </c>
      <c r="AA115" s="120">
        <f>'תקציב החברה לפיתוח 2024'!AA126</f>
        <v>12127394</v>
      </c>
      <c r="AB115" s="235" t="str">
        <f>'תקציב החברה לפיתוח 2024'!AB126</f>
        <v xml:space="preserve">בניית בי"ס יסודי (18) , 24 כיתות חט"ב ותיכון ,א.ס בינוני , מגרש ספורט , חניון תתקרקעי 2 מפלסים, שצ"פ שבט צופים מימון מ. החינוך. </v>
      </c>
      <c r="AC115" s="135">
        <v>810000</v>
      </c>
    </row>
    <row r="116" spans="1:35" ht="45" customHeight="1">
      <c r="A116" s="135">
        <f t="shared" si="4"/>
        <v>109</v>
      </c>
      <c r="B116" s="135">
        <f>'תקציב החברה לפיתוח 2024'!B127</f>
        <v>1914</v>
      </c>
      <c r="C116" s="235" t="str">
        <f>'תקציב החברה לפיתוח 2024'!C127</f>
        <v>גן 3 כיתות 401 גליל ים ב'</v>
      </c>
      <c r="D116" s="120">
        <f>'תקציב החברה לפיתוח 2024'!D127</f>
        <v>8100000</v>
      </c>
      <c r="E116" s="120">
        <f>'תקציב החברה לפיתוח 2024'!E127</f>
        <v>8100000</v>
      </c>
      <c r="F116" s="120">
        <f>'תקציב החברה לפיתוח 2024'!F127</f>
        <v>0</v>
      </c>
      <c r="G116" s="120">
        <f>'תקציב החברה לפיתוח 2024'!G127</f>
        <v>8100000</v>
      </c>
      <c r="H116" s="120">
        <f>'תקציב החברה לפיתוח 2024'!H127</f>
        <v>7872635</v>
      </c>
      <c r="I116" s="120">
        <f>'תקציב החברה לפיתוח 2024'!I127</f>
        <v>0</v>
      </c>
      <c r="J116" s="120">
        <f>'תקציב החברה לפיתוח 2024'!J127</f>
        <v>0</v>
      </c>
      <c r="K116" s="120">
        <f>'תקציב החברה לפיתוח 2024'!K127</f>
        <v>0</v>
      </c>
      <c r="L116" s="120">
        <f>'תקציב החברה לפיתוח 2024'!L127</f>
        <v>7872635</v>
      </c>
      <c r="M116" s="120">
        <f>'תקציב החברה לפיתוח 2024'!M127</f>
        <v>2365</v>
      </c>
      <c r="N116" s="120">
        <f>'תקציב החברה לפיתוח 2024'!N127</f>
        <v>225000</v>
      </c>
      <c r="O116" s="120">
        <f>'תקציב החברה לפיתוח 2024'!O127</f>
        <v>0</v>
      </c>
      <c r="P116" s="120">
        <f>'תקציב החברה לפיתוח 2024'!P127</f>
        <v>227365</v>
      </c>
      <c r="Q116" s="120">
        <f>'תקציב החברה לפיתוח 2024'!Q127</f>
        <v>0</v>
      </c>
      <c r="R116" s="120">
        <f>'תקציב החברה לפיתוח 2024'!R127</f>
        <v>0</v>
      </c>
      <c r="S116" s="120">
        <f>'תקציב החברה לפיתוח 2024'!S127</f>
        <v>0</v>
      </c>
      <c r="T116" s="120">
        <f>'תקציב החברה לפיתוח 2024'!T127</f>
        <v>225000</v>
      </c>
      <c r="U116" s="120">
        <f>'תקציב החברה לפיתוח 2024'!U127</f>
        <v>0</v>
      </c>
      <c r="V116" s="120">
        <f>'תקציב החברה לפיתוח 2024'!V127</f>
        <v>0</v>
      </c>
      <c r="W116" s="120">
        <f>'תקציב החברה לפיתוח 2024'!W127</f>
        <v>0</v>
      </c>
      <c r="X116" s="120">
        <f>'תקציב החברה לפיתוח 2024'!X127</f>
        <v>0</v>
      </c>
      <c r="Y116" s="120">
        <f>'תקציב החברה לפיתוח 2024'!Y127</f>
        <v>0</v>
      </c>
      <c r="Z116" s="135">
        <f>'תקציב החברה לפיתוח 2024'!Z127</f>
        <v>0</v>
      </c>
      <c r="AA116" s="135">
        <f>'תקציב החברה לפיתוח 2024'!AA127</f>
        <v>0</v>
      </c>
      <c r="AB116" s="235" t="str">
        <f>'תקציב החברה לפיתוח 2024'!AB127</f>
        <v xml:space="preserve">במקביל, תבר הצטיידות בחינוך . חן סופיים התב"ר לסגירה. </v>
      </c>
      <c r="AC116" s="135">
        <v>810000</v>
      </c>
    </row>
    <row r="117" spans="1:35" ht="45" customHeight="1">
      <c r="A117" s="135">
        <f t="shared" si="4"/>
        <v>110</v>
      </c>
      <c r="B117" s="135">
        <f>'תקציב החברה לפיתוח 2024'!B128</f>
        <v>1919</v>
      </c>
      <c r="C117" s="235" t="str">
        <f>'תקציב החברה לפיתוח 2024'!C128</f>
        <v>פיתוח גליל ים ב'</v>
      </c>
      <c r="D117" s="120">
        <f>'תקציב החברה לפיתוח 2024'!D128</f>
        <v>135100000</v>
      </c>
      <c r="E117" s="120">
        <f>'תקציב החברה לפיתוח 2024'!E128</f>
        <v>135100000</v>
      </c>
      <c r="F117" s="120">
        <f>'תקציב החברה לפיתוח 2024'!F128</f>
        <v>0</v>
      </c>
      <c r="G117" s="120">
        <f>'תקציב החברה לפיתוח 2024'!G128</f>
        <v>72024834</v>
      </c>
      <c r="H117" s="120">
        <f>'תקציב החברה לפיתוח 2024'!H128</f>
        <v>72015642</v>
      </c>
      <c r="I117" s="120">
        <f>'תקציב החברה לפיתוח 2024'!I128</f>
        <v>0</v>
      </c>
      <c r="J117" s="120">
        <f>'תקציב החברה לפיתוח 2024'!J128</f>
        <v>0</v>
      </c>
      <c r="K117" s="120">
        <f>'תקציב החברה לפיתוח 2024'!K128</f>
        <v>0</v>
      </c>
      <c r="L117" s="120">
        <f>'תקציב החברה לפיתוח 2024'!L128</f>
        <v>72015642</v>
      </c>
      <c r="M117" s="120">
        <f>'תקציב החברה לפיתוח 2024'!M128</f>
        <v>9192</v>
      </c>
      <c r="N117" s="120">
        <f>'תקציב החברה לפיתוח 2024'!N128</f>
        <v>8000000</v>
      </c>
      <c r="O117" s="120">
        <f>'תקציב החברה לפיתוח 2024'!O128</f>
        <v>55075166</v>
      </c>
      <c r="P117" s="120">
        <f>'תקציב החברה לפיתוח 2024'!P128</f>
        <v>9192</v>
      </c>
      <c r="Q117" s="120">
        <f>'תקציב החברה לפיתוח 2024'!Q128</f>
        <v>0</v>
      </c>
      <c r="R117" s="120">
        <f>'תקציב החברה לפיתוח 2024'!R128</f>
        <v>0</v>
      </c>
      <c r="S117" s="120">
        <f>'תקציב החברה לפיתוח 2024'!S128</f>
        <v>0</v>
      </c>
      <c r="T117" s="120">
        <f>'תקציב החברה לפיתוח 2024'!T128</f>
        <v>0</v>
      </c>
      <c r="U117" s="120">
        <f>'תקציב החברה לפיתוח 2024'!U128</f>
        <v>8000000</v>
      </c>
      <c r="V117" s="120">
        <f>'תקציב החברה לפיתוח 2024'!V128</f>
        <v>8000000</v>
      </c>
      <c r="W117" s="120">
        <f>'תקציב החברה לפיתוח 2024'!W128</f>
        <v>0</v>
      </c>
      <c r="X117" s="120">
        <f>'תקציב החברה לפיתוח 2024'!X128</f>
        <v>0</v>
      </c>
      <c r="Y117" s="120">
        <f>'תקציב החברה לפיתוח 2024'!Y128</f>
        <v>0</v>
      </c>
      <c r="Z117" s="135">
        <f>'תקציב החברה לפיתוח 2024'!Z128</f>
        <v>0</v>
      </c>
      <c r="AA117" s="135">
        <f>'תקציב החברה לפיתוח 2024'!AA128</f>
        <v>0</v>
      </c>
      <c r="AB117" s="235" t="str">
        <f>'תקציב החברה לפיתוח 2024'!AB128</f>
        <v>עבודות פיתוח.עבודות השלמת ביצוע שצ"פים.מימון רמ"י במסגרת הסכם "הגג". 2024 : מימון הרשות.</v>
      </c>
      <c r="AC117" s="135">
        <v>742000</v>
      </c>
    </row>
    <row r="118" spans="1:35" ht="45" customHeight="1">
      <c r="A118" s="135">
        <f t="shared" si="4"/>
        <v>111</v>
      </c>
      <c r="B118" s="135">
        <f>'תקציב החברה לפיתוח 2024'!B129</f>
        <v>1960</v>
      </c>
      <c r="C118" s="235" t="str">
        <f>'תקציב החברה לפיתוח 2024'!C129</f>
        <v>גן 3 כיתות 402 גליל ים ב'(כולל חניון)</v>
      </c>
      <c r="D118" s="120">
        <f>'תקציב החברה לפיתוח 2024'!D129</f>
        <v>21480000</v>
      </c>
      <c r="E118" s="120">
        <f>'תקציב החברה לפיתוח 2024'!E129</f>
        <v>24710000</v>
      </c>
      <c r="F118" s="120">
        <f>'תקציב החברה לפיתוח 2024'!F129</f>
        <v>-3230000</v>
      </c>
      <c r="G118" s="120">
        <f>'תקציב החברה לפיתוח 2024'!G129</f>
        <v>22421744</v>
      </c>
      <c r="H118" s="120">
        <f>'תקציב החברה לפיתוח 2024'!H129</f>
        <v>20975550</v>
      </c>
      <c r="I118" s="120">
        <f>'תקציב החברה לפיתוח 2024'!I129</f>
        <v>0</v>
      </c>
      <c r="J118" s="120">
        <f>'תקציב החברה לפיתוח 2024'!J129</f>
        <v>0</v>
      </c>
      <c r="K118" s="120">
        <f>'תקציב החברה לפיתוח 2024'!K129</f>
        <v>0</v>
      </c>
      <c r="L118" s="120">
        <f>'תקציב החברה לפיתוח 2024'!L129</f>
        <v>20975550</v>
      </c>
      <c r="M118" s="120">
        <f>'תקציב החברה לפיתוח 2024'!M129</f>
        <v>4450</v>
      </c>
      <c r="N118" s="120">
        <f>'תקציב החברה לפיתוח 2024'!N129</f>
        <v>500000</v>
      </c>
      <c r="O118" s="120">
        <f>'תקציב החברה לפיתוח 2024'!O129</f>
        <v>0</v>
      </c>
      <c r="P118" s="120">
        <f>'תקציב החברה לפיתוח 2024'!P129</f>
        <v>1446194</v>
      </c>
      <c r="Q118" s="120">
        <f>'תקציב החברה לפיתוח 2024'!Q129</f>
        <v>2288256</v>
      </c>
      <c r="R118" s="120">
        <f>'תקציב החברה לפיתוח 2024'!R129</f>
        <v>0</v>
      </c>
      <c r="S118" s="120">
        <f>'תקציב החברה לפיתוח 2024'!S129</f>
        <v>2288256</v>
      </c>
      <c r="T118" s="120">
        <f>'תקציב החברה לפיתוח 2024'!T129</f>
        <v>3730000</v>
      </c>
      <c r="U118" s="120">
        <f>'תקציב החברה לפיתוח 2024'!U129</f>
        <v>-3230000</v>
      </c>
      <c r="V118" s="120">
        <f>'תקציב החברה לפיתוח 2024'!V129</f>
        <v>-3352590</v>
      </c>
      <c r="W118" s="120">
        <f>'תקציב החברה לפיתוח 2024'!W129</f>
        <v>0</v>
      </c>
      <c r="X118" s="120">
        <f>'תקציב החברה לפיתוח 2024'!X129</f>
        <v>0</v>
      </c>
      <c r="Y118" s="120">
        <f>'תקציב החברה לפיתוח 2024'!Y129</f>
        <v>0</v>
      </c>
      <c r="Z118" s="135">
        <f>'תקציב החברה לפיתוח 2024'!Z129</f>
        <v>0</v>
      </c>
      <c r="AA118" s="135">
        <f>'תקציב החברה לפיתוח 2024'!AA129</f>
        <v>122590</v>
      </c>
      <c r="AB118" s="235" t="str">
        <f>'תקציב החברה לפיתוח 2024'!AB129</f>
        <v>בניית 3 כיתות גן , בניית החניון במימון  חברת אפריקה ישראל. שינוי מימון מ. החינוך ואפ"י.</v>
      </c>
      <c r="AC118" s="135">
        <v>810000</v>
      </c>
    </row>
    <row r="119" spans="1:35" ht="45" customHeight="1">
      <c r="A119" s="135">
        <f t="shared" si="4"/>
        <v>112</v>
      </c>
      <c r="B119" s="135">
        <f>'תקציב החברה לפיתוח 2024'!B130</f>
        <v>1962</v>
      </c>
      <c r="C119" s="235" t="str">
        <f>'תקציב החברה לפיתוח 2024'!C130</f>
        <v>גשר הולכי רגל מעל שבעת הכוכבים</v>
      </c>
      <c r="D119" s="120">
        <f>'תקציב החברה לפיתוח 2024'!D130</f>
        <v>20000000</v>
      </c>
      <c r="E119" s="120">
        <f>'תקציב החברה לפיתוח 2024'!E130</f>
        <v>20000000</v>
      </c>
      <c r="F119" s="120">
        <f>'תקציב החברה לפיתוח 2024'!F130</f>
        <v>0</v>
      </c>
      <c r="G119" s="120">
        <f>'תקציב החברה לפיתוח 2024'!G130</f>
        <v>100000</v>
      </c>
      <c r="H119" s="120">
        <f>'תקציב החברה לפיתוח 2024'!H130</f>
        <v>0</v>
      </c>
      <c r="I119" s="120">
        <f>'תקציב החברה לפיתוח 2024'!I130</f>
        <v>0</v>
      </c>
      <c r="J119" s="120">
        <f>'תקציב החברה לפיתוח 2024'!J130</f>
        <v>0</v>
      </c>
      <c r="K119" s="120">
        <f>'תקציב החברה לפיתוח 2024'!K130</f>
        <v>0</v>
      </c>
      <c r="L119" s="120">
        <f>'תקציב החברה לפיתוח 2024'!L130</f>
        <v>0</v>
      </c>
      <c r="M119" s="120">
        <f>'תקציב החברה לפיתוח 2024'!M130</f>
        <v>0</v>
      </c>
      <c r="N119" s="120">
        <f>'תקציב החברה לפיתוח 2024'!N130</f>
        <v>100000</v>
      </c>
      <c r="O119" s="120">
        <f>'תקציב החברה לפיתוח 2024'!O130</f>
        <v>19900000</v>
      </c>
      <c r="P119" s="120">
        <f>'תקציב החברה לפיתוח 2024'!P130</f>
        <v>100000</v>
      </c>
      <c r="Q119" s="120">
        <f>'תקציב החברה לפיתוח 2024'!Q130</f>
        <v>0</v>
      </c>
      <c r="R119" s="120">
        <f>'תקציב החברה לפיתוח 2024'!R130</f>
        <v>0</v>
      </c>
      <c r="S119" s="120">
        <f>'תקציב החברה לפיתוח 2024'!S130</f>
        <v>0</v>
      </c>
      <c r="T119" s="120">
        <f>'תקציב החברה לפיתוח 2024'!T130</f>
        <v>100000</v>
      </c>
      <c r="U119" s="120">
        <f>'תקציב החברה לפיתוח 2024'!U130</f>
        <v>0</v>
      </c>
      <c r="V119" s="120">
        <f>'תקציב החברה לפיתוח 2024'!V130</f>
        <v>0</v>
      </c>
      <c r="W119" s="120">
        <f>'תקציב החברה לפיתוח 2024'!W130</f>
        <v>0</v>
      </c>
      <c r="X119" s="120">
        <f>'תקציב החברה לפיתוח 2024'!X130</f>
        <v>0</v>
      </c>
      <c r="Y119" s="120">
        <f>'תקציב החברה לפיתוח 2024'!Y130</f>
        <v>0</v>
      </c>
      <c r="Z119" s="135">
        <f>'תקציב החברה לפיתוח 2024'!Z130</f>
        <v>0</v>
      </c>
      <c r="AA119" s="135">
        <f>'תקציב החברה לפיתוח 2024'!AA130</f>
        <v>0</v>
      </c>
      <c r="AB119" s="235" t="str">
        <f>'תקציב החברה לפיתוח 2024'!AB130</f>
        <v>גשר מחבר בין הפארק לבין שבעת הכוכבים.</v>
      </c>
      <c r="AC119" s="135">
        <v>742000</v>
      </c>
    </row>
    <row r="120" spans="1:35" ht="45" customHeight="1">
      <c r="A120" s="135">
        <f t="shared" si="4"/>
        <v>113</v>
      </c>
      <c r="B120" s="135">
        <f>'תקציב החברה לפיתוח 2024'!B131</f>
        <v>1965</v>
      </c>
      <c r="C120" s="235" t="str">
        <f>'תקציב החברה לפיתוח 2024'!C131</f>
        <v>בית ספר יסודי 18 כיתות מגרש 304 גלילי ים א'</v>
      </c>
      <c r="D120" s="120">
        <f>'תקציב החברה לפיתוח 2024'!D131</f>
        <v>87000000</v>
      </c>
      <c r="E120" s="120">
        <f>'תקציב החברה לפיתוח 2024'!E131</f>
        <v>35000000</v>
      </c>
      <c r="F120" s="120">
        <f>'תקציב החברה לפיתוח 2024'!F131</f>
        <v>52000000</v>
      </c>
      <c r="G120" s="120">
        <f>'תקציב החברה לפיתוח 2024'!G131</f>
        <v>2100000</v>
      </c>
      <c r="H120" s="120">
        <f>'תקציב החברה לפיתוח 2024'!H131</f>
        <v>2066817</v>
      </c>
      <c r="I120" s="120">
        <f>'תקציב החברה לפיתוח 2024'!I131</f>
        <v>0</v>
      </c>
      <c r="J120" s="120">
        <f>'תקציב החברה לפיתוח 2024'!J131</f>
        <v>0</v>
      </c>
      <c r="K120" s="120">
        <f>'תקציב החברה לפיתוח 2024'!K131</f>
        <v>0</v>
      </c>
      <c r="L120" s="120">
        <f>'תקציב החברה לפיתוח 2024'!L131</f>
        <v>2066817</v>
      </c>
      <c r="M120" s="120">
        <f>'תקציב החברה לפיתוח 2024'!M131</f>
        <v>3183</v>
      </c>
      <c r="N120" s="120">
        <f>'תקציב החברה לפיתוח 2024'!N131</f>
        <v>18030000</v>
      </c>
      <c r="O120" s="120">
        <f>'תקציב החברה לפיתוח 2024'!O131</f>
        <v>66900000</v>
      </c>
      <c r="P120" s="120">
        <f>'תקציב החברה לפיתוח 2024'!P131</f>
        <v>33183</v>
      </c>
      <c r="Q120" s="120">
        <f>'תקציב החברה לפיתוח 2024'!Q131</f>
        <v>0</v>
      </c>
      <c r="R120" s="120">
        <f>'תקציב החברה לפיתוח 2024'!R131</f>
        <v>0</v>
      </c>
      <c r="S120" s="120">
        <f>'תקציב החברה לפיתוח 2024'!S131</f>
        <v>0</v>
      </c>
      <c r="T120" s="120">
        <f>'תקציב החברה לפיתוח 2024'!T131</f>
        <v>30000</v>
      </c>
      <c r="U120" s="120">
        <f>'תקציב החברה לפיתוח 2024'!U131</f>
        <v>18000000</v>
      </c>
      <c r="V120" s="120">
        <f>'תקציב החברה לפיתוח 2024'!V131</f>
        <v>6751594</v>
      </c>
      <c r="W120" s="120">
        <f>'תקציב החברה לפיתוח 2024'!W131</f>
        <v>0</v>
      </c>
      <c r="X120" s="120">
        <f>'תקציב החברה לפיתוח 2024'!X131</f>
        <v>0</v>
      </c>
      <c r="Y120" s="120">
        <f>'תקציב החברה לפיתוח 2024'!Y131</f>
        <v>0</v>
      </c>
      <c r="Z120" s="135">
        <f>'תקציב החברה לפיתוח 2024'!Z131</f>
        <v>0</v>
      </c>
      <c r="AA120" s="135">
        <f>'תקציב החברה לפיתוח 2024'!AA131</f>
        <v>11248406</v>
      </c>
      <c r="AB120" s="235" t="str">
        <f>'תקציב החברה לפיתוח 2024'!AB131</f>
        <v>בי"ס יסודי בשטח 304.תכנון וביצוע.  מימון מ. החינוך.</v>
      </c>
      <c r="AC120" s="135">
        <v>810000</v>
      </c>
    </row>
    <row r="121" spans="1:35" s="5" customFormat="1" ht="45" customHeight="1">
      <c r="A121" s="135">
        <f t="shared" si="4"/>
        <v>114</v>
      </c>
      <c r="B121" s="135" t="e">
        <f>'תקציב החברה לפיתוח 2024'!#REF!</f>
        <v>#REF!</v>
      </c>
      <c r="C121" s="235" t="e">
        <f>'תקציב החברה לפיתוח 2024'!#REF!</f>
        <v>#REF!</v>
      </c>
      <c r="D121" s="120" t="e">
        <f>'תקציב החברה לפיתוח 2024'!#REF!</f>
        <v>#REF!</v>
      </c>
      <c r="E121" s="120" t="e">
        <f>'תקציב החברה לפיתוח 2024'!#REF!</f>
        <v>#REF!</v>
      </c>
      <c r="F121" s="120" t="e">
        <f>'תקציב החברה לפיתוח 2024'!#REF!</f>
        <v>#REF!</v>
      </c>
      <c r="G121" s="120" t="e">
        <f>'תקציב החברה לפיתוח 2024'!#REF!</f>
        <v>#REF!</v>
      </c>
      <c r="H121" s="120" t="e">
        <f>'תקציב החברה לפיתוח 2024'!#REF!</f>
        <v>#REF!</v>
      </c>
      <c r="I121" s="120" t="e">
        <f>'תקציב החברה לפיתוח 2024'!#REF!</f>
        <v>#REF!</v>
      </c>
      <c r="J121" s="120" t="e">
        <f>'תקציב החברה לפיתוח 2024'!#REF!</f>
        <v>#REF!</v>
      </c>
      <c r="K121" s="120" t="e">
        <f>'תקציב החברה לפיתוח 2024'!#REF!</f>
        <v>#REF!</v>
      </c>
      <c r="L121" s="120" t="e">
        <f>'תקציב החברה לפיתוח 2024'!#REF!</f>
        <v>#REF!</v>
      </c>
      <c r="M121" s="120" t="e">
        <f>'תקציב החברה לפיתוח 2024'!#REF!</f>
        <v>#REF!</v>
      </c>
      <c r="N121" s="120" t="e">
        <f>'תקציב החברה לפיתוח 2024'!#REF!</f>
        <v>#REF!</v>
      </c>
      <c r="O121" s="120" t="e">
        <f>'תקציב החברה לפיתוח 2024'!#REF!</f>
        <v>#REF!</v>
      </c>
      <c r="P121" s="120" t="e">
        <f>'תקציב החברה לפיתוח 2024'!#REF!</f>
        <v>#REF!</v>
      </c>
      <c r="Q121" s="120" t="e">
        <f>'תקציב החברה לפיתוח 2024'!#REF!</f>
        <v>#REF!</v>
      </c>
      <c r="R121" s="120" t="e">
        <f>'תקציב החברה לפיתוח 2024'!#REF!</f>
        <v>#REF!</v>
      </c>
      <c r="S121" s="120" t="e">
        <f>'תקציב החברה לפיתוח 2024'!#REF!</f>
        <v>#REF!</v>
      </c>
      <c r="T121" s="120" t="e">
        <f>'תקציב החברה לפיתוח 2024'!#REF!</f>
        <v>#REF!</v>
      </c>
      <c r="U121" s="120" t="e">
        <f>'תקציב החברה לפיתוח 2024'!#REF!</f>
        <v>#REF!</v>
      </c>
      <c r="V121" s="120" t="e">
        <f>'תקציב החברה לפיתוח 2024'!#REF!</f>
        <v>#REF!</v>
      </c>
      <c r="W121" s="120" t="e">
        <f>'תקציב החברה לפיתוח 2024'!#REF!</f>
        <v>#REF!</v>
      </c>
      <c r="X121" s="120" t="e">
        <f>'תקציב החברה לפיתוח 2024'!#REF!</f>
        <v>#REF!</v>
      </c>
      <c r="Y121" s="120" t="e">
        <f>'תקציב החברה לפיתוח 2024'!#REF!</f>
        <v>#REF!</v>
      </c>
      <c r="Z121" s="135" t="e">
        <f>'תקציב החברה לפיתוח 2024'!#REF!</f>
        <v>#REF!</v>
      </c>
      <c r="AA121" s="135" t="e">
        <f>'תקציב החברה לפיתוח 2024'!#REF!</f>
        <v>#REF!</v>
      </c>
      <c r="AB121" s="235" t="e">
        <f>'תקציב החברה לפיתוח 2024'!#REF!</f>
        <v>#REF!</v>
      </c>
      <c r="AC121" s="3">
        <v>810000</v>
      </c>
      <c r="AD121" s="134"/>
      <c r="AE121" s="134"/>
      <c r="AF121" s="134"/>
      <c r="AG121" s="134"/>
      <c r="AH121" s="134"/>
      <c r="AI121" s="134"/>
    </row>
    <row r="122" spans="1:35" s="223" customFormat="1" ht="45" customHeight="1">
      <c r="A122" s="137">
        <f>A121</f>
        <v>114</v>
      </c>
      <c r="B122" s="222"/>
      <c r="C122" s="137" t="s">
        <v>267</v>
      </c>
      <c r="D122" s="138" t="e">
        <f t="shared" ref="D122:AA122" si="5">SUM(D109:D121)</f>
        <v>#REF!</v>
      </c>
      <c r="E122" s="138" t="e">
        <f t="shared" si="5"/>
        <v>#REF!</v>
      </c>
      <c r="F122" s="138" t="e">
        <f t="shared" si="5"/>
        <v>#REF!</v>
      </c>
      <c r="G122" s="138" t="e">
        <f t="shared" si="5"/>
        <v>#REF!</v>
      </c>
      <c r="H122" s="138" t="e">
        <f t="shared" si="5"/>
        <v>#REF!</v>
      </c>
      <c r="I122" s="138" t="e">
        <f t="shared" si="5"/>
        <v>#REF!</v>
      </c>
      <c r="J122" s="138" t="e">
        <f t="shared" si="5"/>
        <v>#REF!</v>
      </c>
      <c r="K122" s="138" t="e">
        <f t="shared" si="5"/>
        <v>#REF!</v>
      </c>
      <c r="L122" s="138" t="e">
        <f t="shared" si="5"/>
        <v>#REF!</v>
      </c>
      <c r="M122" s="138" t="e">
        <f t="shared" si="5"/>
        <v>#REF!</v>
      </c>
      <c r="N122" s="138" t="e">
        <f t="shared" si="5"/>
        <v>#REF!</v>
      </c>
      <c r="O122" s="138" t="e">
        <f t="shared" si="5"/>
        <v>#REF!</v>
      </c>
      <c r="P122" s="138" t="e">
        <f t="shared" si="5"/>
        <v>#REF!</v>
      </c>
      <c r="Q122" s="138" t="e">
        <f t="shared" si="5"/>
        <v>#REF!</v>
      </c>
      <c r="R122" s="138" t="e">
        <f t="shared" si="5"/>
        <v>#REF!</v>
      </c>
      <c r="S122" s="138" t="e">
        <f t="shared" si="5"/>
        <v>#REF!</v>
      </c>
      <c r="T122" s="138" t="e">
        <f t="shared" si="5"/>
        <v>#REF!</v>
      </c>
      <c r="U122" s="138" t="e">
        <f t="shared" si="5"/>
        <v>#REF!</v>
      </c>
      <c r="V122" s="138" t="e">
        <f t="shared" si="5"/>
        <v>#REF!</v>
      </c>
      <c r="W122" s="138" t="e">
        <f t="shared" si="5"/>
        <v>#REF!</v>
      </c>
      <c r="X122" s="138" t="e">
        <f t="shared" si="5"/>
        <v>#REF!</v>
      </c>
      <c r="Y122" s="138" t="e">
        <f t="shared" si="5"/>
        <v>#REF!</v>
      </c>
      <c r="Z122" s="138" t="e">
        <f t="shared" si="5"/>
        <v>#REF!</v>
      </c>
      <c r="AA122" s="138" t="e">
        <f t="shared" si="5"/>
        <v>#REF!</v>
      </c>
      <c r="AB122" s="133"/>
      <c r="AC122" s="137"/>
      <c r="AD122" s="134"/>
      <c r="AE122" s="134"/>
      <c r="AF122" s="134"/>
      <c r="AG122" s="134"/>
      <c r="AH122" s="134"/>
      <c r="AI122" s="134"/>
    </row>
    <row r="123" spans="1:35" s="288" customFormat="1" ht="45" customHeight="1">
      <c r="A123" s="246">
        <f>A122</f>
        <v>114</v>
      </c>
      <c r="B123" s="246"/>
      <c r="C123" s="20" t="s">
        <v>435</v>
      </c>
      <c r="D123" s="287" t="e">
        <f>D122+D106</f>
        <v>#REF!</v>
      </c>
      <c r="E123" s="287" t="e">
        <f t="shared" ref="E123:AA123" si="6">E122+E106</f>
        <v>#REF!</v>
      </c>
      <c r="F123" s="287" t="e">
        <f t="shared" si="6"/>
        <v>#REF!</v>
      </c>
      <c r="G123" s="287" t="e">
        <f t="shared" si="6"/>
        <v>#REF!</v>
      </c>
      <c r="H123" s="287" t="e">
        <f t="shared" si="6"/>
        <v>#REF!</v>
      </c>
      <c r="I123" s="287" t="e">
        <f t="shared" si="6"/>
        <v>#REF!</v>
      </c>
      <c r="J123" s="287" t="e">
        <f t="shared" si="6"/>
        <v>#REF!</v>
      </c>
      <c r="K123" s="287" t="e">
        <f t="shared" si="6"/>
        <v>#REF!</v>
      </c>
      <c r="L123" s="287" t="e">
        <f t="shared" si="6"/>
        <v>#REF!</v>
      </c>
      <c r="M123" s="287" t="e">
        <f t="shared" si="6"/>
        <v>#REF!</v>
      </c>
      <c r="N123" s="287" t="e">
        <f t="shared" si="6"/>
        <v>#REF!</v>
      </c>
      <c r="O123" s="287" t="e">
        <f t="shared" si="6"/>
        <v>#REF!</v>
      </c>
      <c r="P123" s="287" t="e">
        <f t="shared" si="6"/>
        <v>#REF!</v>
      </c>
      <c r="Q123" s="287" t="e">
        <f t="shared" si="6"/>
        <v>#REF!</v>
      </c>
      <c r="R123" s="287" t="e">
        <f t="shared" si="6"/>
        <v>#REF!</v>
      </c>
      <c r="S123" s="287" t="e">
        <f t="shared" si="6"/>
        <v>#REF!</v>
      </c>
      <c r="T123" s="287" t="e">
        <f t="shared" si="6"/>
        <v>#REF!</v>
      </c>
      <c r="U123" s="287" t="e">
        <f t="shared" si="6"/>
        <v>#REF!</v>
      </c>
      <c r="V123" s="287" t="e">
        <f t="shared" si="6"/>
        <v>#REF!</v>
      </c>
      <c r="W123" s="287" t="e">
        <f t="shared" si="6"/>
        <v>#REF!</v>
      </c>
      <c r="X123" s="287" t="e">
        <f t="shared" si="6"/>
        <v>#REF!</v>
      </c>
      <c r="Y123" s="287" t="e">
        <f t="shared" si="6"/>
        <v>#REF!</v>
      </c>
      <c r="Z123" s="287" t="e">
        <f t="shared" si="6"/>
        <v>#REF!</v>
      </c>
      <c r="AA123" s="287" t="e">
        <f t="shared" si="6"/>
        <v>#REF!</v>
      </c>
      <c r="AB123" s="287"/>
      <c r="AC123" s="246"/>
      <c r="AD123" s="134"/>
      <c r="AE123" s="134"/>
      <c r="AF123" s="134"/>
      <c r="AG123" s="134"/>
      <c r="AH123" s="134"/>
      <c r="AI123" s="134"/>
    </row>
    <row r="124" spans="1:35">
      <c r="U124" s="132"/>
      <c r="V124" s="132"/>
      <c r="W124" s="132"/>
      <c r="X124" s="132"/>
      <c r="Y124" s="132"/>
      <c r="Z124" s="132"/>
      <c r="AA124" s="132"/>
    </row>
    <row r="125" spans="1:35">
      <c r="U125" s="132"/>
      <c r="V125" s="132"/>
      <c r="W125" s="132"/>
      <c r="X125" s="132"/>
      <c r="Y125" s="132"/>
      <c r="Z125" s="132"/>
      <c r="AA125" s="132"/>
    </row>
    <row r="126" spans="1:35">
      <c r="U126" s="317"/>
    </row>
    <row r="127" spans="1:35">
      <c r="U127" s="317"/>
    </row>
    <row r="128" spans="1:35">
      <c r="U128" s="317"/>
    </row>
    <row r="129" spans="21:21">
      <c r="U129" s="317"/>
    </row>
    <row r="130" spans="21:21">
      <c r="U130" s="317"/>
    </row>
    <row r="132" spans="21:21">
      <c r="U132" s="335"/>
    </row>
    <row r="134" spans="21:21">
      <c r="U134" s="335"/>
    </row>
    <row r="135" spans="21:21">
      <c r="U135" s="335"/>
    </row>
  </sheetData>
  <sheetProtection formatCells="0" formatColumns="0" formatRows="0" insertColumns="0" insertRows="0" insertHyperlinks="0" deleteColumns="0" deleteRows="0" sort="0" autoFilter="0" pivotTables="0"/>
  <conditionalFormatting sqref="AB4">
    <cfRule type="cellIs" dxfId="435" priority="3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42"/>
  <sheetViews>
    <sheetView showZeros="0" rightToLeft="1" zoomScaleNormal="100" workbookViewId="0">
      <pane xSplit="3" ySplit="4" topLeftCell="D127" activePane="bottomRight" state="frozen"/>
      <selection activeCell="F25" sqref="F25"/>
      <selection pane="topRight" activeCell="F25" sqref="F25"/>
      <selection pane="bottomLeft" activeCell="F25" sqref="F25"/>
      <selection pane="bottomRight" activeCell="U139" sqref="U139"/>
    </sheetView>
  </sheetViews>
  <sheetFormatPr defaultColWidth="9.109375" defaultRowHeight="13.8"/>
  <cols>
    <col min="1" max="1" width="4.44140625" style="131" customWidth="1"/>
    <col min="2" max="2" width="5.6640625" style="216" customWidth="1"/>
    <col min="3" max="3" width="17.6640625" style="139" customWidth="1"/>
    <col min="4" max="4" width="11.6640625" style="132" customWidth="1"/>
    <col min="5" max="5" width="12.6640625" style="132" hidden="1" customWidth="1"/>
    <col min="6" max="6" width="12.109375" style="132" hidden="1" customWidth="1"/>
    <col min="7" max="7" width="13" style="132" hidden="1" customWidth="1"/>
    <col min="8" max="8" width="14.33203125" style="132" hidden="1" customWidth="1"/>
    <col min="9" max="11" width="10.6640625" style="132" hidden="1" customWidth="1"/>
    <col min="12" max="12" width="11.6640625" style="132" customWidth="1"/>
    <col min="13" max="14" width="10.6640625" style="132" customWidth="1"/>
    <col min="15" max="15" width="11.6640625" style="132" customWidth="1"/>
    <col min="16" max="17" width="11.109375" style="132" hidden="1" customWidth="1"/>
    <col min="18" max="18" width="10.6640625" style="132" hidden="1" customWidth="1"/>
    <col min="19" max="19" width="13" style="132" hidden="1" customWidth="1"/>
    <col min="20" max="20" width="9" style="132" customWidth="1"/>
    <col min="21" max="21" width="10.6640625" style="131" customWidth="1"/>
    <col min="22" max="22" width="11.109375" style="131" customWidth="1"/>
    <col min="23" max="23" width="9.44140625" style="131" customWidth="1"/>
    <col min="24" max="24" width="10.6640625" style="131" hidden="1" customWidth="1"/>
    <col min="25" max="25" width="8.33203125" style="131" customWidth="1"/>
    <col min="26" max="26" width="8.33203125" style="131" hidden="1" customWidth="1"/>
    <col min="27" max="27" width="9.109375" style="131" customWidth="1"/>
    <col min="28" max="28" width="31.33203125" style="234" hidden="1" customWidth="1"/>
    <col min="29" max="29" width="10.6640625" style="131" customWidth="1"/>
    <col min="30" max="32" width="23.6640625" style="134" customWidth="1"/>
    <col min="33" max="33" width="25.88671875" style="134" customWidth="1"/>
    <col min="34" max="34" width="23.6640625" style="134" customWidth="1"/>
    <col min="35" max="35" width="12.109375" style="134" customWidth="1"/>
    <col min="36" max="16384" width="9.109375" style="131"/>
  </cols>
  <sheetData>
    <row r="1" spans="1:39" s="141" customFormat="1" ht="18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215"/>
      <c r="AD1" s="134"/>
      <c r="AE1" s="134"/>
      <c r="AF1" s="134"/>
      <c r="AG1" s="134"/>
      <c r="AH1" s="134"/>
      <c r="AI1" s="134"/>
    </row>
    <row r="2" spans="1:39" ht="18">
      <c r="A2" s="154" t="s">
        <v>171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39"/>
    </row>
    <row r="3" spans="1:39">
      <c r="U3" s="132"/>
    </row>
    <row r="4" spans="1:39" s="217" customFormat="1" ht="69">
      <c r="A4" s="326" t="s">
        <v>623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296" t="s">
        <v>11</v>
      </c>
      <c r="M4" s="133" t="s">
        <v>707</v>
      </c>
      <c r="N4" s="133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" t="s">
        <v>13</v>
      </c>
      <c r="W4" s="1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356" t="s">
        <v>242</v>
      </c>
      <c r="AC4" s="133" t="s">
        <v>16</v>
      </c>
      <c r="AD4" s="134"/>
      <c r="AE4" s="134"/>
      <c r="AF4" s="134"/>
      <c r="AG4" s="134"/>
      <c r="AH4" s="134"/>
      <c r="AI4" s="134"/>
    </row>
    <row r="5" spans="1:39" s="134" customFormat="1" ht="45" customHeight="1">
      <c r="A5" s="135">
        <v>1</v>
      </c>
      <c r="B5" s="135">
        <f>'תקציב החברה לפיתוח 2024'!B21</f>
        <v>1693</v>
      </c>
      <c r="C5" s="235" t="str">
        <f>'תקציב החברה לפיתוח 2024'!C21</f>
        <v xml:space="preserve">פינוי בינוי צומת כדורי </v>
      </c>
      <c r="D5" s="120">
        <f>'תקציב החברה לפיתוח 2024'!D21</f>
        <v>4500000</v>
      </c>
      <c r="E5" s="120">
        <f>'תקציב החברה לפיתוח 2024'!E21</f>
        <v>4500000</v>
      </c>
      <c r="F5" s="120">
        <f>'תקציב החברה לפיתוח 2024'!F21</f>
        <v>0</v>
      </c>
      <c r="G5" s="120">
        <f>'תקציב החברה לפיתוח 2024'!G21</f>
        <v>2416703</v>
      </c>
      <c r="H5" s="120">
        <f>'תקציב החברה לפיתוח 2024'!H21</f>
        <v>708955</v>
      </c>
      <c r="I5" s="120">
        <f>'תקציב החברה לפיתוח 2024'!I21</f>
        <v>449944</v>
      </c>
      <c r="J5" s="120">
        <f>'תקציב החברה לפיתוח 2024'!J21</f>
        <v>166720</v>
      </c>
      <c r="K5" s="120">
        <f>'תקציב החברה לפיתוח 2024'!K21</f>
        <v>616664</v>
      </c>
      <c r="L5" s="120">
        <f>'תקציב החברה לפיתוח 2024'!L21</f>
        <v>1325619</v>
      </c>
      <c r="M5" s="120">
        <f>'תקציב החברה לפיתוח 2024'!M21</f>
        <v>1084</v>
      </c>
      <c r="N5" s="120">
        <f>'תקציב החברה לפיתוח 2024'!N21</f>
        <v>1090000</v>
      </c>
      <c r="O5" s="120">
        <f>'תקציב החברה לפיתוח 2024'!O21</f>
        <v>2083297</v>
      </c>
      <c r="P5" s="120">
        <f>'תקציב החברה לפיתוח 2024'!P21</f>
        <v>1091084</v>
      </c>
      <c r="Q5" s="120">
        <f>'תקציב החברה לפיתוח 2024'!Q21</f>
        <v>0</v>
      </c>
      <c r="R5" s="120">
        <f>'תקציב החברה לפיתוח 2024'!R21</f>
        <v>0</v>
      </c>
      <c r="S5" s="120">
        <f>'תקציב החברה לפיתוח 2024'!S21</f>
        <v>0</v>
      </c>
      <c r="T5" s="120">
        <f>'תקציב החברה לפיתוח 2024'!T21</f>
        <v>1090000</v>
      </c>
      <c r="U5" s="120">
        <f>'תקציב החברה לפיתוח 2024'!U21</f>
        <v>0</v>
      </c>
      <c r="V5" s="120">
        <f>'תקציב החברה לפיתוח 2024'!V21</f>
        <v>0</v>
      </c>
      <c r="W5" s="120">
        <f>'תקציב החברה לפיתוח 2024'!W21</f>
        <v>0</v>
      </c>
      <c r="X5" s="120">
        <f>'תקציב החברה לפיתוח 2024'!X21</f>
        <v>0</v>
      </c>
      <c r="Y5" s="120">
        <f>'תקציב החברה לפיתוח 2024'!Y21</f>
        <v>0</v>
      </c>
      <c r="Z5" s="120">
        <f>'תקציב החברה לפיתוח 2024'!Z21</f>
        <v>0</v>
      </c>
      <c r="AA5" s="120">
        <f>'תקציב החברה לפיתוח 2024'!AA21</f>
        <v>0</v>
      </c>
      <c r="AB5" s="235" t="str">
        <f>'תקציב החברה לפיתוח 2024'!AB21</f>
        <v>תכנון מתחם צומת כדורי לפינוי ובינוי.בשלב הנעת התכנון לשלב סטטוטורי. מימון מ. הבינוי.</v>
      </c>
      <c r="AC5" s="135">
        <f>'תקציב החברה לפיתוח 2024'!AC21</f>
        <v>732000</v>
      </c>
      <c r="AJ5" s="5"/>
      <c r="AK5" s="5"/>
      <c r="AL5" s="5"/>
      <c r="AM5" s="5"/>
    </row>
    <row r="6" spans="1:39" s="136" customFormat="1" ht="45" customHeight="1">
      <c r="A6" s="135">
        <f>A5+1</f>
        <v>2</v>
      </c>
      <c r="B6" s="135">
        <f>'תקציב החברה לפיתוח 2024'!B22</f>
        <v>1723</v>
      </c>
      <c r="C6" s="235" t="str">
        <f>'תקציב החברה לפיתוח 2024'!C22</f>
        <v>מרכז תחבורה חדש</v>
      </c>
      <c r="D6" s="120">
        <f>'תקציב החברה לפיתוח 2024'!D22</f>
        <v>1978521</v>
      </c>
      <c r="E6" s="120">
        <f>'תקציב החברה לפיתוח 2024'!E22</f>
        <v>1978521</v>
      </c>
      <c r="F6" s="120">
        <f>'תקציב החברה לפיתוח 2024'!F22</f>
        <v>0</v>
      </c>
      <c r="G6" s="120">
        <f>'תקציב החברה לפיתוח 2024'!G22</f>
        <v>1978521</v>
      </c>
      <c r="H6" s="120">
        <f>'תקציב החברה לפיתוח 2024'!H22</f>
        <v>1651128</v>
      </c>
      <c r="I6" s="120">
        <f>'תקציב החברה לפיתוח 2024'!I22</f>
        <v>0</v>
      </c>
      <c r="J6" s="120">
        <f>'תקציב החברה לפיתוח 2024'!J22</f>
        <v>0</v>
      </c>
      <c r="K6" s="120">
        <f>'תקציב החברה לפיתוח 2024'!K22</f>
        <v>0</v>
      </c>
      <c r="L6" s="120">
        <f>'תקציב החברה לפיתוח 2024'!L22</f>
        <v>1651128</v>
      </c>
      <c r="M6" s="120">
        <f>'תקציב החברה לפיתוח 2024'!M22</f>
        <v>7393</v>
      </c>
      <c r="N6" s="120">
        <f>'תקציב החברה לפיתוח 2024'!N22</f>
        <v>120000</v>
      </c>
      <c r="O6" s="120">
        <f>'תקציב החברה לפיתוח 2024'!O22</f>
        <v>200000</v>
      </c>
      <c r="P6" s="120">
        <f>'תקציב החברה לפיתוח 2024'!P22</f>
        <v>327393</v>
      </c>
      <c r="Q6" s="120">
        <f>'תקציב החברה לפיתוח 2024'!Q22</f>
        <v>0</v>
      </c>
      <c r="R6" s="120">
        <f>'תקציב החברה לפיתוח 2024'!R22</f>
        <v>0</v>
      </c>
      <c r="S6" s="120">
        <f>'תקציב החברה לפיתוח 2024'!S22</f>
        <v>0</v>
      </c>
      <c r="T6" s="120">
        <f>'תקציב החברה לפיתוח 2024'!T22</f>
        <v>320000</v>
      </c>
      <c r="U6" s="120">
        <f>'תקציב החברה לפיתוח 2024'!U22</f>
        <v>-200000</v>
      </c>
      <c r="V6" s="120">
        <f>'תקציב החברה לפיתוח 2024'!V22</f>
        <v>-200000</v>
      </c>
      <c r="W6" s="120">
        <f>'תקציב החברה לפיתוח 2024'!W22</f>
        <v>0</v>
      </c>
      <c r="X6" s="120">
        <f>'תקציב החברה לפיתוח 2024'!X22</f>
        <v>0</v>
      </c>
      <c r="Y6" s="120">
        <f>'תקציב החברה לפיתוח 2024'!Y22</f>
        <v>0</v>
      </c>
      <c r="Z6" s="120">
        <f>'תקציב החברה לפיתוח 2024'!Z22</f>
        <v>0</v>
      </c>
      <c r="AA6" s="120">
        <f>'תקציב החברה לפיתוח 2024'!AA22</f>
        <v>0</v>
      </c>
      <c r="AB6" s="235" t="str">
        <f>'תקציב החברה לפיתוח 2024'!AB22</f>
        <v>השלמת תכנון עד להיתר לחניון אוטובוסים.</v>
      </c>
      <c r="AC6" s="135">
        <f>'תקציב החברה לפיתוח 2024'!AC22</f>
        <v>732000</v>
      </c>
      <c r="AD6" s="134"/>
      <c r="AE6" s="134"/>
      <c r="AF6" s="134"/>
      <c r="AG6" s="134"/>
      <c r="AH6" s="134"/>
      <c r="AI6" s="134"/>
      <c r="AJ6" s="134"/>
      <c r="AK6" s="134"/>
      <c r="AL6" s="134"/>
      <c r="AM6" s="134"/>
    </row>
    <row r="7" spans="1:39" s="136" customFormat="1" ht="45" customHeight="1">
      <c r="A7" s="135">
        <f>A6+1</f>
        <v>3</v>
      </c>
      <c r="B7" s="135">
        <f>'תקציב החברה לפיתוח 2024'!B56</f>
        <v>2115</v>
      </c>
      <c r="C7" s="235" t="str">
        <f>'תקציב החברה לפיתוח 2024'!C56</f>
        <v>תוכנית מתאר איזור התעסוקה הר/2440</v>
      </c>
      <c r="D7" s="120">
        <f>'תקציב החברה לפיתוח 2024'!D56</f>
        <v>3700000</v>
      </c>
      <c r="E7" s="120">
        <f>'תקציב החברה לפיתוח 2024'!E56</f>
        <v>3100000</v>
      </c>
      <c r="F7" s="120">
        <f>'תקציב החברה לפיתוח 2024'!F56</f>
        <v>600000</v>
      </c>
      <c r="G7" s="120">
        <f>'תקציב החברה לפיתוח 2024'!G56</f>
        <v>2300000</v>
      </c>
      <c r="H7" s="120">
        <f>'תקציב החברה לפיתוח 2024'!H56</f>
        <v>2300000</v>
      </c>
      <c r="I7" s="120">
        <f>'תקציב החברה לפיתוח 2024'!I56</f>
        <v>0</v>
      </c>
      <c r="J7" s="120">
        <f>'תקציב החברה לפיתוח 2024'!J56</f>
        <v>0</v>
      </c>
      <c r="K7" s="120">
        <f>'תקציב החברה לפיתוח 2024'!K56</f>
        <v>0</v>
      </c>
      <c r="L7" s="120">
        <f>'תקציב החברה לפיתוח 2024'!L56</f>
        <v>2300000</v>
      </c>
      <c r="M7" s="120">
        <f>'תקציב החברה לפיתוח 2024'!M56</f>
        <v>0</v>
      </c>
      <c r="N7" s="120">
        <f>'תקציב החברה לפיתוח 2024'!N56</f>
        <v>1400000</v>
      </c>
      <c r="O7" s="120">
        <f>'תקציב החברה לפיתוח 2024'!O56</f>
        <v>0</v>
      </c>
      <c r="P7" s="120">
        <f>'תקציב החברה לפיתוח 2024'!P56</f>
        <v>0</v>
      </c>
      <c r="Q7" s="120">
        <f>'תקציב החברה לפיתוח 2024'!Q56</f>
        <v>0</v>
      </c>
      <c r="R7" s="120">
        <f>'תקציב החברה לפיתוח 2024'!R56</f>
        <v>0</v>
      </c>
      <c r="S7" s="120">
        <f>'תקציב החברה לפיתוח 2024'!S56</f>
        <v>0</v>
      </c>
      <c r="T7" s="120">
        <f>'תקציב החברה לפיתוח 2024'!T56</f>
        <v>0</v>
      </c>
      <c r="U7" s="120">
        <f>'תקציב החברה לפיתוח 2024'!U56</f>
        <v>1400000</v>
      </c>
      <c r="V7" s="120">
        <f>'תקציב החברה לפיתוח 2024'!V56</f>
        <v>1400000</v>
      </c>
      <c r="W7" s="120">
        <f>'תקציב החברה לפיתוח 2024'!W56</f>
        <v>0</v>
      </c>
      <c r="X7" s="120">
        <f>'תקציב החברה לפיתוח 2024'!X56</f>
        <v>0</v>
      </c>
      <c r="Y7" s="120">
        <f>'תקציב החברה לפיתוח 2024'!Y56</f>
        <v>0</v>
      </c>
      <c r="Z7" s="120">
        <f>'תקציב החברה לפיתוח 2024'!Z56</f>
        <v>0</v>
      </c>
      <c r="AA7" s="120">
        <f>'תקציב החברה לפיתוח 2024'!AA56</f>
        <v>0</v>
      </c>
      <c r="AB7" s="235" t="str">
        <f>'תקציב החברה לפיתוח 2024'!AB56</f>
        <v>הפיכת תוכנית אסטרטגית  לתוכנית סטטוטורית, לתוכנית מתאר בועדה המחוזית בהתאם ליו"ר הועדה המחוזית וליווי מימושה של התוכנית שקיבלה תוקף.</v>
      </c>
      <c r="AC7" s="135">
        <f>'תקציב החברה לפיתוח 2024'!AC56</f>
        <v>732000</v>
      </c>
      <c r="AD7" s="134"/>
      <c r="AE7" s="134"/>
      <c r="AF7" s="134"/>
      <c r="AG7" s="134"/>
      <c r="AH7" s="134"/>
      <c r="AI7" s="134"/>
      <c r="AJ7" s="6"/>
      <c r="AK7" s="6"/>
      <c r="AL7" s="6"/>
      <c r="AM7" s="6"/>
    </row>
    <row r="8" spans="1:39" s="134" customFormat="1" ht="45" customHeight="1">
      <c r="A8" s="135">
        <f>A7+1</f>
        <v>4</v>
      </c>
      <c r="B8" s="135">
        <f>'תקציב החברה לפיתוח 2024'!B69</f>
        <v>2180</v>
      </c>
      <c r="C8" s="235" t="str">
        <f>'תקציב החברה לפיתוח 2024'!C69</f>
        <v>ליווי פרויקטים פינוי בינוי</v>
      </c>
      <c r="D8" s="120">
        <f>'תקציב החברה לפיתוח 2024'!D69</f>
        <v>2600000</v>
      </c>
      <c r="E8" s="120">
        <f>'תקציב החברה לפיתוח 2024'!E69</f>
        <v>1000000</v>
      </c>
      <c r="F8" s="120">
        <f>'תקציב החברה לפיתוח 2024'!F69</f>
        <v>1600000</v>
      </c>
      <c r="G8" s="120">
        <f>'תקציב החברה לפיתוח 2024'!G69</f>
        <v>1000000</v>
      </c>
      <c r="H8" s="120">
        <f>'תקציב החברה לפיתוח 2024'!H69</f>
        <v>481929</v>
      </c>
      <c r="I8" s="120">
        <f>'תקציב החברה לפיתוח 2024'!I69</f>
        <v>0</v>
      </c>
      <c r="J8" s="120">
        <f>'תקציב החברה לפיתוח 2024'!J69</f>
        <v>0</v>
      </c>
      <c r="K8" s="120">
        <f>'תקציב החברה לפיתוח 2024'!K69</f>
        <v>0</v>
      </c>
      <c r="L8" s="120">
        <f>'תקציב החברה לפיתוח 2024'!L69</f>
        <v>481929</v>
      </c>
      <c r="M8" s="120">
        <f>'תקציב החברה לפיתוח 2024'!M69</f>
        <v>3071</v>
      </c>
      <c r="N8" s="120">
        <f>'תקציב החברה לפיתוח 2024'!N69</f>
        <v>515000</v>
      </c>
      <c r="O8" s="120">
        <f>'תקציב החברה לפיתוח 2024'!O69</f>
        <v>1600000</v>
      </c>
      <c r="P8" s="120">
        <f>'תקציב החברה לפיתוח 2024'!P69</f>
        <v>518071</v>
      </c>
      <c r="Q8" s="120">
        <f>'תקציב החברה לפיתוח 2024'!Q69</f>
        <v>0</v>
      </c>
      <c r="R8" s="120">
        <f>'תקציב החברה לפיתוח 2024'!R69</f>
        <v>0</v>
      </c>
      <c r="S8" s="120">
        <f>'תקציב החברה לפיתוח 2024'!S69</f>
        <v>0</v>
      </c>
      <c r="T8" s="120">
        <f>'תקציב החברה לפיתוח 2024'!T69</f>
        <v>515000</v>
      </c>
      <c r="U8" s="120">
        <f>'תקציב החברה לפיתוח 2024'!U69</f>
        <v>0</v>
      </c>
      <c r="V8" s="120">
        <f>'תקציב החברה לפיתוח 2024'!V69</f>
        <v>0</v>
      </c>
      <c r="W8" s="120">
        <f>'תקציב החברה לפיתוח 2024'!W69</f>
        <v>0</v>
      </c>
      <c r="X8" s="120">
        <f>'תקציב החברה לפיתוח 2024'!X69</f>
        <v>0</v>
      </c>
      <c r="Y8" s="120">
        <f>'תקציב החברה לפיתוח 2024'!Y69</f>
        <v>0</v>
      </c>
      <c r="Z8" s="120">
        <f>'תקציב החברה לפיתוח 2024'!Z69</f>
        <v>0</v>
      </c>
      <c r="AA8" s="120">
        <f>'תקציב החברה לפיתוח 2024'!AA69</f>
        <v>0</v>
      </c>
      <c r="AB8" s="235" t="str">
        <f>'תקציב החברה לפיתוח 2024'!AB69</f>
        <v>ליווי פרויקטים של פינוי בינוי הכולל הכנת אומדנים ומפרטים ופיקוח על היתרים וביצוע בפועל.</v>
      </c>
      <c r="AC8" s="135">
        <f>'תקציב החברה לפיתוח 2024'!AC69</f>
        <v>732000</v>
      </c>
      <c r="AJ8" s="5"/>
      <c r="AK8" s="5"/>
      <c r="AL8" s="5"/>
      <c r="AM8" s="5"/>
    </row>
    <row r="9" spans="1:39" s="136" customFormat="1" ht="45" customHeight="1">
      <c r="A9" s="135">
        <f>A8+1</f>
        <v>5</v>
      </c>
      <c r="B9" s="135">
        <f>'תקציב החברה לפיתוח 2024'!B110</f>
        <v>20098</v>
      </c>
      <c r="C9" s="235" t="str">
        <f>'תקציב החברה לפיתוח 2024'!C110</f>
        <v>פיתוח רחבת בניין העירייה שער העיר</v>
      </c>
      <c r="D9" s="120">
        <f>'תקציב החברה לפיתוח 2024'!D110</f>
        <v>500000</v>
      </c>
      <c r="E9" s="120">
        <f>'תקציב החברה לפיתוח 2024'!E110</f>
        <v>250000</v>
      </c>
      <c r="F9" s="120">
        <f>'תקציב החברה לפיתוח 2024'!F110</f>
        <v>250000</v>
      </c>
      <c r="G9" s="120">
        <f>'תקציב החברה לפיתוח 2024'!G110</f>
        <v>250000</v>
      </c>
      <c r="H9" s="120">
        <f>'תקציב החברה לפיתוח 2024'!H110</f>
        <v>24336</v>
      </c>
      <c r="I9" s="120">
        <f>'תקציב החברה לפיתוח 2024'!I110</f>
        <v>0</v>
      </c>
      <c r="J9" s="120">
        <f>'תקציב החברה לפיתוח 2024'!J110</f>
        <v>0</v>
      </c>
      <c r="K9" s="120">
        <f>'תקציב החברה לפיתוח 2024'!K110</f>
        <v>0</v>
      </c>
      <c r="L9" s="120">
        <f>'תקציב החברה לפיתוח 2024'!L110</f>
        <v>24336</v>
      </c>
      <c r="M9" s="120">
        <f>'תקציב החברה לפיתוח 2024'!M110</f>
        <v>664</v>
      </c>
      <c r="N9" s="120">
        <f>'תקציב החברה לפיתוח 2024'!N110</f>
        <v>225000</v>
      </c>
      <c r="O9" s="120">
        <f>'תקציב החברה לפיתוח 2024'!O110</f>
        <v>250000</v>
      </c>
      <c r="P9" s="120">
        <f>'תקציב החברה לפיתוח 2024'!P110</f>
        <v>225664</v>
      </c>
      <c r="Q9" s="120">
        <f>'תקציב החברה לפיתוח 2024'!Q110</f>
        <v>0</v>
      </c>
      <c r="R9" s="120">
        <f>'תקציב החברה לפיתוח 2024'!R110</f>
        <v>0</v>
      </c>
      <c r="S9" s="120">
        <f>'תקציב החברה לפיתוח 2024'!S110</f>
        <v>0</v>
      </c>
      <c r="T9" s="120">
        <f>'תקציב החברה לפיתוח 2024'!T110</f>
        <v>225000</v>
      </c>
      <c r="U9" s="120">
        <f>'תקציב החברה לפיתוח 2024'!U110</f>
        <v>0</v>
      </c>
      <c r="V9" s="120">
        <f>'תקציב החברה לפיתוח 2024'!V110</f>
        <v>0</v>
      </c>
      <c r="W9" s="120">
        <f>'תקציב החברה לפיתוח 2024'!W110</f>
        <v>0</v>
      </c>
      <c r="X9" s="120">
        <f>'תקציב החברה לפיתוח 2024'!X110</f>
        <v>0</v>
      </c>
      <c r="Y9" s="120">
        <f>'תקציב החברה לפיתוח 2024'!Y110</f>
        <v>0</v>
      </c>
      <c r="Z9" s="120">
        <f>'תקציב החברה לפיתוח 2024'!Z110</f>
        <v>0</v>
      </c>
      <c r="AA9" s="120">
        <f>'תקציב החברה לפיתוח 2024'!AA110</f>
        <v>0</v>
      </c>
      <c r="AB9" s="235" t="str">
        <f>'תקציב החברה לפיתוח 2024'!AB110</f>
        <v>תכנון נופי ראשוני למתחם רחבת בניין העיריה.</v>
      </c>
      <c r="AC9" s="135">
        <f>'תקציב החברה לפיתוח 2024'!AC110</f>
        <v>742000</v>
      </c>
      <c r="AD9" s="134"/>
      <c r="AE9" s="134"/>
      <c r="AF9" s="134"/>
      <c r="AG9" s="134"/>
      <c r="AH9" s="272"/>
      <c r="AI9" s="272"/>
      <c r="AJ9" s="272"/>
      <c r="AK9" s="18"/>
      <c r="AL9" s="18"/>
      <c r="AM9" s="18"/>
    </row>
    <row r="10" spans="1:39" s="238" customFormat="1" ht="45" customHeight="1">
      <c r="A10" s="219"/>
      <c r="B10" s="219"/>
      <c r="C10" s="286" t="s">
        <v>525</v>
      </c>
      <c r="D10" s="249">
        <f>SUM(D5:D9)</f>
        <v>13278521</v>
      </c>
      <c r="E10" s="249">
        <f t="shared" ref="E10:AA10" si="0">SUM(E5:E9)</f>
        <v>10828521</v>
      </c>
      <c r="F10" s="249">
        <f t="shared" si="0"/>
        <v>2450000</v>
      </c>
      <c r="G10" s="249">
        <f t="shared" si="0"/>
        <v>7945224</v>
      </c>
      <c r="H10" s="249">
        <f t="shared" si="0"/>
        <v>5166348</v>
      </c>
      <c r="I10" s="249">
        <f t="shared" si="0"/>
        <v>449944</v>
      </c>
      <c r="J10" s="249">
        <f t="shared" si="0"/>
        <v>166720</v>
      </c>
      <c r="K10" s="249">
        <f t="shared" si="0"/>
        <v>616664</v>
      </c>
      <c r="L10" s="249">
        <f t="shared" si="0"/>
        <v>5783012</v>
      </c>
      <c r="M10" s="249">
        <f t="shared" si="0"/>
        <v>12212</v>
      </c>
      <c r="N10" s="249">
        <f t="shared" si="0"/>
        <v>3350000</v>
      </c>
      <c r="O10" s="249">
        <f t="shared" si="0"/>
        <v>4133297</v>
      </c>
      <c r="P10" s="249">
        <f t="shared" si="0"/>
        <v>2162212</v>
      </c>
      <c r="Q10" s="249">
        <f t="shared" si="0"/>
        <v>0</v>
      </c>
      <c r="R10" s="249">
        <f t="shared" si="0"/>
        <v>0</v>
      </c>
      <c r="S10" s="249">
        <f t="shared" si="0"/>
        <v>0</v>
      </c>
      <c r="T10" s="249">
        <f t="shared" si="0"/>
        <v>2150000</v>
      </c>
      <c r="U10" s="249">
        <f t="shared" si="0"/>
        <v>1200000</v>
      </c>
      <c r="V10" s="249">
        <f t="shared" si="0"/>
        <v>1200000</v>
      </c>
      <c r="W10" s="249">
        <f t="shared" si="0"/>
        <v>0</v>
      </c>
      <c r="X10" s="249">
        <f t="shared" si="0"/>
        <v>0</v>
      </c>
      <c r="Y10" s="249">
        <f t="shared" si="0"/>
        <v>0</v>
      </c>
      <c r="Z10" s="249">
        <f t="shared" si="0"/>
        <v>0</v>
      </c>
      <c r="AA10" s="249">
        <f t="shared" si="0"/>
        <v>0</v>
      </c>
      <c r="AB10" s="286"/>
      <c r="AC10" s="219"/>
      <c r="AH10" s="359"/>
      <c r="AI10" s="359"/>
      <c r="AJ10" s="359"/>
      <c r="AK10" s="404"/>
      <c r="AL10" s="404"/>
      <c r="AM10" s="404"/>
    </row>
    <row r="11" spans="1:39" s="136" customFormat="1" ht="45" customHeight="1">
      <c r="A11" s="135">
        <f>A9+1</f>
        <v>6</v>
      </c>
      <c r="B11" s="135">
        <f>'תקציב החברה לפיתוח 2024'!B5</f>
        <v>382</v>
      </c>
      <c r="C11" s="235" t="str">
        <f>'תקציב החברה לפיתוח 2024'!C5</f>
        <v xml:space="preserve">מערכת כבישים   באזור תעשייה מערבי </v>
      </c>
      <c r="D11" s="120">
        <f>'תקציב החברה לפיתוח 2024'!D5</f>
        <v>111381330</v>
      </c>
      <c r="E11" s="120">
        <f>'תקציב החברה לפיתוח 2024'!E5</f>
        <v>111381330</v>
      </c>
      <c r="F11" s="120">
        <f>'תקציב החברה לפיתוח 2024'!F5</f>
        <v>0</v>
      </c>
      <c r="G11" s="120">
        <f>'תקציב החברה לפיתוח 2024'!G5</f>
        <v>71381330</v>
      </c>
      <c r="H11" s="120">
        <f>'תקציב החברה לפיתוח 2024'!H5</f>
        <v>63822457</v>
      </c>
      <c r="I11" s="120">
        <f>'תקציב החברה לפיתוח 2024'!I5</f>
        <v>0</v>
      </c>
      <c r="J11" s="120">
        <f>'תקציב החברה לפיתוח 2024'!J5</f>
        <v>0</v>
      </c>
      <c r="K11" s="120">
        <f>'תקציב החברה לפיתוח 2024'!K5</f>
        <v>0</v>
      </c>
      <c r="L11" s="120">
        <f>'תקציב החברה לפיתוח 2024'!L5</f>
        <v>63822457</v>
      </c>
      <c r="M11" s="120">
        <f>'תקציב החברה לפיתוח 2024'!M5</f>
        <v>8873</v>
      </c>
      <c r="N11" s="120">
        <f>'תקציב החברה לפיתוח 2024'!N5</f>
        <v>13550000</v>
      </c>
      <c r="O11" s="120">
        <f>'תקציב החברה לפיתוח 2024'!O5</f>
        <v>34000000</v>
      </c>
      <c r="P11" s="120">
        <f>'תקציב החברה לפיתוח 2024'!P5</f>
        <v>7558873</v>
      </c>
      <c r="Q11" s="120">
        <f>'תקציב החברה לפיתוח 2024'!Q5</f>
        <v>6000000</v>
      </c>
      <c r="R11" s="120">
        <f>'תקציב החברה לפיתוח 2024'!R5</f>
        <v>0</v>
      </c>
      <c r="S11" s="120">
        <f>'תקציב החברה לפיתוח 2024'!S5</f>
        <v>6000000</v>
      </c>
      <c r="T11" s="120">
        <f>'תקציב החברה לפיתוח 2024'!T5</f>
        <v>13550000</v>
      </c>
      <c r="U11" s="120">
        <f>'תקציב החברה לפיתוח 2024'!U5</f>
        <v>0</v>
      </c>
      <c r="V11" s="120">
        <f>'תקציב החברה לפיתוח 2024'!V5</f>
        <v>-1200000</v>
      </c>
      <c r="W11" s="120">
        <f>'תקציב החברה לפיתוח 2024'!W5</f>
        <v>0</v>
      </c>
      <c r="X11" s="120">
        <f>'תקציב החברה לפיתוח 2024'!X5</f>
        <v>0</v>
      </c>
      <c r="Y11" s="120">
        <f>'תקציב החברה לפיתוח 2024'!Y5</f>
        <v>0</v>
      </c>
      <c r="Z11" s="120">
        <f>'תקציב החברה לפיתוח 2024'!Z5</f>
        <v>0</v>
      </c>
      <c r="AA11" s="120">
        <f>'תקציב החברה לפיתוח 2024'!AA5</f>
        <v>1200000</v>
      </c>
      <c r="AB11" s="235" t="str">
        <f>'תקציב החברה לפיתוח 2024'!AB5</f>
        <v xml:space="preserve">המשך ביצוע רח' משכית, ביצוע עבודות פיתוח רח' שנקר כולל ביצוע פיילוט עבודות הצללה. מימון מ. הגנת הסביבה. </v>
      </c>
      <c r="AC11" s="135">
        <f>'תקציב החברה לפיתוח 2024'!AC5</f>
        <v>742000</v>
      </c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</row>
    <row r="12" spans="1:39" s="136" customFormat="1" ht="45" customHeight="1">
      <c r="A12" s="135">
        <f t="shared" ref="A12:A60" si="1">A11+1</f>
        <v>7</v>
      </c>
      <c r="B12" s="135">
        <f>'תקציב החברה לפיתוח 2024'!B6</f>
        <v>532</v>
      </c>
      <c r="C12" s="235" t="str">
        <f>'תקציב החברה לפיתוח 2024'!C6</f>
        <v>פיתוח מתחם המסילה ודב הוז</v>
      </c>
      <c r="D12" s="120">
        <f>'תקציב החברה לפיתוח 2024'!D6</f>
        <v>80090000</v>
      </c>
      <c r="E12" s="120">
        <f>'תקציב החברה לפיתוח 2024'!E6</f>
        <v>80090000</v>
      </c>
      <c r="F12" s="120">
        <f>'תקציב החברה לפיתוח 2024'!F6</f>
        <v>0</v>
      </c>
      <c r="G12" s="120">
        <f>'תקציב החברה לפיתוח 2024'!G6</f>
        <v>80090000</v>
      </c>
      <c r="H12" s="120">
        <f>'תקציב החברה לפיתוח 2024'!H6</f>
        <v>79860343</v>
      </c>
      <c r="I12" s="120">
        <f>'תקציב החברה לפיתוח 2024'!I6</f>
        <v>0</v>
      </c>
      <c r="J12" s="120">
        <f>'תקציב החברה לפיתוח 2024'!J6</f>
        <v>0</v>
      </c>
      <c r="K12" s="120">
        <f>'תקציב החברה לפיתוח 2024'!K6</f>
        <v>0</v>
      </c>
      <c r="L12" s="120">
        <f>'תקציב החברה לפיתוח 2024'!L6</f>
        <v>79860343</v>
      </c>
      <c r="M12" s="120">
        <f>'תקציב החברה לפיתוח 2024'!M6</f>
        <v>9657</v>
      </c>
      <c r="N12" s="120">
        <f>'תקציב החברה לפיתוח 2024'!N6</f>
        <v>70000</v>
      </c>
      <c r="O12" s="120">
        <f>'תקציב החברה לפיתוח 2024'!O6</f>
        <v>150000</v>
      </c>
      <c r="P12" s="120">
        <f>'תקציב החברה לפיתוח 2024'!P6</f>
        <v>229657</v>
      </c>
      <c r="Q12" s="120">
        <f>'תקציב החברה לפיתוח 2024'!Q6</f>
        <v>0</v>
      </c>
      <c r="R12" s="120">
        <f>'תקציב החברה לפיתוח 2024'!R6</f>
        <v>0</v>
      </c>
      <c r="S12" s="120">
        <f>'תקציב החברה לפיתוח 2024'!S6</f>
        <v>0</v>
      </c>
      <c r="T12" s="120">
        <f>'תקציב החברה לפיתוח 2024'!T6</f>
        <v>220000</v>
      </c>
      <c r="U12" s="120">
        <f>'תקציב החברה לפיתוח 2024'!U6</f>
        <v>-150000</v>
      </c>
      <c r="V12" s="120">
        <f>'תקציב החברה לפיתוח 2024'!V6</f>
        <v>-150000</v>
      </c>
      <c r="W12" s="120">
        <f>'תקציב החברה לפיתוח 2024'!W6</f>
        <v>0</v>
      </c>
      <c r="X12" s="120">
        <f>'תקציב החברה לפיתוח 2024'!X6</f>
        <v>0</v>
      </c>
      <c r="Y12" s="120">
        <f>'תקציב החברה לפיתוח 2024'!Y6</f>
        <v>0</v>
      </c>
      <c r="Z12" s="120">
        <f>'תקציב החברה לפיתוח 2024'!Z6</f>
        <v>0</v>
      </c>
      <c r="AA12" s="120">
        <f>'תקציב החברה לפיתוח 2024'!AA6</f>
        <v>0</v>
      </c>
      <c r="AB12" s="235" t="str">
        <f>'תקציב החברה לפיתוח 2024'!AB6</f>
        <v>עבודות השלמת שצ"פים וגינת כלבים. חן סופיים. התב"ר לסגירה.</v>
      </c>
      <c r="AC12" s="135">
        <f>'תקציב החברה לפיתוח 2024'!AC6</f>
        <v>742000</v>
      </c>
      <c r="AD12" s="134"/>
      <c r="AE12" s="134"/>
      <c r="AF12" s="134"/>
      <c r="AG12" s="134"/>
      <c r="AH12" s="134"/>
      <c r="AI12" s="134"/>
    </row>
    <row r="13" spans="1:39" s="134" customFormat="1" ht="45" customHeight="1">
      <c r="A13" s="135">
        <f t="shared" si="1"/>
        <v>8</v>
      </c>
      <c r="B13" s="135">
        <f>'תקציב החברה לפיתוח 2024'!B8</f>
        <v>1067</v>
      </c>
      <c r="C13" s="235" t="str">
        <f>'תקציב החברה לפיתוח 2024'!C8</f>
        <v>עבודות פיתוח קטנות</v>
      </c>
      <c r="D13" s="120">
        <f>'תקציב החברה לפיתוח 2024'!D8</f>
        <v>5475000</v>
      </c>
      <c r="E13" s="120">
        <f>'תקציב החברה לפיתוח 2024'!E8</f>
        <v>4975000</v>
      </c>
      <c r="F13" s="120">
        <f>'תקציב החברה לפיתוח 2024'!F8</f>
        <v>500000</v>
      </c>
      <c r="G13" s="120">
        <f>'תקציב החברה לפיתוח 2024'!G8</f>
        <v>4475000</v>
      </c>
      <c r="H13" s="120">
        <f>'תקציב החברה לפיתוח 2024'!H8</f>
        <v>4513801</v>
      </c>
      <c r="I13" s="120">
        <f>'תקציב החברה לפיתוח 2024'!I8</f>
        <v>0</v>
      </c>
      <c r="J13" s="120">
        <f>'תקציב החברה לפיתוח 2024'!J8</f>
        <v>0</v>
      </c>
      <c r="K13" s="120">
        <f>'תקציב החברה לפיתוח 2024'!K8</f>
        <v>0</v>
      </c>
      <c r="L13" s="120">
        <f>'תקציב החברה לפיתוח 2024'!L8</f>
        <v>4513801</v>
      </c>
      <c r="M13" s="120">
        <f>'תקציב החברה לפיתוח 2024'!M8</f>
        <v>1199</v>
      </c>
      <c r="N13" s="120">
        <f>'תקציב החברה לפיתוח 2024'!N8</f>
        <v>660000</v>
      </c>
      <c r="O13" s="120">
        <f>'תקציב החברה לפיתוח 2024'!O8</f>
        <v>300000</v>
      </c>
      <c r="P13" s="120">
        <f>'תקציב החברה לפיתוח 2024'!P8</f>
        <v>-38801</v>
      </c>
      <c r="Q13" s="120">
        <f>'תקציב החברה לפיתוח 2024'!Q8</f>
        <v>500000</v>
      </c>
      <c r="R13" s="120">
        <f>'תקציב החברה לפיתוח 2024'!R8</f>
        <v>0</v>
      </c>
      <c r="S13" s="120">
        <f>'תקציב החברה לפיתוח 2024'!S8</f>
        <v>500000</v>
      </c>
      <c r="T13" s="120">
        <f>'תקציב החברה לפיתוח 2024'!T8</f>
        <v>460000</v>
      </c>
      <c r="U13" s="120">
        <f>'תקציב החברה לפיתוח 2024'!U8</f>
        <v>200000</v>
      </c>
      <c r="V13" s="120">
        <f>'תקציב החברה לפיתוח 2024'!V8</f>
        <v>200000</v>
      </c>
      <c r="W13" s="120">
        <f>'תקציב החברה לפיתוח 2024'!W8</f>
        <v>0</v>
      </c>
      <c r="X13" s="120">
        <f>'תקציב החברה לפיתוח 2024'!X8</f>
        <v>0</v>
      </c>
      <c r="Y13" s="120">
        <f>'תקציב החברה לפיתוח 2024'!Y8</f>
        <v>0</v>
      </c>
      <c r="Z13" s="120">
        <f>'תקציב החברה לפיתוח 2024'!Z8</f>
        <v>0</v>
      </c>
      <c r="AA13" s="120">
        <f>'תקציב החברה לפיתוח 2024'!AA8</f>
        <v>0</v>
      </c>
      <c r="AB13" s="235" t="str">
        <f>'תקציב החברה לפיתוח 2024'!AB8</f>
        <v>סל עבודות קטנות עפ"י דרישה.</v>
      </c>
      <c r="AC13" s="135">
        <f>'תקציב החברה לפיתוח 2024'!AC8</f>
        <v>742000</v>
      </c>
    </row>
    <row r="14" spans="1:39" s="5" customFormat="1" ht="45" customHeight="1">
      <c r="A14" s="135">
        <f t="shared" si="1"/>
        <v>9</v>
      </c>
      <c r="B14" s="135">
        <f>'תקציב החברה לפיתוח 2024'!B9</f>
        <v>1207</v>
      </c>
      <c r="C14" s="235" t="str">
        <f>'תקציב החברה לפיתוח 2024'!C9</f>
        <v>מתחם זרובבל</v>
      </c>
      <c r="D14" s="120">
        <f>'תקציב החברה לפיתוח 2024'!D9</f>
        <v>45650000</v>
      </c>
      <c r="E14" s="120">
        <f>'תקציב החברה לפיתוח 2024'!E9</f>
        <v>45650000</v>
      </c>
      <c r="F14" s="120">
        <f>'תקציב החברה לפיתוח 2024'!F9</f>
        <v>0</v>
      </c>
      <c r="G14" s="120">
        <f>'תקציב החברה לפיתוח 2024'!G9</f>
        <v>44770000</v>
      </c>
      <c r="H14" s="120">
        <f>'תקציב החברה לפיתוח 2024'!H9</f>
        <v>43349903</v>
      </c>
      <c r="I14" s="120">
        <f>'תקציב החברה לפיתוח 2024'!I9</f>
        <v>0</v>
      </c>
      <c r="J14" s="120">
        <f>'תקציב החברה לפיתוח 2024'!J9</f>
        <v>0</v>
      </c>
      <c r="K14" s="120">
        <f>'תקציב החברה לפיתוח 2024'!K9</f>
        <v>0</v>
      </c>
      <c r="L14" s="120">
        <f>'תקציב החברה לפיתוח 2024'!L9</f>
        <v>43349903</v>
      </c>
      <c r="M14" s="120">
        <f>'תקציב החברה לפיתוח 2024'!M9</f>
        <v>20097</v>
      </c>
      <c r="N14" s="120">
        <f>'תקציב החברה לפיתוח 2024'!N9</f>
        <v>0</v>
      </c>
      <c r="O14" s="120">
        <f>'תקציב החברה לפיתוח 2024'!O9</f>
        <v>2280000</v>
      </c>
      <c r="P14" s="120">
        <f>'תקציב החברה לפיתוח 2024'!P9</f>
        <v>1420097</v>
      </c>
      <c r="Q14" s="120">
        <f>'תקציב החברה לפיתוח 2024'!Q9</f>
        <v>0</v>
      </c>
      <c r="R14" s="120">
        <f>'תקציב החברה לפיתוח 2024'!R9</f>
        <v>0</v>
      </c>
      <c r="S14" s="120">
        <f>'תקציב החברה לפיתוח 2024'!S9</f>
        <v>0</v>
      </c>
      <c r="T14" s="120">
        <f>'תקציב החברה לפיתוח 2024'!T9</f>
        <v>1400000</v>
      </c>
      <c r="U14" s="120">
        <f>'תקציב החברה לפיתוח 2024'!U9</f>
        <v>-1400000</v>
      </c>
      <c r="V14" s="120">
        <f>'תקציב החברה לפיתוח 2024'!V9</f>
        <v>-1400000</v>
      </c>
      <c r="W14" s="120">
        <f>'תקציב החברה לפיתוח 2024'!W9</f>
        <v>0</v>
      </c>
      <c r="X14" s="120">
        <f>'תקציב החברה לפיתוח 2024'!X9</f>
        <v>0</v>
      </c>
      <c r="Y14" s="120">
        <f>'תקציב החברה לפיתוח 2024'!Y9</f>
        <v>0</v>
      </c>
      <c r="Z14" s="120">
        <f>'תקציב החברה לפיתוח 2024'!Z9</f>
        <v>0</v>
      </c>
      <c r="AA14" s="120">
        <f>'תקציב החברה לפיתוח 2024'!AA9</f>
        <v>0</v>
      </c>
      <c r="AB14" s="235" t="str">
        <f>'תקציב החברה לפיתוח 2024'!AB9</f>
        <v xml:space="preserve">המשך עבודות פיתוח במתחם. פיתוח השצ"פ. </v>
      </c>
      <c r="AC14" s="135">
        <f>'תקציב החברה לפיתוח 2024'!AC9</f>
        <v>742000</v>
      </c>
      <c r="AD14" s="134"/>
      <c r="AE14" s="134"/>
      <c r="AF14" s="134"/>
      <c r="AG14" s="134"/>
      <c r="AH14" s="134"/>
      <c r="AI14" s="134"/>
      <c r="AJ14" s="136"/>
      <c r="AK14" s="136"/>
      <c r="AL14" s="136"/>
      <c r="AM14" s="136"/>
    </row>
    <row r="15" spans="1:39" s="5" customFormat="1" ht="45" customHeight="1">
      <c r="A15" s="135">
        <f t="shared" si="1"/>
        <v>10</v>
      </c>
      <c r="B15" s="135">
        <f>'תקציב החברה לפיתוח 2024'!B10</f>
        <v>1238</v>
      </c>
      <c r="C15" s="235" t="str">
        <f>'תקציב החברה לפיתוח 2024'!C10</f>
        <v xml:space="preserve">פיתוח   פארק רבין </v>
      </c>
      <c r="D15" s="120">
        <f>'תקציב החברה לפיתוח 2024'!D10</f>
        <v>40500000</v>
      </c>
      <c r="E15" s="120">
        <f>'תקציב החברה לפיתוח 2024'!E10</f>
        <v>40500000</v>
      </c>
      <c r="F15" s="120">
        <f>'תקציב החברה לפיתוח 2024'!F10</f>
        <v>0</v>
      </c>
      <c r="G15" s="120">
        <f>'תקציב החברה לפיתוח 2024'!G10</f>
        <v>26000000</v>
      </c>
      <c r="H15" s="120">
        <f>'תקציב החברה לפיתוח 2024'!H10</f>
        <v>26038535</v>
      </c>
      <c r="I15" s="120">
        <f>'תקציב החברה לפיתוח 2024'!I10</f>
        <v>0</v>
      </c>
      <c r="J15" s="120">
        <f>'תקציב החברה לפיתוח 2024'!J10</f>
        <v>0</v>
      </c>
      <c r="K15" s="120">
        <f>'תקציב החברה לפיתוח 2024'!K10</f>
        <v>0</v>
      </c>
      <c r="L15" s="120">
        <f>'תקציב החברה לפיתוח 2024'!L10</f>
        <v>26038535</v>
      </c>
      <c r="M15" s="120">
        <f>'תקציב החברה לפיתוח 2024'!M10</f>
        <v>1465</v>
      </c>
      <c r="N15" s="120">
        <f>'תקציב החברה לפיתוח 2024'!N10</f>
        <v>6960000</v>
      </c>
      <c r="O15" s="120">
        <f>'תקציב החברה לפיתוח 2024'!O10</f>
        <v>7500000</v>
      </c>
      <c r="P15" s="120">
        <f>'תקציב החברה לפיתוח 2024'!P10</f>
        <v>-38535</v>
      </c>
      <c r="Q15" s="120">
        <f>'תקציב החברה לפיתוח 2024'!Q10</f>
        <v>2000000</v>
      </c>
      <c r="R15" s="120">
        <f>'תקציב החברה לפיתוח 2024'!R10</f>
        <v>0</v>
      </c>
      <c r="S15" s="120">
        <f>'תקציב החברה לפיתוח 2024'!S10</f>
        <v>2000000</v>
      </c>
      <c r="T15" s="120">
        <f>'תקציב החברה לפיתוח 2024'!T10</f>
        <v>1960000</v>
      </c>
      <c r="U15" s="120">
        <f>'תקציב החברה לפיתוח 2024'!U10</f>
        <v>5000000</v>
      </c>
      <c r="V15" s="120">
        <f>'תקציב החברה לפיתוח 2024'!V10</f>
        <v>500000</v>
      </c>
      <c r="W15" s="120">
        <f>'תקציב החברה לפיתוח 2024'!W10</f>
        <v>0</v>
      </c>
      <c r="X15" s="120">
        <f>'תקציב החברה לפיתוח 2024'!X10</f>
        <v>0</v>
      </c>
      <c r="Y15" s="120">
        <f>'תקציב החברה לפיתוח 2024'!Y10</f>
        <v>0</v>
      </c>
      <c r="Z15" s="120">
        <f>'תקציב החברה לפיתוח 2024'!Z10</f>
        <v>0</v>
      </c>
      <c r="AA15" s="120">
        <f>'תקציב החברה לפיתוח 2024'!AA10</f>
        <v>4500000</v>
      </c>
      <c r="AB15" s="235" t="str">
        <f>'תקציב החברה לפיתוח 2024'!AB10</f>
        <v>השלמת ביצוע פארק רבין צפון. מימון רמ"י ( שצ"פים מכרז "בית קורקס" , "גליל ים ג'")</v>
      </c>
      <c r="AC15" s="135">
        <f>'תקציב החברה לפיתוח 2024'!AC10</f>
        <v>742000</v>
      </c>
      <c r="AD15" s="134"/>
      <c r="AE15" s="134"/>
      <c r="AF15" s="134"/>
      <c r="AG15" s="134"/>
      <c r="AH15" s="134"/>
      <c r="AI15" s="134"/>
      <c r="AJ15" s="136"/>
      <c r="AK15" s="136"/>
      <c r="AL15" s="136"/>
      <c r="AM15" s="136"/>
    </row>
    <row r="16" spans="1:39" s="5" customFormat="1" ht="45" customHeight="1">
      <c r="A16" s="135">
        <f t="shared" si="1"/>
        <v>11</v>
      </c>
      <c r="B16" s="135">
        <f>'תקציב החברה לפיתוח 2024'!B11</f>
        <v>1298</v>
      </c>
      <c r="C16" s="235" t="str">
        <f>'תקציב החברה לפיתוח 2024'!C11</f>
        <v>תכנונים כלליים</v>
      </c>
      <c r="D16" s="120">
        <f>'תקציב החברה לפיתוח 2024'!D11</f>
        <v>6600000</v>
      </c>
      <c r="E16" s="120">
        <f>'תקציב החברה לפיתוח 2024'!E11</f>
        <v>6100000</v>
      </c>
      <c r="F16" s="120">
        <f>'תקציב החברה לפיתוח 2024'!F11</f>
        <v>500000</v>
      </c>
      <c r="G16" s="120">
        <f>'תקציב החברה לפיתוח 2024'!G11</f>
        <v>5800000</v>
      </c>
      <c r="H16" s="120">
        <f>'תקציב החברה לפיתוח 2024'!H11</f>
        <v>5766092</v>
      </c>
      <c r="I16" s="120">
        <f>'תקציב החברה לפיתוח 2024'!I11</f>
        <v>0</v>
      </c>
      <c r="J16" s="120">
        <f>'תקציב החברה לפיתוח 2024'!J11</f>
        <v>0</v>
      </c>
      <c r="K16" s="120">
        <f>'תקציב החברה לפיתוח 2024'!K11</f>
        <v>0</v>
      </c>
      <c r="L16" s="120">
        <f>'תקציב החברה לפיתוח 2024'!L11</f>
        <v>5766092</v>
      </c>
      <c r="M16" s="120">
        <f>'תקציב החברה לפיתוח 2024'!M11</f>
        <v>3908</v>
      </c>
      <c r="N16" s="120">
        <f>'תקציב החברה לפיתוח 2024'!N11</f>
        <v>600000</v>
      </c>
      <c r="O16" s="120">
        <f>'תקציב החברה לפיתוח 2024'!O11</f>
        <v>230000</v>
      </c>
      <c r="P16" s="120">
        <f>'תקציב החברה לפיתוח 2024'!P11</f>
        <v>33908</v>
      </c>
      <c r="Q16" s="120">
        <f>'תקציב החברה לפיתוח 2024'!Q11</f>
        <v>300000</v>
      </c>
      <c r="R16" s="120">
        <f>'תקציב החברה לפיתוח 2024'!R11</f>
        <v>0</v>
      </c>
      <c r="S16" s="120">
        <f>'תקציב החברה לפיתוח 2024'!S11</f>
        <v>300000</v>
      </c>
      <c r="T16" s="120">
        <f>'תקציב החברה לפיתוח 2024'!T11</f>
        <v>330000</v>
      </c>
      <c r="U16" s="120">
        <f>'תקציב החברה לפיתוח 2024'!U11</f>
        <v>270000</v>
      </c>
      <c r="V16" s="120">
        <f>'תקציב החברה לפיתוח 2024'!V11</f>
        <v>270000</v>
      </c>
      <c r="W16" s="120">
        <f>'תקציב החברה לפיתוח 2024'!W11</f>
        <v>0</v>
      </c>
      <c r="X16" s="120">
        <f>'תקציב החברה לפיתוח 2024'!X11</f>
        <v>0</v>
      </c>
      <c r="Y16" s="120">
        <f>'תקציב החברה לפיתוח 2024'!Y11</f>
        <v>0</v>
      </c>
      <c r="Z16" s="120">
        <f>'תקציב החברה לפיתוח 2024'!Z11</f>
        <v>0</v>
      </c>
      <c r="AA16" s="120">
        <f>'תקציב החברה לפיתוח 2024'!AA11</f>
        <v>0</v>
      </c>
      <c r="AB16" s="235" t="str">
        <f>'תקציב החברה לפיתוח 2024'!AB11</f>
        <v>סל עבודות תכנון עפ"י דרישה.</v>
      </c>
      <c r="AC16" s="135">
        <f>'תקציב החברה לפיתוח 2024'!AC11</f>
        <v>742000</v>
      </c>
      <c r="AD16" s="134"/>
      <c r="AE16" s="134"/>
      <c r="AF16" s="134"/>
      <c r="AG16" s="134"/>
      <c r="AH16" s="134"/>
      <c r="AI16" s="134"/>
      <c r="AJ16" s="136"/>
      <c r="AK16" s="136"/>
      <c r="AL16" s="136"/>
      <c r="AM16" s="136"/>
    </row>
    <row r="17" spans="1:39" s="134" customFormat="1" ht="45" customHeight="1">
      <c r="A17" s="135">
        <f t="shared" si="1"/>
        <v>12</v>
      </c>
      <c r="B17" s="135">
        <f>'תקציב החברה לפיתוח 2024'!B12</f>
        <v>1314</v>
      </c>
      <c r="C17" s="235" t="str">
        <f>'תקציב החברה לפיתוח 2024'!C12</f>
        <v>רח' גבעת החלומות פיתוח</v>
      </c>
      <c r="D17" s="120">
        <f>'תקציב החברה לפיתוח 2024'!D12</f>
        <v>5200000</v>
      </c>
      <c r="E17" s="120">
        <f>'תקציב החברה לפיתוח 2024'!E12</f>
        <v>5200000</v>
      </c>
      <c r="F17" s="120">
        <f>'תקציב החברה לפיתוח 2024'!F12</f>
        <v>0</v>
      </c>
      <c r="G17" s="120">
        <f>'תקציב החברה לפיתוח 2024'!G12</f>
        <v>5200000</v>
      </c>
      <c r="H17" s="120">
        <f>'תקציב החברה לפיתוח 2024'!H12</f>
        <v>5177082</v>
      </c>
      <c r="I17" s="120">
        <f>'תקציב החברה לפיתוח 2024'!I12</f>
        <v>0</v>
      </c>
      <c r="J17" s="120">
        <f>'תקציב החברה לפיתוח 2024'!J12</f>
        <v>0</v>
      </c>
      <c r="K17" s="120">
        <f>'תקציב החברה לפיתוח 2024'!K12</f>
        <v>0</v>
      </c>
      <c r="L17" s="120">
        <f>'תקציב החברה לפיתוח 2024'!L12</f>
        <v>5177082</v>
      </c>
      <c r="M17" s="120">
        <f>'תקציב החברה לפיתוח 2024'!M12</f>
        <v>0</v>
      </c>
      <c r="N17" s="120">
        <f>'תקציב החברה לפיתוח 2024'!N12</f>
        <v>0</v>
      </c>
      <c r="O17" s="120">
        <f>'תקציב החברה לפיתוח 2024'!O12</f>
        <v>22918</v>
      </c>
      <c r="P17" s="120">
        <f>'תקציב החברה לפיתוח 2024'!P12</f>
        <v>22918</v>
      </c>
      <c r="Q17" s="120">
        <f>'תקציב החברה לפיתוח 2024'!Q12</f>
        <v>0</v>
      </c>
      <c r="R17" s="120">
        <f>'תקציב החברה לפיתוח 2024'!R12</f>
        <v>0</v>
      </c>
      <c r="S17" s="120">
        <f>'תקציב החברה לפיתוח 2024'!S12</f>
        <v>0</v>
      </c>
      <c r="T17" s="120">
        <f>'תקציב החברה לפיתוח 2024'!T12</f>
        <v>22918</v>
      </c>
      <c r="U17" s="120">
        <f>'תקציב החברה לפיתוח 2024'!U12</f>
        <v>-22918</v>
      </c>
      <c r="V17" s="120">
        <f>'תקציב החברה לפיתוח 2024'!V12</f>
        <v>-22918</v>
      </c>
      <c r="W17" s="120">
        <f>'תקציב החברה לפיתוח 2024'!W12</f>
        <v>0</v>
      </c>
      <c r="X17" s="120">
        <f>'תקציב החברה לפיתוח 2024'!X12</f>
        <v>0</v>
      </c>
      <c r="Y17" s="120">
        <f>'תקציב החברה לפיתוח 2024'!Y12</f>
        <v>0</v>
      </c>
      <c r="Z17" s="120">
        <f>'תקציב החברה לפיתוח 2024'!Z12</f>
        <v>0</v>
      </c>
      <c r="AA17" s="120">
        <f>'תקציב החברה לפיתוח 2024'!AA12</f>
        <v>0</v>
      </c>
      <c r="AB17" s="235" t="str">
        <f>'תקציב החברה לפיתוח 2024'!AB12</f>
        <v>פיתוח רחוב גבעת החלומות לרבות עבודות ניקוז ותאורה. הפרויקט הסתיים. סגירת תב"ר.</v>
      </c>
      <c r="AC17" s="135">
        <f>'תקציב החברה לפיתוח 2024'!AC12</f>
        <v>742000</v>
      </c>
      <c r="AJ17" s="5"/>
      <c r="AK17" s="5"/>
      <c r="AL17" s="5"/>
      <c r="AM17" s="5"/>
    </row>
    <row r="18" spans="1:39" s="134" customFormat="1" ht="45" customHeight="1">
      <c r="A18" s="135">
        <f t="shared" si="1"/>
        <v>13</v>
      </c>
      <c r="B18" s="135">
        <f>'תקציב החברה לפיתוח 2024'!B13</f>
        <v>1322</v>
      </c>
      <c r="C18" s="235" t="str">
        <f>'תקציב החברה לפיתוח 2024'!C13</f>
        <v>מתחם נוף ים פיתוח</v>
      </c>
      <c r="D18" s="120">
        <f>'תקציב החברה לפיתוח 2024'!D13</f>
        <v>18500000</v>
      </c>
      <c r="E18" s="120">
        <f>'תקציב החברה לפיתוח 2024'!E13</f>
        <v>18500000</v>
      </c>
      <c r="F18" s="120">
        <f>'תקציב החברה לפיתוח 2024'!F13</f>
        <v>0</v>
      </c>
      <c r="G18" s="120">
        <f>'תקציב החברה לפיתוח 2024'!G13</f>
        <v>10850000</v>
      </c>
      <c r="H18" s="120">
        <f>'תקציב החברה לפיתוח 2024'!H13</f>
        <v>9799391</v>
      </c>
      <c r="I18" s="120">
        <f>'תקציב החברה לפיתוח 2024'!I13</f>
        <v>0</v>
      </c>
      <c r="J18" s="120">
        <f>'תקציב החברה לפיתוח 2024'!J13</f>
        <v>0</v>
      </c>
      <c r="K18" s="120">
        <f>'תקציב החברה לפיתוח 2024'!K13</f>
        <v>0</v>
      </c>
      <c r="L18" s="120">
        <f>'תקציב החברה לפיתוח 2024'!L13</f>
        <v>9799391</v>
      </c>
      <c r="M18" s="120">
        <f>'תקציב החברה לפיתוח 2024'!M13</f>
        <v>609</v>
      </c>
      <c r="N18" s="120">
        <f>'תקציב החברה לפיתוח 2024'!N13</f>
        <v>1050000</v>
      </c>
      <c r="O18" s="120">
        <f>'תקציב החברה לפיתוח 2024'!O13</f>
        <v>7650000</v>
      </c>
      <c r="P18" s="120">
        <f>'תקציב החברה לפיתוח 2024'!P13</f>
        <v>1050609</v>
      </c>
      <c r="Q18" s="120">
        <f>'תקציב החברה לפיתוח 2024'!Q13</f>
        <v>0</v>
      </c>
      <c r="R18" s="120">
        <f>'תקציב החברה לפיתוח 2024'!R13</f>
        <v>0</v>
      </c>
      <c r="S18" s="120">
        <f>'תקציב החברה לפיתוח 2024'!S13</f>
        <v>0</v>
      </c>
      <c r="T18" s="120">
        <f>'תקציב החברה לפיתוח 2024'!T13</f>
        <v>1050000</v>
      </c>
      <c r="U18" s="120">
        <f>'תקציב החברה לפיתוח 2024'!U13</f>
        <v>0</v>
      </c>
      <c r="V18" s="120">
        <f>'תקציב החברה לפיתוח 2024'!V13</f>
        <v>0</v>
      </c>
      <c r="W18" s="120">
        <f>'תקציב החברה לפיתוח 2024'!W13</f>
        <v>0</v>
      </c>
      <c r="X18" s="120">
        <f>'תקציב החברה לפיתוח 2024'!X13</f>
        <v>0</v>
      </c>
      <c r="Y18" s="120">
        <f>'תקציב החברה לפיתוח 2024'!Y13</f>
        <v>0</v>
      </c>
      <c r="Z18" s="120">
        <f>'תקציב החברה לפיתוח 2024'!Z13</f>
        <v>0</v>
      </c>
      <c r="AA18" s="120">
        <f>'תקציב החברה לפיתוח 2024'!AA13</f>
        <v>0</v>
      </c>
      <c r="AB18" s="235" t="str">
        <f>'תקציב החברה לפיתוח 2024'!AB13</f>
        <v>ביצוע תשתיות רח' הנשיא מחיבורו לשער הים עד הצומת רח' הפועל התאנה כולל הטמנת רשת חשמל.</v>
      </c>
      <c r="AC18" s="135">
        <f>'תקציב החברה לפיתוח 2024'!AC13</f>
        <v>742000</v>
      </c>
      <c r="AJ18" s="5"/>
      <c r="AK18" s="5"/>
      <c r="AL18" s="5"/>
      <c r="AM18" s="5"/>
    </row>
    <row r="19" spans="1:39" s="134" customFormat="1" ht="45" customHeight="1">
      <c r="A19" s="135">
        <f t="shared" si="1"/>
        <v>14</v>
      </c>
      <c r="B19" s="135">
        <f>'תקציב החברה לפיתוח 2024'!B16</f>
        <v>1588</v>
      </c>
      <c r="C19" s="235" t="str">
        <f>'תקציב החברה לפיתוח 2024'!C16</f>
        <v>פיתוח מתחם אלוני ים הר' 2030</v>
      </c>
      <c r="D19" s="120">
        <f>'תקציב החברה לפיתוח 2024'!D16</f>
        <v>53500000</v>
      </c>
      <c r="E19" s="120">
        <f>'תקציב החברה לפיתוח 2024'!E16</f>
        <v>50500000</v>
      </c>
      <c r="F19" s="120">
        <f>'תקציב החברה לפיתוח 2024'!F16</f>
        <v>3000000</v>
      </c>
      <c r="G19" s="120">
        <f>'תקציב החברה לפיתוח 2024'!G16</f>
        <v>45500000</v>
      </c>
      <c r="H19" s="120">
        <f>'תקציב החברה לפיתוח 2024'!H16</f>
        <v>40127873</v>
      </c>
      <c r="I19" s="120">
        <f>'תקציב החברה לפיתוח 2024'!I16</f>
        <v>0</v>
      </c>
      <c r="J19" s="120">
        <f>'תקציב החברה לפיתוח 2024'!J16</f>
        <v>0</v>
      </c>
      <c r="K19" s="120">
        <f>'תקציב החברה לפיתוח 2024'!K16</f>
        <v>0</v>
      </c>
      <c r="L19" s="120">
        <f>'תקציב החברה לפיתוח 2024'!L16</f>
        <v>40127873</v>
      </c>
      <c r="M19" s="120">
        <f>'תקציב החברה לפיתוח 2024'!M16</f>
        <v>2127</v>
      </c>
      <c r="N19" s="120">
        <f>'תקציב החברה לפיתוח 2024'!N16</f>
        <v>6870000</v>
      </c>
      <c r="O19" s="120">
        <f>'תקציב החברה לפיתוח 2024'!O16</f>
        <v>6500000</v>
      </c>
      <c r="P19" s="120">
        <f>'תקציב החברה לפיתוח 2024'!P16</f>
        <v>5372127</v>
      </c>
      <c r="Q19" s="120">
        <f>'תקציב החברה לפיתוח 2024'!Q16</f>
        <v>0</v>
      </c>
      <c r="R19" s="120">
        <f>'תקציב החברה לפיתוח 2024'!R16</f>
        <v>0</v>
      </c>
      <c r="S19" s="120">
        <f>'תקציב החברה לפיתוח 2024'!S16</f>
        <v>0</v>
      </c>
      <c r="T19" s="120">
        <f>'תקציב החברה לפיתוח 2024'!T16</f>
        <v>5370000</v>
      </c>
      <c r="U19" s="120">
        <f>'תקציב החברה לפיתוח 2024'!U16</f>
        <v>1500000</v>
      </c>
      <c r="V19" s="120">
        <f>'תקציב החברה לפיתוח 2024'!V16</f>
        <v>-2962592</v>
      </c>
      <c r="W19" s="120">
        <f>'תקציב החברה לפיתוח 2024'!W16</f>
        <v>0</v>
      </c>
      <c r="X19" s="120">
        <f>'תקציב החברה לפיתוח 2024'!X16</f>
        <v>0</v>
      </c>
      <c r="Y19" s="120">
        <f>'תקציב החברה לפיתוח 2024'!Y16</f>
        <v>0</v>
      </c>
      <c r="Z19" s="120">
        <f>'תקציב החברה לפיתוח 2024'!Z16</f>
        <v>0</v>
      </c>
      <c r="AA19" s="120">
        <f>'תקציב החברה לפיתוח 2024'!AA16</f>
        <v>4462592</v>
      </c>
      <c r="AB19" s="235" t="str">
        <f>'תקציב החברה לפיתוח 2024'!AB16</f>
        <v>המשך עבודות פיתוח שצ"פ ("מערכות") במתחם אלוני ים הר' 2030 . מימון רמ"י ( שצ"פים מכרז "גליל ים ג'").</v>
      </c>
      <c r="AC19" s="135">
        <f>'תקציב החברה לפיתוח 2024'!AC16</f>
        <v>742000</v>
      </c>
    </row>
    <row r="20" spans="1:39" s="134" customFormat="1" ht="45" customHeight="1">
      <c r="A20" s="135">
        <f t="shared" si="1"/>
        <v>15</v>
      </c>
      <c r="B20" s="135">
        <f>'תקציב החברה לפיתוח 2024'!B17</f>
        <v>1615</v>
      </c>
      <c r="C20" s="235" t="str">
        <f>'תקציב החברה לפיתוח 2024'!C17</f>
        <v>פיתוח מתחם הר' 1903</v>
      </c>
      <c r="D20" s="120">
        <f>'תקציב החברה לפיתוח 2024'!D17</f>
        <v>27700000</v>
      </c>
      <c r="E20" s="120">
        <f>'תקציב החברה לפיתוח 2024'!E17</f>
        <v>27700000</v>
      </c>
      <c r="F20" s="120">
        <f>'תקציב החברה לפיתוח 2024'!F17</f>
        <v>0</v>
      </c>
      <c r="G20" s="120">
        <f>'תקציב החברה לפיתוח 2024'!G17</f>
        <v>23700000</v>
      </c>
      <c r="H20" s="120">
        <f>'תקציב החברה לפיתוח 2024'!H17</f>
        <v>22547620</v>
      </c>
      <c r="I20" s="120">
        <f>'תקציב החברה לפיתוח 2024'!I17</f>
        <v>0</v>
      </c>
      <c r="J20" s="120">
        <f>'תקציב החברה לפיתוח 2024'!J17</f>
        <v>0</v>
      </c>
      <c r="K20" s="120">
        <f>'תקציב החברה לפיתוח 2024'!K17</f>
        <v>0</v>
      </c>
      <c r="L20" s="120">
        <f>'תקציב החברה לפיתוח 2024'!L17</f>
        <v>22547620</v>
      </c>
      <c r="M20" s="120">
        <f>'תקציב החברה לפיתוח 2024'!M17</f>
        <v>2380</v>
      </c>
      <c r="N20" s="120">
        <f>'תקציב החברה לפיתוח 2024'!N17</f>
        <v>150000</v>
      </c>
      <c r="O20" s="120">
        <f>'תקציב החברה לפיתוח 2024'!O17</f>
        <v>5000000</v>
      </c>
      <c r="P20" s="120">
        <f>'תקציב החברה לפיתוח 2024'!P17</f>
        <v>1152380</v>
      </c>
      <c r="Q20" s="120">
        <f>'תקציב החברה לפיתוח 2024'!Q17</f>
        <v>0</v>
      </c>
      <c r="R20" s="120">
        <f>'תקציב החברה לפיתוח 2024'!R17</f>
        <v>0</v>
      </c>
      <c r="S20" s="120">
        <f>'תקציב החברה לפיתוח 2024'!S17</f>
        <v>0</v>
      </c>
      <c r="T20" s="120">
        <f>'תקציב החברה לפיתוח 2024'!T17</f>
        <v>1150000</v>
      </c>
      <c r="U20" s="120">
        <f>'תקציב החברה לפיתוח 2024'!U17</f>
        <v>-1000000</v>
      </c>
      <c r="V20" s="120">
        <f>'תקציב החברה לפיתוח 2024'!V17</f>
        <v>-1000000</v>
      </c>
      <c r="W20" s="120">
        <f>'תקציב החברה לפיתוח 2024'!W17</f>
        <v>0</v>
      </c>
      <c r="X20" s="120">
        <f>'תקציב החברה לפיתוח 2024'!X17</f>
        <v>0</v>
      </c>
      <c r="Y20" s="120">
        <f>'תקציב החברה לפיתוח 2024'!Y17</f>
        <v>0</v>
      </c>
      <c r="Z20" s="120">
        <f>'תקציב החברה לפיתוח 2024'!Z17</f>
        <v>0</v>
      </c>
      <c r="AA20" s="120">
        <f>'תקציב החברה לפיתוח 2024'!AA17</f>
        <v>0</v>
      </c>
      <c r="AB20" s="235" t="str">
        <f>'תקציב החברה לפיתוח 2024'!AB17</f>
        <v>טיפול בשב"צ וגינת כלבים. חן סופיים. התב"ר לסגירה.</v>
      </c>
      <c r="AC20" s="135">
        <f>'תקציב החברה לפיתוח 2024'!AC17</f>
        <v>742000</v>
      </c>
    </row>
    <row r="21" spans="1:39" s="5" customFormat="1" ht="45" customHeight="1">
      <c r="A21" s="135">
        <f t="shared" si="1"/>
        <v>16</v>
      </c>
      <c r="B21" s="135">
        <f>'תקציב החברה לפיתוח 2024'!B19</f>
        <v>1657</v>
      </c>
      <c r="C21" s="235" t="str">
        <f>'תקציב החברה לפיתוח 2024'!C19</f>
        <v>פיתוח מתחם "מרינה לי"</v>
      </c>
      <c r="D21" s="120">
        <f>'תקציב החברה לפיתוח 2024'!D19</f>
        <v>65000000</v>
      </c>
      <c r="E21" s="120">
        <f>'תקציב החברה לפיתוח 2024'!E19</f>
        <v>60000000</v>
      </c>
      <c r="F21" s="120">
        <f>'תקציב החברה לפיתוח 2024'!F19</f>
        <v>5000000</v>
      </c>
      <c r="G21" s="120">
        <f>'תקציב החברה לפיתוח 2024'!G19</f>
        <v>41519789</v>
      </c>
      <c r="H21" s="120">
        <f>'תקציב החברה לפיתוח 2024'!H19</f>
        <v>53294967</v>
      </c>
      <c r="I21" s="120">
        <f>'תקציב החברה לפיתוח 2024'!I19</f>
        <v>0</v>
      </c>
      <c r="J21" s="120">
        <f>'תקציב החברה לפיתוח 2024'!J19</f>
        <v>0</v>
      </c>
      <c r="K21" s="120">
        <f>'תקציב החברה לפיתוח 2024'!K19</f>
        <v>0</v>
      </c>
      <c r="L21" s="120">
        <f>'תקציב החברה לפיתוח 2024'!L19</f>
        <v>53294967</v>
      </c>
      <c r="M21" s="120">
        <f>'תקציב החברה לפיתוח 2024'!M19</f>
        <v>4822</v>
      </c>
      <c r="N21" s="120">
        <f>'תקציב החברה לפיתוח 2024'!N19</f>
        <v>1220000</v>
      </c>
      <c r="O21" s="120">
        <f>'תקציב החברה לפיתוח 2024'!O19</f>
        <v>10480211</v>
      </c>
      <c r="P21" s="120">
        <f>'תקציב החברה לפיתוח 2024'!P19</f>
        <v>-11775178</v>
      </c>
      <c r="Q21" s="120">
        <f>'תקציב החברה לפיתוח 2024'!Q19</f>
        <v>13000000</v>
      </c>
      <c r="R21" s="120">
        <f>'תקציב החברה לפיתוח 2024'!R19</f>
        <v>0</v>
      </c>
      <c r="S21" s="120">
        <f>'תקציב החברה לפיתוח 2024'!S19</f>
        <v>13000000</v>
      </c>
      <c r="T21" s="120">
        <f>'תקציב החברה לפיתוח 2024'!T19</f>
        <v>1220000</v>
      </c>
      <c r="U21" s="120">
        <f>'תקציב החברה לפיתוח 2024'!U19</f>
        <v>0</v>
      </c>
      <c r="V21" s="120">
        <f>'תקציב החברה לפיתוח 2024'!V19</f>
        <v>0</v>
      </c>
      <c r="W21" s="120">
        <f>'תקציב החברה לפיתוח 2024'!W19</f>
        <v>0</v>
      </c>
      <c r="X21" s="120">
        <f>'תקציב החברה לפיתוח 2024'!X19</f>
        <v>0</v>
      </c>
      <c r="Y21" s="120">
        <f>'תקציב החברה לפיתוח 2024'!Y19</f>
        <v>0</v>
      </c>
      <c r="Z21" s="120">
        <f>'תקציב החברה לפיתוח 2024'!Z19</f>
        <v>0</v>
      </c>
      <c r="AA21" s="120">
        <f>'תקציב החברה לפיתוח 2024'!AA19</f>
        <v>0</v>
      </c>
      <c r="AB21" s="235" t="str">
        <f>'תקציב החברה לפיתוח 2024'!AB19</f>
        <v xml:space="preserve">ביצוע פיתוח ותשתית במתחם "מרינה לי". </v>
      </c>
      <c r="AC21" s="135">
        <f>'תקציב החברה לפיתוח 2024'!AC19</f>
        <v>742000</v>
      </c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</row>
    <row r="22" spans="1:39" s="5" customFormat="1" ht="45" customHeight="1">
      <c r="A22" s="135">
        <f t="shared" si="1"/>
        <v>17</v>
      </c>
      <c r="B22" s="135">
        <f>'תקציב החברה לפיתוח 2024'!B20</f>
        <v>1670</v>
      </c>
      <c r="C22" s="235" t="str">
        <f>'תקציב החברה לפיתוח 2024'!C20</f>
        <v>פתוח מתחם הר' 1972 תחנה מרכזית</v>
      </c>
      <c r="D22" s="120">
        <f>'תקציב החברה לפיתוח 2024'!D20</f>
        <v>37700000</v>
      </c>
      <c r="E22" s="120">
        <f>'תקציב החברה לפיתוח 2024'!E20</f>
        <v>17800000</v>
      </c>
      <c r="F22" s="120">
        <f>'תקציב החברה לפיתוח 2024'!F20</f>
        <v>19900000</v>
      </c>
      <c r="G22" s="120">
        <f>'תקציב החברה לפיתוח 2024'!G20</f>
        <v>6050000</v>
      </c>
      <c r="H22" s="120">
        <f>'תקציב החברה לפיתוח 2024'!H20</f>
        <v>5792275</v>
      </c>
      <c r="I22" s="120">
        <f>'תקציב החברה לפיתוח 2024'!I20</f>
        <v>0</v>
      </c>
      <c r="J22" s="120">
        <f>'תקציב החברה לפיתוח 2024'!J20</f>
        <v>17295</v>
      </c>
      <c r="K22" s="120">
        <f>'תקציב החברה לפיתוח 2024'!K20</f>
        <v>17295</v>
      </c>
      <c r="L22" s="120">
        <f>'תקציב החברה לפיתוח 2024'!L20</f>
        <v>5809570</v>
      </c>
      <c r="M22" s="120">
        <f>'תקציב החברה לפיתוח 2024'!M20</f>
        <v>430</v>
      </c>
      <c r="N22" s="120">
        <f>'תקציב החברה לפיתוח 2024'!N20</f>
        <v>5240000</v>
      </c>
      <c r="O22" s="120">
        <f>'תקציב החברה לפיתוח 2024'!O20</f>
        <v>26650000</v>
      </c>
      <c r="P22" s="120">
        <f>'תקציב החברה לפיתוח 2024'!P20</f>
        <v>240430</v>
      </c>
      <c r="Q22" s="120">
        <f>'תקציב החברה לפיתוח 2024'!Q20</f>
        <v>0</v>
      </c>
      <c r="R22" s="120">
        <f>'תקציב החברה לפיתוח 2024'!R20</f>
        <v>0</v>
      </c>
      <c r="S22" s="120">
        <f>'תקציב החברה לפיתוח 2024'!S20</f>
        <v>0</v>
      </c>
      <c r="T22" s="120">
        <f>'תקציב החברה לפיתוח 2024'!T20</f>
        <v>240000</v>
      </c>
      <c r="U22" s="120">
        <f>'תקציב החברה לפיתוח 2024'!U20</f>
        <v>5000000</v>
      </c>
      <c r="V22" s="120">
        <f>'תקציב החברה לפיתוח 2024'!V20</f>
        <v>5000000</v>
      </c>
      <c r="W22" s="120">
        <f>'תקציב החברה לפיתוח 2024'!W20</f>
        <v>0</v>
      </c>
      <c r="X22" s="120">
        <f>'תקציב החברה לפיתוח 2024'!X20</f>
        <v>0</v>
      </c>
      <c r="Y22" s="120">
        <f>'תקציב החברה לפיתוח 2024'!Y20</f>
        <v>0</v>
      </c>
      <c r="Z22" s="120">
        <f>'תקציב החברה לפיתוח 2024'!Z20</f>
        <v>0</v>
      </c>
      <c r="AA22" s="120">
        <f>'תקציב החברה לפיתוח 2024'!AA20</f>
        <v>0</v>
      </c>
      <c r="AB22" s="235" t="str">
        <f>'תקציב החברה לפיתוח 2024'!AB20</f>
        <v xml:space="preserve">תכנון פיתוח מתחם "ניצבא" כולל פיתוח רחוב העצמאות מבן גוריון עד קהילת ציון. </v>
      </c>
      <c r="AC22" s="135">
        <f>'תקציב החברה לפיתוח 2024'!AC20</f>
        <v>742000</v>
      </c>
      <c r="AD22" s="134"/>
      <c r="AE22" s="134"/>
      <c r="AF22" s="134"/>
      <c r="AG22" s="134"/>
      <c r="AH22" s="134"/>
      <c r="AI22" s="134"/>
    </row>
    <row r="23" spans="1:39" s="134" customFormat="1" ht="45" customHeight="1">
      <c r="A23" s="135">
        <f t="shared" si="1"/>
        <v>18</v>
      </c>
      <c r="B23" s="135">
        <f>'תקציב החברה לפיתוח 2024'!B24</f>
        <v>1819</v>
      </c>
      <c r="C23" s="235" t="str">
        <f>'תקציב החברה לפיתוח 2024'!C24</f>
        <v>פיתוח רח' צ.ה.ל</v>
      </c>
      <c r="D23" s="120">
        <f>'תקציב החברה לפיתוח 2024'!D24</f>
        <v>17545000</v>
      </c>
      <c r="E23" s="120">
        <f>'תקציב החברה לפיתוח 2024'!E24</f>
        <v>17545000</v>
      </c>
      <c r="F23" s="120">
        <f>'תקציב החברה לפיתוח 2024'!F24</f>
        <v>0</v>
      </c>
      <c r="G23" s="120">
        <f>'תקציב החברה לפיתוח 2024'!G24</f>
        <v>17545000</v>
      </c>
      <c r="H23" s="120">
        <f>'תקציב החברה לפיתוח 2024'!H24</f>
        <v>15717150</v>
      </c>
      <c r="I23" s="120">
        <f>'תקציב החברה לפיתוח 2024'!I24</f>
        <v>0</v>
      </c>
      <c r="J23" s="120">
        <f>'תקציב החברה לפיתוח 2024'!J24</f>
        <v>0</v>
      </c>
      <c r="K23" s="120">
        <f>'תקציב החברה לפיתוח 2024'!K24</f>
        <v>0</v>
      </c>
      <c r="L23" s="120">
        <f>'תקציב החברה לפיתוח 2024'!L24</f>
        <v>15717150</v>
      </c>
      <c r="M23" s="120">
        <f>'תקציב החברה לפיתוח 2024'!M24</f>
        <v>7850</v>
      </c>
      <c r="N23" s="120">
        <f>'תקציב החברה לפיתוח 2024'!N24</f>
        <v>320000</v>
      </c>
      <c r="O23" s="120">
        <f>'תקציב החברה לפיתוח 2024'!O24</f>
        <v>1500000</v>
      </c>
      <c r="P23" s="120">
        <f>'תקציב החברה לפיתוח 2024'!P24</f>
        <v>1827850</v>
      </c>
      <c r="Q23" s="120">
        <f>'תקציב החברה לפיתוח 2024'!Q24</f>
        <v>0</v>
      </c>
      <c r="R23" s="120">
        <f>'תקציב החברה לפיתוח 2024'!R24</f>
        <v>0</v>
      </c>
      <c r="S23" s="120">
        <f>'תקציב החברה לפיתוח 2024'!S24</f>
        <v>0</v>
      </c>
      <c r="T23" s="120">
        <f>'תקציב החברה לפיתוח 2024'!T24</f>
        <v>1820000</v>
      </c>
      <c r="U23" s="120">
        <f>'תקציב החברה לפיתוח 2024'!U24</f>
        <v>-1500000</v>
      </c>
      <c r="V23" s="120">
        <f>'תקציב החברה לפיתוח 2024'!V24</f>
        <v>-1500000</v>
      </c>
      <c r="W23" s="120">
        <f>'תקציב החברה לפיתוח 2024'!W24</f>
        <v>0</v>
      </c>
      <c r="X23" s="120">
        <f>'תקציב החברה לפיתוח 2024'!X24</f>
        <v>0</v>
      </c>
      <c r="Y23" s="120">
        <f>'תקציב החברה לפיתוח 2024'!Y24</f>
        <v>0</v>
      </c>
      <c r="Z23" s="120">
        <f>'תקציב החברה לפיתוח 2024'!Z24</f>
        <v>0</v>
      </c>
      <c r="AA23" s="120">
        <f>'תקציב החברה לפיתוח 2024'!AA24</f>
        <v>0</v>
      </c>
      <c r="AB23" s="235" t="str">
        <f>'תקציב החברה לפיתוח 2024'!AB24</f>
        <v>המשך פיתוח רחוב צ.ה.ל . חן סופיים. התב"ר לסגירה.</v>
      </c>
      <c r="AC23" s="135">
        <f>'תקציב החברה לפיתוח 2024'!AC24</f>
        <v>742000</v>
      </c>
      <c r="AJ23" s="131"/>
      <c r="AK23" s="131"/>
      <c r="AL23" s="131"/>
      <c r="AM23" s="131"/>
    </row>
    <row r="24" spans="1:39" s="5" customFormat="1" ht="45" customHeight="1">
      <c r="A24" s="135">
        <f t="shared" si="1"/>
        <v>19</v>
      </c>
      <c r="B24" s="135">
        <f>'תקציב החברה לפיתוח 2024'!B28</f>
        <v>1845</v>
      </c>
      <c r="C24" s="235" t="str">
        <f>'תקציב החברה לפיתוח 2024'!C28</f>
        <v xml:space="preserve">חניונים הר'1900 - חניון משכית שינוי תב"ע (*) עדכון </v>
      </c>
      <c r="D24" s="120">
        <f>'תקציב החברה לפיתוח 2024'!D28</f>
        <v>137500000</v>
      </c>
      <c r="E24" s="120">
        <f>'תקציב החברה לפיתוח 2024'!E28</f>
        <v>6000000</v>
      </c>
      <c r="F24" s="120">
        <f>'תקציב החברה לפיתוח 2024'!F28</f>
        <v>131500000</v>
      </c>
      <c r="G24" s="120">
        <f>'תקציב החברה לפיתוח 2024'!G28</f>
        <v>2740000</v>
      </c>
      <c r="H24" s="120">
        <f>'תקציב החברה לפיתוח 2024'!H28</f>
        <v>2721383</v>
      </c>
      <c r="I24" s="120">
        <f>'תקציב החברה לפיתוח 2024'!I28</f>
        <v>0</v>
      </c>
      <c r="J24" s="120">
        <f>'תקציב החברה לפיתוח 2024'!J28</f>
        <v>0</v>
      </c>
      <c r="K24" s="120">
        <f>'תקציב החברה לפיתוח 2024'!K28</f>
        <v>0</v>
      </c>
      <c r="L24" s="120">
        <f>'תקציב החברה לפיתוח 2024'!L28</f>
        <v>2721383</v>
      </c>
      <c r="M24" s="120">
        <f>'תקציב החברה לפיתוח 2024'!M28</f>
        <v>18617</v>
      </c>
      <c r="N24" s="120">
        <f>'תקציב החברה לפיתוח 2024'!N28</f>
        <v>0</v>
      </c>
      <c r="O24" s="120">
        <f>'תקציב החברה לפיתוח 2024'!O28</f>
        <v>134760000</v>
      </c>
      <c r="P24" s="120">
        <f>'תקציב החברה לפיתוח 2024'!P28</f>
        <v>18617</v>
      </c>
      <c r="Q24" s="120">
        <f>'תקציב החברה לפיתוח 2024'!Q28</f>
        <v>0</v>
      </c>
      <c r="R24" s="120">
        <f>'תקציב החברה לפיתוח 2024'!R28</f>
        <v>0</v>
      </c>
      <c r="S24" s="120">
        <f>'תקציב החברה לפיתוח 2024'!S28</f>
        <v>0</v>
      </c>
      <c r="T24" s="120">
        <f>'תקציב החברה לפיתוח 2024'!T28</f>
        <v>0</v>
      </c>
      <c r="U24" s="120">
        <f>'תקציב החברה לפיתוח 2024'!U28</f>
        <v>0</v>
      </c>
      <c r="V24" s="120">
        <f>'תקציב החברה לפיתוח 2024'!V28</f>
        <v>0</v>
      </c>
      <c r="W24" s="120">
        <f>'תקציב החברה לפיתוח 2024'!W28</f>
        <v>0</v>
      </c>
      <c r="X24" s="120">
        <f>'תקציב החברה לפיתוח 2024'!X28</f>
        <v>0</v>
      </c>
      <c r="Y24" s="120">
        <f>'תקציב החברה לפיתוח 2024'!Y28</f>
        <v>0</v>
      </c>
      <c r="Z24" s="120">
        <f>'תקציב החברה לפיתוח 2024'!Z28</f>
        <v>0</v>
      </c>
      <c r="AA24" s="120">
        <f>'תקציב החברה לפיתוח 2024'!AA28</f>
        <v>0</v>
      </c>
      <c r="AB24" s="235" t="str">
        <f>'תקציב החברה לפיתוח 2024'!AB28</f>
        <v xml:space="preserve">הקמת חניון תתקרקעי ברחוב משכית כולל מבנה מסחר ועבודות פיתוח. עדכון שם. </v>
      </c>
      <c r="AC24" s="135">
        <f>'תקציב החברה לפיתוח 2024'!AC28</f>
        <v>742000</v>
      </c>
      <c r="AD24" s="134"/>
      <c r="AE24" s="134"/>
      <c r="AF24" s="134"/>
      <c r="AG24" s="134"/>
      <c r="AH24" s="134"/>
      <c r="AI24" s="134"/>
      <c r="AJ24" s="131"/>
      <c r="AK24" s="131"/>
      <c r="AL24" s="131"/>
      <c r="AM24" s="131"/>
    </row>
    <row r="25" spans="1:39" ht="45" customHeight="1">
      <c r="A25" s="135">
        <f t="shared" si="1"/>
        <v>20</v>
      </c>
      <c r="B25" s="135" t="e">
        <f>'תקציב החברה לפיתוח 2024'!#REF!</f>
        <v>#REF!</v>
      </c>
      <c r="C25" s="235" t="e">
        <f>'תקציב החברה לפיתוח 2024'!#REF!</f>
        <v>#REF!</v>
      </c>
      <c r="D25" s="120" t="e">
        <f>'תקציב החברה לפיתוח 2024'!#REF!</f>
        <v>#REF!</v>
      </c>
      <c r="E25" s="120" t="e">
        <f>'תקציב החברה לפיתוח 2024'!#REF!</f>
        <v>#REF!</v>
      </c>
      <c r="F25" s="120" t="e">
        <f>'תקציב החברה לפיתוח 2024'!#REF!</f>
        <v>#REF!</v>
      </c>
      <c r="G25" s="120" t="e">
        <f>'תקציב החברה לפיתוח 2024'!#REF!</f>
        <v>#REF!</v>
      </c>
      <c r="H25" s="120" t="e">
        <f>'תקציב החברה לפיתוח 2024'!#REF!</f>
        <v>#REF!</v>
      </c>
      <c r="I25" s="120" t="e">
        <f>'תקציב החברה לפיתוח 2024'!#REF!</f>
        <v>#REF!</v>
      </c>
      <c r="J25" s="120" t="e">
        <f>'תקציב החברה לפיתוח 2024'!#REF!</f>
        <v>#REF!</v>
      </c>
      <c r="K25" s="120" t="e">
        <f>'תקציב החברה לפיתוח 2024'!#REF!</f>
        <v>#REF!</v>
      </c>
      <c r="L25" s="120" t="e">
        <f>'תקציב החברה לפיתוח 2024'!#REF!</f>
        <v>#REF!</v>
      </c>
      <c r="M25" s="120" t="e">
        <f>'תקציב החברה לפיתוח 2024'!#REF!</f>
        <v>#REF!</v>
      </c>
      <c r="N25" s="120" t="e">
        <f>'תקציב החברה לפיתוח 2024'!#REF!</f>
        <v>#REF!</v>
      </c>
      <c r="O25" s="120" t="e">
        <f>'תקציב החברה לפיתוח 2024'!#REF!</f>
        <v>#REF!</v>
      </c>
      <c r="P25" s="120" t="e">
        <f>'תקציב החברה לפיתוח 2024'!#REF!</f>
        <v>#REF!</v>
      </c>
      <c r="Q25" s="120" t="e">
        <f>'תקציב החברה לפיתוח 2024'!#REF!</f>
        <v>#REF!</v>
      </c>
      <c r="R25" s="120" t="e">
        <f>'תקציב החברה לפיתוח 2024'!#REF!</f>
        <v>#REF!</v>
      </c>
      <c r="S25" s="120" t="e">
        <f>'תקציב החברה לפיתוח 2024'!#REF!</f>
        <v>#REF!</v>
      </c>
      <c r="T25" s="120" t="e">
        <f>'תקציב החברה לפיתוח 2024'!#REF!</f>
        <v>#REF!</v>
      </c>
      <c r="U25" s="120" t="e">
        <f>'תקציב החברה לפיתוח 2024'!#REF!</f>
        <v>#REF!</v>
      </c>
      <c r="V25" s="120" t="e">
        <f>'תקציב החברה לפיתוח 2024'!#REF!</f>
        <v>#REF!</v>
      </c>
      <c r="W25" s="120" t="e">
        <f>'תקציב החברה לפיתוח 2024'!#REF!</f>
        <v>#REF!</v>
      </c>
      <c r="X25" s="120" t="e">
        <f>'תקציב החברה לפיתוח 2024'!#REF!</f>
        <v>#REF!</v>
      </c>
      <c r="Y25" s="120" t="e">
        <f>'תקציב החברה לפיתוח 2024'!#REF!</f>
        <v>#REF!</v>
      </c>
      <c r="Z25" s="120" t="e">
        <f>'תקציב החברה לפיתוח 2024'!#REF!</f>
        <v>#REF!</v>
      </c>
      <c r="AA25" s="120" t="e">
        <f>'תקציב החברה לפיתוח 2024'!#REF!</f>
        <v>#REF!</v>
      </c>
      <c r="AB25" s="235" t="e">
        <f>'תקציב החברה לפיתוח 2024'!#REF!</f>
        <v>#REF!</v>
      </c>
      <c r="AC25" s="135" t="e">
        <f>'תקציב החברה לפיתוח 2024'!#REF!</f>
        <v>#REF!</v>
      </c>
    </row>
    <row r="26" spans="1:39" ht="45" customHeight="1">
      <c r="A26" s="135">
        <f t="shared" si="1"/>
        <v>21</v>
      </c>
      <c r="B26" s="135">
        <f>'תקציב החברה לפיתוח 2024'!B32</f>
        <v>1961</v>
      </c>
      <c r="C26" s="235" t="str">
        <f>'תקציב החברה לפיתוח 2024'!C32</f>
        <v>גשר מעל כביש 20</v>
      </c>
      <c r="D26" s="120">
        <f>'תקציב החברה לפיתוח 2024'!D32</f>
        <v>300000</v>
      </c>
      <c r="E26" s="120">
        <f>'תקציב החברה לפיתוח 2024'!E32</f>
        <v>128000000</v>
      </c>
      <c r="F26" s="120">
        <f>'תקציב החברה לפיתוח 2024'!F32</f>
        <v>-127700000</v>
      </c>
      <c r="G26" s="120">
        <f>'תקציב החברה לפיתוח 2024'!G32</f>
        <v>500000</v>
      </c>
      <c r="H26" s="120">
        <f>'תקציב החברה לפיתוח 2024'!H32</f>
        <v>0</v>
      </c>
      <c r="I26" s="120">
        <f>'תקציב החברה לפיתוח 2024'!I32</f>
        <v>0</v>
      </c>
      <c r="J26" s="120">
        <f>'תקציב החברה לפיתוח 2024'!J32</f>
        <v>0</v>
      </c>
      <c r="K26" s="120">
        <f>'תקציב החברה לפיתוח 2024'!K32</f>
        <v>0</v>
      </c>
      <c r="L26" s="120">
        <f>'תקציב החברה לפיתוח 2024'!L32</f>
        <v>0</v>
      </c>
      <c r="M26" s="120">
        <f>'תקציב החברה לפיתוח 2024'!M32</f>
        <v>0</v>
      </c>
      <c r="N26" s="120">
        <f>'תקציב החברה לפיתוח 2024'!N32</f>
        <v>300000</v>
      </c>
      <c r="O26" s="120">
        <f>'תקציב החברה לפיתוח 2024'!O32</f>
        <v>0</v>
      </c>
      <c r="P26" s="120">
        <f>'תקציב החברה לפיתוח 2024'!P32</f>
        <v>500000</v>
      </c>
      <c r="Q26" s="120">
        <f>'תקציב החברה לפיתוח 2024'!Q32</f>
        <v>0</v>
      </c>
      <c r="R26" s="120">
        <f>'תקציב החברה לפיתוח 2024'!R32</f>
        <v>0</v>
      </c>
      <c r="S26" s="120">
        <f>'תקציב החברה לפיתוח 2024'!S32</f>
        <v>0</v>
      </c>
      <c r="T26" s="120">
        <f>'תקציב החברה לפיתוח 2024'!T32</f>
        <v>500000</v>
      </c>
      <c r="U26" s="120">
        <f>'תקציב החברה לפיתוח 2024'!U32</f>
        <v>-200000</v>
      </c>
      <c r="V26" s="120">
        <f>'תקציב החברה לפיתוח 2024'!V32</f>
        <v>-200000</v>
      </c>
      <c r="W26" s="120">
        <f>'תקציב החברה לפיתוח 2024'!W32</f>
        <v>0</v>
      </c>
      <c r="X26" s="120">
        <f>'תקציב החברה לפיתוח 2024'!X32</f>
        <v>0</v>
      </c>
      <c r="Y26" s="120">
        <f>'תקציב החברה לפיתוח 2024'!Y32</f>
        <v>0</v>
      </c>
      <c r="Z26" s="120">
        <f>'תקציב החברה לפיתוח 2024'!Z32</f>
        <v>0</v>
      </c>
      <c r="AA26" s="120">
        <f>'תקציב החברה לפיתוח 2024'!AA32</f>
        <v>0</v>
      </c>
      <c r="AB26" s="235" t="str">
        <f>'תקציב החברה לפיתוח 2024'!AB32</f>
        <v>פיתוח הגשר מעל כביש 20 איזור גליל ים.  תכנון. הביצוע ע"י נתיבי איילון.</v>
      </c>
      <c r="AC26" s="135">
        <f>'תקציב החברה לפיתוח 2024'!AC32</f>
        <v>742000</v>
      </c>
    </row>
    <row r="27" spans="1:39" s="134" customFormat="1" ht="45" customHeight="1">
      <c r="A27" s="135">
        <f t="shared" si="1"/>
        <v>22</v>
      </c>
      <c r="B27" s="135">
        <f>'תקציב החברה לפיתוח 2024'!B34</f>
        <v>2002</v>
      </c>
      <c r="C27" s="235" t="str">
        <f>'תקציב החברה לפיתוח 2024'!C34</f>
        <v>הכשרת חניון העוגן</v>
      </c>
      <c r="D27" s="120">
        <f>'תקציב החברה לפיתוח 2024'!D34</f>
        <v>2300000</v>
      </c>
      <c r="E27" s="120">
        <f>'תקציב החברה לפיתוח 2024'!E34</f>
        <v>1500000</v>
      </c>
      <c r="F27" s="120">
        <f>'תקציב החברה לפיתוח 2024'!F34</f>
        <v>800000</v>
      </c>
      <c r="G27" s="120">
        <f>'תקציב החברה לפיתוח 2024'!G34</f>
        <v>1500000</v>
      </c>
      <c r="H27" s="120">
        <f>'תקציב החברה לפיתוח 2024'!H34</f>
        <v>1495997</v>
      </c>
      <c r="I27" s="120">
        <f>'תקציב החברה לפיתוח 2024'!I34</f>
        <v>0</v>
      </c>
      <c r="J27" s="120">
        <f>'תקציב החברה לפיתוח 2024'!J34</f>
        <v>0</v>
      </c>
      <c r="K27" s="120">
        <f>'תקציב החברה לפיתוח 2024'!K34</f>
        <v>0</v>
      </c>
      <c r="L27" s="120">
        <f>'תקציב החברה לפיתוח 2024'!L34</f>
        <v>1495997</v>
      </c>
      <c r="M27" s="120">
        <f>'תקציב החברה לפיתוח 2024'!M34</f>
        <v>4003</v>
      </c>
      <c r="N27" s="120">
        <f>'תקציב החברה לפיתוח 2024'!N34</f>
        <v>500000</v>
      </c>
      <c r="O27" s="120">
        <f>'תקציב החברה לפיתוח 2024'!O34</f>
        <v>300000</v>
      </c>
      <c r="P27" s="120">
        <f>'תקציב החברה לפיתוח 2024'!P34</f>
        <v>4003</v>
      </c>
      <c r="Q27" s="120">
        <f>'תקציב החברה לפיתוח 2024'!Q34</f>
        <v>0</v>
      </c>
      <c r="R27" s="120">
        <f>'תקציב החברה לפיתוח 2024'!R34</f>
        <v>0</v>
      </c>
      <c r="S27" s="120">
        <f>'תקציב החברה לפיתוח 2024'!S34</f>
        <v>0</v>
      </c>
      <c r="T27" s="120">
        <f>'תקציב החברה לפיתוח 2024'!T34</f>
        <v>0</v>
      </c>
      <c r="U27" s="120">
        <f>'תקציב החברה לפיתוח 2024'!U34</f>
        <v>500000</v>
      </c>
      <c r="V27" s="120">
        <f>'תקציב החברה לפיתוח 2024'!V34</f>
        <v>500000</v>
      </c>
      <c r="W27" s="120">
        <f>'תקציב החברה לפיתוח 2024'!W34</f>
        <v>0</v>
      </c>
      <c r="X27" s="120">
        <f>'תקציב החברה לפיתוח 2024'!X34</f>
        <v>0</v>
      </c>
      <c r="Y27" s="120">
        <f>'תקציב החברה לפיתוח 2024'!Y34</f>
        <v>0</v>
      </c>
      <c r="Z27" s="120">
        <f>'תקציב החברה לפיתוח 2024'!Z34</f>
        <v>0</v>
      </c>
      <c r="AA27" s="120">
        <f>'תקציב החברה לפיתוח 2024'!AA34</f>
        <v>0</v>
      </c>
      <c r="AB27" s="235" t="str">
        <f>'תקציב החברה לפיתוח 2024'!AB34</f>
        <v>הכשרת חניון העוגן במרינה לחניון בתשלום. השלמת מע. תקשורת ומצלמות.</v>
      </c>
      <c r="AC27" s="135">
        <f>'תקציב החברה לפיתוח 2024'!AC34</f>
        <v>742000</v>
      </c>
      <c r="AJ27" s="139"/>
      <c r="AK27" s="139"/>
      <c r="AL27" s="139"/>
      <c r="AM27" s="139"/>
    </row>
    <row r="28" spans="1:39" s="134" customFormat="1" ht="45" customHeight="1">
      <c r="A28" s="135">
        <f t="shared" si="1"/>
        <v>23</v>
      </c>
      <c r="B28" s="135">
        <f>'תקציב החברה לפיתוח 2024'!B35</f>
        <v>2008</v>
      </c>
      <c r="C28" s="235" t="str">
        <f>'תקציב החברה לפיתוח 2024'!C35</f>
        <v>שדרות ה - 93 הבאר</v>
      </c>
      <c r="D28" s="120">
        <f>'תקציב החברה לפיתוח 2024'!D35</f>
        <v>2500000</v>
      </c>
      <c r="E28" s="120">
        <f>'תקציב החברה לפיתוח 2024'!E35</f>
        <v>2500000</v>
      </c>
      <c r="F28" s="120">
        <f>'תקציב החברה לפיתוח 2024'!F35</f>
        <v>0</v>
      </c>
      <c r="G28" s="120">
        <f>'תקציב החברה לפיתוח 2024'!G35</f>
        <v>450000</v>
      </c>
      <c r="H28" s="120">
        <f>'תקציב החברה לפיתוח 2024'!H35</f>
        <v>41210</v>
      </c>
      <c r="I28" s="120">
        <f>'תקציב החברה לפיתוח 2024'!I35</f>
        <v>0</v>
      </c>
      <c r="J28" s="120">
        <f>'תקציב החברה לפיתוח 2024'!J35</f>
        <v>0</v>
      </c>
      <c r="K28" s="120">
        <f>'תקציב החברה לפיתוח 2024'!K35</f>
        <v>0</v>
      </c>
      <c r="L28" s="120">
        <f>'תקציב החברה לפיתוח 2024'!L35</f>
        <v>41210</v>
      </c>
      <c r="M28" s="120">
        <f>'תקציב החברה לפיתוח 2024'!M35</f>
        <v>8790</v>
      </c>
      <c r="N28" s="120">
        <f>'תקציב החברה לפיתוח 2024'!N35</f>
        <v>1700000</v>
      </c>
      <c r="O28" s="120">
        <f>'תקציב החברה לפיתוח 2024'!O35</f>
        <v>750000</v>
      </c>
      <c r="P28" s="120">
        <f>'תקציב החברה לפיתוח 2024'!P35</f>
        <v>408790</v>
      </c>
      <c r="Q28" s="120">
        <f>'תקציב החברה לפיתוח 2024'!Q35</f>
        <v>300000</v>
      </c>
      <c r="R28" s="120">
        <f>'תקציב החברה לפיתוח 2024'!R35</f>
        <v>0</v>
      </c>
      <c r="S28" s="120">
        <f>'תקציב החברה לפיתוח 2024'!S35</f>
        <v>300000</v>
      </c>
      <c r="T28" s="120">
        <f>'תקציב החברה לפיתוח 2024'!T35</f>
        <v>700000</v>
      </c>
      <c r="U28" s="120">
        <f>'תקציב החברה לפיתוח 2024'!U35</f>
        <v>1000000</v>
      </c>
      <c r="V28" s="120">
        <f>'תקציב החברה לפיתוח 2024'!V35</f>
        <v>1000000</v>
      </c>
      <c r="W28" s="120">
        <f>'תקציב החברה לפיתוח 2024'!W35</f>
        <v>0</v>
      </c>
      <c r="X28" s="120">
        <f>'תקציב החברה לפיתוח 2024'!X35</f>
        <v>0</v>
      </c>
      <c r="Y28" s="120">
        <f>'תקציב החברה לפיתוח 2024'!Y35</f>
        <v>0</v>
      </c>
      <c r="Z28" s="120">
        <f>'תקציב החברה לפיתוח 2024'!Z35</f>
        <v>0</v>
      </c>
      <c r="AA28" s="120">
        <f>'תקציב החברה לפיתוח 2024'!AA35</f>
        <v>0</v>
      </c>
      <c r="AB28" s="235" t="str">
        <f>'תקציב החברה לפיתוח 2024'!AB35</f>
        <v>הסדרת הסמטה  המקשרת בין רח' אליעזר קפלן במזרח לרח' וינגייט  במערב.</v>
      </c>
      <c r="AC28" s="135">
        <f>'תקציב החברה לפיתוח 2024'!AC35</f>
        <v>742000</v>
      </c>
      <c r="AJ28" s="139"/>
      <c r="AK28" s="139"/>
      <c r="AL28" s="139"/>
      <c r="AM28" s="139"/>
    </row>
    <row r="29" spans="1:39" ht="69">
      <c r="A29" s="135">
        <f t="shared" si="1"/>
        <v>24</v>
      </c>
      <c r="B29" s="135">
        <f>'תקציב החברה לפיתוח 2024'!B36</f>
        <v>2009</v>
      </c>
      <c r="C29" s="235" t="str">
        <f>'תקציב החברה לפיתוח 2024'!C36</f>
        <v>סמטת ניסנוב</v>
      </c>
      <c r="D29" s="120">
        <f>'תקציב החברה לפיתוח 2024'!D36</f>
        <v>13700000</v>
      </c>
      <c r="E29" s="120">
        <f>'תקציב החברה לפיתוח 2024'!E36</f>
        <v>13700000</v>
      </c>
      <c r="F29" s="120">
        <f>'תקציב החברה לפיתוח 2024'!F36</f>
        <v>0</v>
      </c>
      <c r="G29" s="120">
        <f>'תקציב החברה לפיתוח 2024'!G36</f>
        <v>2200000</v>
      </c>
      <c r="H29" s="120">
        <f>'תקציב החברה לפיתוח 2024'!H36</f>
        <v>3711086</v>
      </c>
      <c r="I29" s="120">
        <f>'תקציב החברה לפיתוח 2024'!I36</f>
        <v>0</v>
      </c>
      <c r="J29" s="120">
        <f>'תקציב החברה לפיתוח 2024'!J36</f>
        <v>0</v>
      </c>
      <c r="K29" s="120">
        <f>'תקציב החברה לפיתוח 2024'!K36</f>
        <v>0</v>
      </c>
      <c r="L29" s="120">
        <f>'תקציב החברה לפיתוח 2024'!L36</f>
        <v>3711086</v>
      </c>
      <c r="M29" s="120">
        <f>'תקציב החברה לפיתוח 2024'!M36</f>
        <v>3914</v>
      </c>
      <c r="N29" s="120">
        <f>'תקציב החברה לפיתוח 2024'!N36</f>
        <v>5485000</v>
      </c>
      <c r="O29" s="120">
        <f>'תקציב החברה לפיתוח 2024'!O36</f>
        <v>4500000</v>
      </c>
      <c r="P29" s="120">
        <f>'תקציב החברה לפיתוח 2024'!P36</f>
        <v>-1511086</v>
      </c>
      <c r="Q29" s="120">
        <f>'תקציב החברה לפיתוח 2024'!Q36</f>
        <v>2000000</v>
      </c>
      <c r="R29" s="120">
        <f>'תקציב החברה לפיתוח 2024'!R36</f>
        <v>0</v>
      </c>
      <c r="S29" s="120">
        <f>'תקציב החברה לפיתוח 2024'!S36</f>
        <v>2000000</v>
      </c>
      <c r="T29" s="120">
        <f>'תקציב החברה לפיתוח 2024'!T36</f>
        <v>485000</v>
      </c>
      <c r="U29" s="120">
        <f>'תקציב החברה לפיתוח 2024'!U36</f>
        <v>5000000</v>
      </c>
      <c r="V29" s="120">
        <f>'תקציב החברה לפיתוח 2024'!V36</f>
        <v>-300952</v>
      </c>
      <c r="W29" s="120">
        <f>'תקציב החברה לפיתוח 2024'!W36</f>
        <v>0</v>
      </c>
      <c r="X29" s="120">
        <f>'תקציב החברה לפיתוח 2024'!X36</f>
        <v>0</v>
      </c>
      <c r="Y29" s="120">
        <f>'תקציב החברה לפיתוח 2024'!Y36</f>
        <v>0</v>
      </c>
      <c r="Z29" s="120">
        <f>'תקציב החברה לפיתוח 2024'!Z36</f>
        <v>0</v>
      </c>
      <c r="AA29" s="120">
        <f>'תקציב החברה לפיתוח 2024'!AA36</f>
        <v>5300952</v>
      </c>
      <c r="AB29" s="235" t="str">
        <f>'תקציב החברה לפיתוח 2024'!AB36</f>
        <v>פיתוח סימטה שהפכה לדרך במסגרת תב"ע 2029 בנווה עמל. העבודות כוללות החלפת תשתיות תת קרקעיות,הריסת מבנה והתחברות לרח' כצלנסון. מימון רמ"י ( ישן מול חדש מכרזי רמ"י).</v>
      </c>
      <c r="AC29" s="135">
        <f>'תקציב החברה לפיתוח 2024'!AC36</f>
        <v>742000</v>
      </c>
      <c r="AJ29" s="5"/>
      <c r="AK29" s="5"/>
      <c r="AL29" s="5"/>
      <c r="AM29" s="5"/>
    </row>
    <row r="30" spans="1:39" ht="45" customHeight="1">
      <c r="A30" s="135">
        <f t="shared" si="1"/>
        <v>25</v>
      </c>
      <c r="B30" s="135">
        <f>'תקציב החברה לפיתוח 2024'!B37</f>
        <v>2011</v>
      </c>
      <c r="C30" s="235" t="str">
        <f>'תקציב החברה לפיתוח 2024'!C37</f>
        <v xml:space="preserve">הקמת חניון מרינה לי </v>
      </c>
      <c r="D30" s="120">
        <f>'תקציב החברה לפיתוח 2024'!D37</f>
        <v>80000000</v>
      </c>
      <c r="E30" s="120">
        <f>'תקציב החברה לפיתוח 2024'!E37</f>
        <v>80000000</v>
      </c>
      <c r="F30" s="120">
        <f>'תקציב החברה לפיתוח 2024'!F37</f>
        <v>0</v>
      </c>
      <c r="G30" s="120">
        <f>'תקציב החברה לפיתוח 2024'!G37</f>
        <v>42562673</v>
      </c>
      <c r="H30" s="120">
        <f>'תקציב החברה לפיתוח 2024'!H37</f>
        <v>48280954</v>
      </c>
      <c r="I30" s="120">
        <f>'תקציב החברה לפיתוח 2024'!I37</f>
        <v>0</v>
      </c>
      <c r="J30" s="120">
        <f>'תקציב החברה לפיתוח 2024'!J37</f>
        <v>0</v>
      </c>
      <c r="K30" s="120">
        <f>'תקציב החברה לפיתוח 2024'!K37</f>
        <v>0</v>
      </c>
      <c r="L30" s="120">
        <f>'תקציב החברה לפיתוח 2024'!L37</f>
        <v>48280954</v>
      </c>
      <c r="M30" s="120">
        <f>'תקציב החברה לפיתוח 2024'!M37</f>
        <v>1719</v>
      </c>
      <c r="N30" s="120">
        <f>'תקציב החברה לפיתוח 2024'!N37</f>
        <v>25117327</v>
      </c>
      <c r="O30" s="120">
        <f>'תקציב החברה לפיתוח 2024'!O37</f>
        <v>6600000</v>
      </c>
      <c r="P30" s="120">
        <f>'תקציב החברה לפיתוח 2024'!P37</f>
        <v>-5718281</v>
      </c>
      <c r="Q30" s="120">
        <f>'תקציב החברה לפיתוח 2024'!Q37</f>
        <v>6000000</v>
      </c>
      <c r="R30" s="120">
        <f>'תקציב החברה לפיתוח 2024'!R37</f>
        <v>0</v>
      </c>
      <c r="S30" s="120">
        <f>'תקציב החברה לפיתוח 2024'!S37</f>
        <v>6000000</v>
      </c>
      <c r="T30" s="120">
        <f>'תקציב החברה לפיתוח 2024'!T37</f>
        <v>280000</v>
      </c>
      <c r="U30" s="120">
        <f>'תקציב החברה לפיתוח 2024'!U37</f>
        <v>24837327</v>
      </c>
      <c r="V30" s="120">
        <f>'תקציב החברה לפיתוח 2024'!V37</f>
        <v>24837327</v>
      </c>
      <c r="W30" s="120">
        <f>'תקציב החברה לפיתוח 2024'!W37</f>
        <v>0</v>
      </c>
      <c r="X30" s="120">
        <f>'תקציב החברה לפיתוח 2024'!X37</f>
        <v>0</v>
      </c>
      <c r="Y30" s="120">
        <f>'תקציב החברה לפיתוח 2024'!Y37</f>
        <v>0</v>
      </c>
      <c r="Z30" s="120">
        <f>'תקציב החברה לפיתוח 2024'!Z37</f>
        <v>0</v>
      </c>
      <c r="AA30" s="120">
        <f>'תקציב החברה לפיתוח 2024'!AA37</f>
        <v>0</v>
      </c>
      <c r="AB30" s="235" t="str">
        <f>'תקציב החברה לפיתוח 2024'!AB37</f>
        <v xml:space="preserve">הקמת החניון מתחת לשצ"פ במתחם המרינה לי. </v>
      </c>
      <c r="AC30" s="135">
        <f>'תקציב החברה לפיתוח 2024'!AC37</f>
        <v>742000</v>
      </c>
      <c r="AJ30" s="5"/>
      <c r="AK30" s="5"/>
      <c r="AL30" s="5"/>
      <c r="AM30" s="5"/>
    </row>
    <row r="31" spans="1:39" ht="45" customHeight="1">
      <c r="A31" s="135">
        <f t="shared" si="1"/>
        <v>26</v>
      </c>
      <c r="B31" s="135">
        <f>'תקציב החברה לפיתוח 2024'!B40</f>
        <v>2018</v>
      </c>
      <c r="C31" s="235" t="str">
        <f>'תקציב החברה לפיתוח 2024'!C40</f>
        <v>החלפת עמודי תאורה באיזור תעשיה</v>
      </c>
      <c r="D31" s="120">
        <f>'תקציב החברה לפיתוח 2024'!D40</f>
        <v>3350000</v>
      </c>
      <c r="E31" s="120">
        <f>'תקציב החברה לפיתוח 2024'!E40</f>
        <v>3600000</v>
      </c>
      <c r="F31" s="120">
        <f>'תקציב החברה לפיתוח 2024'!F40</f>
        <v>-250000</v>
      </c>
      <c r="G31" s="120">
        <f>'תקציב החברה לפיתוח 2024'!G40</f>
        <v>3600000</v>
      </c>
      <c r="H31" s="120">
        <f>'תקציב החברה לפיתוח 2024'!H40</f>
        <v>3060025</v>
      </c>
      <c r="I31" s="120">
        <f>'תקציב החברה לפיתוח 2024'!I40</f>
        <v>0</v>
      </c>
      <c r="J31" s="120">
        <f>'תקציב החברה לפיתוח 2024'!J40</f>
        <v>0</v>
      </c>
      <c r="K31" s="120">
        <f>'תקציב החברה לפיתוח 2024'!K40</f>
        <v>0</v>
      </c>
      <c r="L31" s="120">
        <f>'תקציב החברה לפיתוח 2024'!L40</f>
        <v>3060025</v>
      </c>
      <c r="M31" s="120">
        <f>'תקציב החברה לפיתוח 2024'!M40</f>
        <v>4975</v>
      </c>
      <c r="N31" s="120">
        <f>'תקציב החברה לפיתוח 2024'!N40</f>
        <v>285000</v>
      </c>
      <c r="O31" s="120">
        <f>'תקציב החברה לפיתוח 2024'!O40</f>
        <v>0</v>
      </c>
      <c r="P31" s="120">
        <f>'תקציב החברה לפיתוח 2024'!P40</f>
        <v>539975</v>
      </c>
      <c r="Q31" s="120">
        <f>'תקציב החברה לפיתוח 2024'!Q40</f>
        <v>0</v>
      </c>
      <c r="R31" s="120">
        <f>'תקציב החברה לפיתוח 2024'!R40</f>
        <v>0</v>
      </c>
      <c r="S31" s="120">
        <f>'תקציב החברה לפיתוח 2024'!S40</f>
        <v>0</v>
      </c>
      <c r="T31" s="120">
        <f>'תקציב החברה לפיתוח 2024'!T40</f>
        <v>535000</v>
      </c>
      <c r="U31" s="120">
        <f>'תקציב החברה לפיתוח 2024'!U40</f>
        <v>-250000</v>
      </c>
      <c r="V31" s="120">
        <f>'תקציב החברה לפיתוח 2024'!V40</f>
        <v>-250000</v>
      </c>
      <c r="W31" s="120">
        <f>'תקציב החברה לפיתוח 2024'!W40</f>
        <v>0</v>
      </c>
      <c r="X31" s="120">
        <f>'תקציב החברה לפיתוח 2024'!X40</f>
        <v>0</v>
      </c>
      <c r="Y31" s="120">
        <f>'תקציב החברה לפיתוח 2024'!Y40</f>
        <v>0</v>
      </c>
      <c r="Z31" s="120">
        <f>'תקציב החברה לפיתוח 2024'!Z40</f>
        <v>0</v>
      </c>
      <c r="AA31" s="120">
        <f>'תקציב החברה לפיתוח 2024'!AA40</f>
        <v>0</v>
      </c>
      <c r="AB31" s="235" t="str">
        <f>'תקציב החברה לפיתוח 2024'!AB40</f>
        <v>מסגרת עבודות של החלפת עמודי תאורה באיזור התעשיה. חן סופיים. התב"ר לסגירה.</v>
      </c>
      <c r="AC31" s="135">
        <f>'תקציב החברה לפיתוח 2024'!AC40</f>
        <v>742000</v>
      </c>
    </row>
    <row r="32" spans="1:39" ht="45" customHeight="1">
      <c r="A32" s="135">
        <f t="shared" si="1"/>
        <v>27</v>
      </c>
      <c r="B32" s="135">
        <f>'תקציב החברה לפיתוח 2024'!B47</f>
        <v>2078</v>
      </c>
      <c r="C32" s="235" t="str">
        <f>'תקציב החברה לפיתוח 2024'!C47</f>
        <v>נילי - עבודות פיתוח והסדרת תנועה</v>
      </c>
      <c r="D32" s="120">
        <f>'תקציב החברה לפיתוח 2024'!D47</f>
        <v>2460000</v>
      </c>
      <c r="E32" s="120">
        <f>'תקציב החברה לפיתוח 2024'!E47</f>
        <v>2460000</v>
      </c>
      <c r="F32" s="120">
        <f>'תקציב החברה לפיתוח 2024'!F47</f>
        <v>0</v>
      </c>
      <c r="G32" s="120">
        <f>'תקציב החברה לפיתוח 2024'!G47</f>
        <v>1960000</v>
      </c>
      <c r="H32" s="120">
        <f>'תקציב החברה לפיתוח 2024'!H47</f>
        <v>239106</v>
      </c>
      <c r="I32" s="120">
        <f>'תקציב החברה לפיתוח 2024'!I47</f>
        <v>0</v>
      </c>
      <c r="J32" s="120">
        <f>'תקציב החברה לפיתוח 2024'!J47</f>
        <v>0</v>
      </c>
      <c r="K32" s="120">
        <f>'תקציב החברה לפיתוח 2024'!K47</f>
        <v>0</v>
      </c>
      <c r="L32" s="120">
        <f>'תקציב החברה לפיתוח 2024'!L47</f>
        <v>239106</v>
      </c>
      <c r="M32" s="120">
        <f>'תקציב החברה לפיתוח 2024'!M47</f>
        <v>20894</v>
      </c>
      <c r="N32" s="120">
        <f>'תקציב החברה לפיתוח 2024'!N47</f>
        <v>2100000</v>
      </c>
      <c r="O32" s="120">
        <f>'תקציב החברה לפיתוח 2024'!O47</f>
        <v>100000</v>
      </c>
      <c r="P32" s="120">
        <f>'תקציב החברה לפיתוח 2024'!P47</f>
        <v>1720894</v>
      </c>
      <c r="Q32" s="120">
        <f>'תקציב החברה לפיתוח 2024'!Q47</f>
        <v>500000</v>
      </c>
      <c r="R32" s="120">
        <f>'תקציב החברה לפיתוח 2024'!R47</f>
        <v>0</v>
      </c>
      <c r="S32" s="120">
        <f>'תקציב החברה לפיתוח 2024'!S47</f>
        <v>500000</v>
      </c>
      <c r="T32" s="120">
        <f>'תקציב החברה לפיתוח 2024'!T47</f>
        <v>2200000</v>
      </c>
      <c r="U32" s="120">
        <f>'תקציב החברה לפיתוח 2024'!U47</f>
        <v>-100000</v>
      </c>
      <c r="V32" s="120">
        <f>'תקציב החברה לפיתוח 2024'!V47</f>
        <v>-100000</v>
      </c>
      <c r="W32" s="120">
        <f>'תקציב החברה לפיתוח 2024'!W47</f>
        <v>0</v>
      </c>
      <c r="X32" s="120">
        <f>'תקציב החברה לפיתוח 2024'!X47</f>
        <v>0</v>
      </c>
      <c r="Y32" s="120">
        <f>'תקציב החברה לפיתוח 2024'!Y47</f>
        <v>0</v>
      </c>
      <c r="Z32" s="120">
        <f>'תקציב החברה לפיתוח 2024'!Z47</f>
        <v>0</v>
      </c>
      <c r="AA32" s="120">
        <f>'תקציב החברה לפיתוח 2024'!AA47</f>
        <v>0</v>
      </c>
      <c r="AB32" s="235" t="str">
        <f>'תקציב החברה לפיתוח 2024'!AB47</f>
        <v>לאור החלטת בימ"ש שהעיריה תבצע שינויים גיאומטרים וקיר.</v>
      </c>
      <c r="AC32" s="135">
        <f>'תקציב החברה לפיתוח 2024'!AC47</f>
        <v>742000</v>
      </c>
      <c r="AJ32" s="5"/>
      <c r="AK32" s="5"/>
      <c r="AL32" s="5"/>
      <c r="AM32" s="5"/>
    </row>
    <row r="33" spans="1:39" ht="45" customHeight="1">
      <c r="A33" s="135">
        <f t="shared" si="1"/>
        <v>28</v>
      </c>
      <c r="B33" s="135">
        <f>'תקציב החברה לפיתוח 2024'!B52</f>
        <v>2106</v>
      </c>
      <c r="C33" s="235" t="str">
        <f>'תקציב החברה לפיתוח 2024'!C52</f>
        <v>אוצר הצמחים ,הראשונים ואבן אודם</v>
      </c>
      <c r="D33" s="120">
        <f>'תקציב החברה לפיתוח 2024'!D52</f>
        <v>15000000</v>
      </c>
      <c r="E33" s="120">
        <f>'תקציב החברה לפיתוח 2024'!E52</f>
        <v>15000000</v>
      </c>
      <c r="F33" s="120">
        <f>'תקציב החברה לפיתוח 2024'!F52</f>
        <v>0</v>
      </c>
      <c r="G33" s="120">
        <f>'תקציב החברה לפיתוח 2024'!G52</f>
        <v>4000000</v>
      </c>
      <c r="H33" s="120">
        <f>'תקציב החברה לפיתוח 2024'!H52</f>
        <v>1908005</v>
      </c>
      <c r="I33" s="120">
        <f>'תקציב החברה לפיתוח 2024'!I52</f>
        <v>0</v>
      </c>
      <c r="J33" s="120">
        <f>'תקציב החברה לפיתוח 2024'!J52</f>
        <v>0</v>
      </c>
      <c r="K33" s="120">
        <f>'תקציב החברה לפיתוח 2024'!K52</f>
        <v>0</v>
      </c>
      <c r="L33" s="120">
        <f>'תקציב החברה לפיתוח 2024'!L52</f>
        <v>1908005</v>
      </c>
      <c r="M33" s="120">
        <f>'תקציב החברה לפיתוח 2024'!M52</f>
        <v>41995</v>
      </c>
      <c r="N33" s="120">
        <f>'תקציב החברה לפיתוח 2024'!N52</f>
        <v>2550000</v>
      </c>
      <c r="O33" s="120">
        <f>'תקציב החברה לפיתוח 2024'!O52</f>
        <v>10500000</v>
      </c>
      <c r="P33" s="120">
        <f>'תקציב החברה לפיתוח 2024'!P52</f>
        <v>2091995</v>
      </c>
      <c r="Q33" s="120">
        <f>'תקציב החברה לפיתוח 2024'!Q52</f>
        <v>500000</v>
      </c>
      <c r="R33" s="120">
        <f>'תקציב החברה לפיתוח 2024'!R52</f>
        <v>0</v>
      </c>
      <c r="S33" s="120">
        <f>'תקציב החברה לפיתוח 2024'!S52</f>
        <v>500000</v>
      </c>
      <c r="T33" s="120">
        <f>'תקציב החברה לפיתוח 2024'!T52</f>
        <v>2550000</v>
      </c>
      <c r="U33" s="120">
        <f>'תקציב החברה לפיתוח 2024'!U52</f>
        <v>0</v>
      </c>
      <c r="V33" s="120">
        <f>'תקציב החברה לפיתוח 2024'!V52</f>
        <v>0</v>
      </c>
      <c r="W33" s="120">
        <f>'תקציב החברה לפיתוח 2024'!W52</f>
        <v>0</v>
      </c>
      <c r="X33" s="120">
        <f>'תקציב החברה לפיתוח 2024'!X52</f>
        <v>0</v>
      </c>
      <c r="Y33" s="120">
        <f>'תקציב החברה לפיתוח 2024'!Y52</f>
        <v>0</v>
      </c>
      <c r="Z33" s="120">
        <f>'תקציב החברה לפיתוח 2024'!Z52</f>
        <v>0</v>
      </c>
      <c r="AA33" s="120">
        <f>'תקציב החברה לפיתוח 2024'!AA52</f>
        <v>0</v>
      </c>
      <c r="AB33" s="235" t="str">
        <f>'תקציב החברה לפיתוח 2024'!AB52</f>
        <v>פיתוח מתחם הרחובות אוצר הצמחים, אבן אודם, הראשונים.</v>
      </c>
      <c r="AC33" s="135">
        <f>'תקציב החברה לפיתוח 2024'!AC52</f>
        <v>742000</v>
      </c>
      <c r="AJ33" s="6"/>
      <c r="AK33" s="6"/>
      <c r="AL33" s="6"/>
      <c r="AM33" s="6"/>
    </row>
    <row r="34" spans="1:39" ht="45" customHeight="1">
      <c r="A34" s="135">
        <f t="shared" si="1"/>
        <v>29</v>
      </c>
      <c r="B34" s="135">
        <f>'תקציב החברה לפיתוח 2024'!B53</f>
        <v>2109</v>
      </c>
      <c r="C34" s="235" t="str">
        <f>'תקציב החברה לפיתוח 2024'!C53</f>
        <v>רחוב הפרטיזנים</v>
      </c>
      <c r="D34" s="120">
        <f>'תקציב החברה לפיתוח 2024'!D53</f>
        <v>7500000</v>
      </c>
      <c r="E34" s="120">
        <f>'תקציב החברה לפיתוח 2024'!E53</f>
        <v>2000000</v>
      </c>
      <c r="F34" s="120">
        <f>'תקציב החברה לפיתוח 2024'!F53</f>
        <v>5500000</v>
      </c>
      <c r="G34" s="120">
        <f>'תקציב החברה לפיתוח 2024'!G53</f>
        <v>850000</v>
      </c>
      <c r="H34" s="120">
        <f>'תקציב החברה לפיתוח 2024'!H53</f>
        <v>159190</v>
      </c>
      <c r="I34" s="120">
        <f>'תקציב החברה לפיתוח 2024'!I53</f>
        <v>0</v>
      </c>
      <c r="J34" s="120">
        <f>'תקציב החברה לפיתוח 2024'!J53</f>
        <v>0</v>
      </c>
      <c r="K34" s="120">
        <f>'תקציב החברה לפיתוח 2024'!K53</f>
        <v>0</v>
      </c>
      <c r="L34" s="120">
        <f>'תקציב החברה לפיתוח 2024'!L53</f>
        <v>159190</v>
      </c>
      <c r="M34" s="120">
        <f>'תקציב החברה לפיתוח 2024'!M53</f>
        <v>810</v>
      </c>
      <c r="N34" s="120">
        <f>'תקציב החברה לפיתוח 2024'!N53</f>
        <v>690000</v>
      </c>
      <c r="O34" s="120">
        <f>'תקציב החברה לפיתוח 2024'!O53</f>
        <v>6650000</v>
      </c>
      <c r="P34" s="120">
        <f>'תקציב החברה לפיתוח 2024'!P53</f>
        <v>690810</v>
      </c>
      <c r="Q34" s="120">
        <f>'תקציב החברה לפיתוח 2024'!Q53</f>
        <v>0</v>
      </c>
      <c r="R34" s="120">
        <f>'תקציב החברה לפיתוח 2024'!R53</f>
        <v>0</v>
      </c>
      <c r="S34" s="120">
        <f>'תקציב החברה לפיתוח 2024'!S53</f>
        <v>0</v>
      </c>
      <c r="T34" s="120">
        <f>'תקציב החברה לפיתוח 2024'!T53</f>
        <v>690000</v>
      </c>
      <c r="U34" s="120">
        <f>'תקציב החברה לפיתוח 2024'!U53</f>
        <v>0</v>
      </c>
      <c r="V34" s="120">
        <f>'תקציב החברה לפיתוח 2024'!V53</f>
        <v>0</v>
      </c>
      <c r="W34" s="120">
        <f>'תקציב החברה לפיתוח 2024'!W53</f>
        <v>0</v>
      </c>
      <c r="X34" s="120">
        <f>'תקציב החברה לפיתוח 2024'!X53</f>
        <v>0</v>
      </c>
      <c r="Y34" s="120">
        <f>'תקציב החברה לפיתוח 2024'!Y53</f>
        <v>0</v>
      </c>
      <c r="Z34" s="120">
        <f>'תקציב החברה לפיתוח 2024'!Z53</f>
        <v>0</v>
      </c>
      <c r="AA34" s="120">
        <f>'תקציב החברה לפיתוח 2024'!AA53</f>
        <v>0</v>
      </c>
      <c r="AB34" s="235" t="str">
        <f>'תקציב החברה לפיתוח 2024'!AB53</f>
        <v xml:space="preserve">תכנון פיתוח רחוב הפרטיזנים. מדרכה מזרחית/דרומית, עבודות ניקוז. </v>
      </c>
      <c r="AC34" s="135">
        <f>'תקציב החברה לפיתוח 2024'!AC53</f>
        <v>742000</v>
      </c>
      <c r="AJ34" s="5"/>
      <c r="AK34" s="5"/>
      <c r="AL34" s="5"/>
      <c r="AM34" s="5"/>
    </row>
    <row r="35" spans="1:39" customFormat="1" ht="45" customHeight="1">
      <c r="A35" s="135">
        <f t="shared" si="1"/>
        <v>30</v>
      </c>
      <c r="B35" s="135">
        <f>'תקציב החברה לפיתוח 2024'!B54</f>
        <v>2110</v>
      </c>
      <c r="C35" s="235" t="str">
        <f>'תקציב החברה לפיתוח 2024'!C54</f>
        <v>שיכון דרום הר' 2312</v>
      </c>
      <c r="D35" s="120">
        <f>'תקציב החברה לפיתוח 2024'!D54</f>
        <v>16000000</v>
      </c>
      <c r="E35" s="120">
        <f>'תקציב החברה לפיתוח 2024'!E54</f>
        <v>16000000</v>
      </c>
      <c r="F35" s="120">
        <f>'תקציב החברה לפיתוח 2024'!F54</f>
        <v>0</v>
      </c>
      <c r="G35" s="120">
        <f>'תקציב החברה לפיתוח 2024'!G54</f>
        <v>50000</v>
      </c>
      <c r="H35" s="120">
        <f>'תקציב החברה לפיתוח 2024'!H54</f>
        <v>0</v>
      </c>
      <c r="I35" s="120">
        <f>'תקציב החברה לפיתוח 2024'!I54</f>
        <v>0</v>
      </c>
      <c r="J35" s="120">
        <f>'תקציב החברה לפיתוח 2024'!J54</f>
        <v>0</v>
      </c>
      <c r="K35" s="120">
        <f>'תקציב החברה לפיתוח 2024'!K54</f>
        <v>0</v>
      </c>
      <c r="L35" s="120">
        <f>'תקציב החברה לפיתוח 2024'!L54</f>
        <v>0</v>
      </c>
      <c r="M35" s="120">
        <f>'תקציב החברה לפיתוח 2024'!M54</f>
        <v>0</v>
      </c>
      <c r="N35" s="120">
        <f>'תקציב החברה לפיתוח 2024'!N54</f>
        <v>0</v>
      </c>
      <c r="O35" s="120">
        <f>'תקציב החברה לפיתוח 2024'!O54</f>
        <v>16000000</v>
      </c>
      <c r="P35" s="120">
        <f>'תקציב החברה לפיתוח 2024'!P54</f>
        <v>50000</v>
      </c>
      <c r="Q35" s="120">
        <f>'תקציב החברה לפיתוח 2024'!Q54</f>
        <v>0</v>
      </c>
      <c r="R35" s="120">
        <f>'תקציב החברה לפיתוח 2024'!R54</f>
        <v>0</v>
      </c>
      <c r="S35" s="120">
        <f>'תקציב החברה לפיתוח 2024'!S54</f>
        <v>0</v>
      </c>
      <c r="T35" s="120">
        <f>'תקציב החברה לפיתוח 2024'!T54</f>
        <v>50000</v>
      </c>
      <c r="U35" s="120">
        <f>'תקציב החברה לפיתוח 2024'!U54</f>
        <v>-50000</v>
      </c>
      <c r="V35" s="120">
        <f>'תקציב החברה לפיתוח 2024'!V54</f>
        <v>-50000</v>
      </c>
      <c r="W35" s="120">
        <f>'תקציב החברה לפיתוח 2024'!W54</f>
        <v>0</v>
      </c>
      <c r="X35" s="120">
        <f>'תקציב החברה לפיתוח 2024'!X54</f>
        <v>0</v>
      </c>
      <c r="Y35" s="120">
        <f>'תקציב החברה לפיתוח 2024'!Y54</f>
        <v>0</v>
      </c>
      <c r="Z35" s="120">
        <f>'תקציב החברה לפיתוח 2024'!Z54</f>
        <v>0</v>
      </c>
      <c r="AA35" s="120">
        <f>'תקציב החברה לפיתוח 2024'!AA54</f>
        <v>0</v>
      </c>
      <c r="AB35" s="235" t="str">
        <f>'תקציב החברה לפיתוח 2024'!AB54</f>
        <v xml:space="preserve">תכנון פיתוח מתחם שיכון דרום. תכנון בין רח' בן גוריון-רבי עקיבא-בן יהודה. </v>
      </c>
      <c r="AC35" s="135">
        <f>'תקציב החברה לפיתוח 2024'!AC54</f>
        <v>742000</v>
      </c>
      <c r="AD35" s="134"/>
      <c r="AE35" s="134"/>
      <c r="AF35" s="134"/>
      <c r="AG35" s="134"/>
      <c r="AH35" s="134"/>
      <c r="AI35" s="134"/>
      <c r="AJ35" s="5"/>
      <c r="AK35" s="5"/>
      <c r="AL35" s="5"/>
      <c r="AM35" s="5"/>
    </row>
    <row r="36" spans="1:39" s="139" customFormat="1" ht="45" customHeight="1">
      <c r="A36" s="135">
        <f t="shared" si="1"/>
        <v>31</v>
      </c>
      <c r="B36" s="135">
        <f>'תקציב החברה לפיתוח 2024'!B55</f>
        <v>2111</v>
      </c>
      <c r="C36" s="235" t="str">
        <f>'תקציב החברה לפיתוח 2024'!C55</f>
        <v>הר מירון בר כוכבא הר' 2266</v>
      </c>
      <c r="D36" s="120">
        <f>'תקציב החברה לפיתוח 2024'!D55</f>
        <v>15200000</v>
      </c>
      <c r="E36" s="120">
        <f>'תקציב החברה לפיתוח 2024'!E55</f>
        <v>15200000</v>
      </c>
      <c r="F36" s="120">
        <f>'תקציב החברה לפיתוח 2024'!F55</f>
        <v>0</v>
      </c>
      <c r="G36" s="120">
        <f>'תקציב החברה לפיתוח 2024'!G55</f>
        <v>100000</v>
      </c>
      <c r="H36" s="120">
        <f>'תקציב החברה לפיתוח 2024'!H55</f>
        <v>0</v>
      </c>
      <c r="I36" s="120">
        <f>'תקציב החברה לפיתוח 2024'!I55</f>
        <v>0</v>
      </c>
      <c r="J36" s="120">
        <f>'תקציב החברה לפיתוח 2024'!J55</f>
        <v>0</v>
      </c>
      <c r="K36" s="120">
        <f>'תקציב החברה לפיתוח 2024'!K55</f>
        <v>0</v>
      </c>
      <c r="L36" s="120">
        <f>'תקציב החברה לפיתוח 2024'!L55</f>
        <v>0</v>
      </c>
      <c r="M36" s="120">
        <f>'תקציב החברה לפיתוח 2024'!M55</f>
        <v>0</v>
      </c>
      <c r="N36" s="120">
        <f>'תקציב החברה לפיתוח 2024'!N55</f>
        <v>0</v>
      </c>
      <c r="O36" s="120">
        <f>'תקציב החברה לפיתוח 2024'!O55</f>
        <v>15200000</v>
      </c>
      <c r="P36" s="120">
        <f>'תקציב החברה לפיתוח 2024'!P55</f>
        <v>100000</v>
      </c>
      <c r="Q36" s="120">
        <f>'תקציב החברה לפיתוח 2024'!Q55</f>
        <v>0</v>
      </c>
      <c r="R36" s="120">
        <f>'תקציב החברה לפיתוח 2024'!R55</f>
        <v>0</v>
      </c>
      <c r="S36" s="120">
        <f>'תקציב החברה לפיתוח 2024'!S55</f>
        <v>0</v>
      </c>
      <c r="T36" s="120">
        <f>'תקציב החברה לפיתוח 2024'!T55</f>
        <v>100000</v>
      </c>
      <c r="U36" s="120">
        <f>'תקציב החברה לפיתוח 2024'!U55</f>
        <v>-100000</v>
      </c>
      <c r="V36" s="120">
        <f>'תקציב החברה לפיתוח 2024'!V55</f>
        <v>-100000</v>
      </c>
      <c r="W36" s="120">
        <f>'תקציב החברה לפיתוח 2024'!W55</f>
        <v>0</v>
      </c>
      <c r="X36" s="120">
        <f>'תקציב החברה לפיתוח 2024'!X55</f>
        <v>0</v>
      </c>
      <c r="Y36" s="120">
        <f>'תקציב החברה לפיתוח 2024'!Y55</f>
        <v>0</v>
      </c>
      <c r="Z36" s="120">
        <f>'תקציב החברה לפיתוח 2024'!Z55</f>
        <v>0</v>
      </c>
      <c r="AA36" s="120">
        <f>'תקציב החברה לפיתוח 2024'!AA55</f>
        <v>0</v>
      </c>
      <c r="AB36" s="235" t="str">
        <f>'תקציב החברה לפיתוח 2024'!AB55</f>
        <v xml:space="preserve">תכנון פיתוח הרחובות הר מירון בר כוכבא בעקבות אישור תוכנית התחדשות עירונית. </v>
      </c>
      <c r="AC36" s="135">
        <f>'תקציב החברה לפיתוח 2024'!AC55</f>
        <v>742000</v>
      </c>
      <c r="AD36" s="134"/>
      <c r="AE36" s="134"/>
      <c r="AF36" s="134"/>
      <c r="AG36" s="134"/>
      <c r="AH36" s="134"/>
      <c r="AI36" s="134"/>
      <c r="AJ36" s="5"/>
      <c r="AK36" s="5"/>
      <c r="AL36" s="5"/>
      <c r="AM36" s="5"/>
    </row>
    <row r="37" spans="1:39" s="139" customFormat="1" ht="45" customHeight="1">
      <c r="A37" s="135">
        <f t="shared" si="1"/>
        <v>32</v>
      </c>
      <c r="B37" s="135">
        <f>'תקציב החברה לפיתוח 2024'!B58</f>
        <v>2119</v>
      </c>
      <c r="C37" s="235" t="str">
        <f>'תקציב החברה לפיתוח 2024'!C58</f>
        <v>שביל מתחם העצמאות הרב גורן הבנים</v>
      </c>
      <c r="D37" s="120">
        <f>'תקציב החברה לפיתוח 2024'!D58</f>
        <v>6000000</v>
      </c>
      <c r="E37" s="120">
        <f>'תקציב החברה לפיתוח 2024'!E58</f>
        <v>6000000</v>
      </c>
      <c r="F37" s="120">
        <f>'תקציב החברה לפיתוח 2024'!F58</f>
        <v>0</v>
      </c>
      <c r="G37" s="120">
        <f>'תקציב החברה לפיתוח 2024'!G58</f>
        <v>6000000</v>
      </c>
      <c r="H37" s="120">
        <f>'תקציב החברה לפיתוח 2024'!H58</f>
        <v>3301431</v>
      </c>
      <c r="I37" s="120">
        <f>'תקציב החברה לפיתוח 2024'!I58</f>
        <v>0</v>
      </c>
      <c r="J37" s="120">
        <f>'תקציב החברה לפיתוח 2024'!J58</f>
        <v>0</v>
      </c>
      <c r="K37" s="120">
        <f>'תקציב החברה לפיתוח 2024'!K58</f>
        <v>0</v>
      </c>
      <c r="L37" s="120">
        <f>'תקציב החברה לפיתוח 2024'!L58</f>
        <v>3301431</v>
      </c>
      <c r="M37" s="120">
        <f>'תקציב החברה לפיתוח 2024'!M58</f>
        <v>8569</v>
      </c>
      <c r="N37" s="120">
        <f>'תקציב החברה לפיתוח 2024'!N58</f>
        <v>2690000</v>
      </c>
      <c r="O37" s="120">
        <f>'תקציב החברה לפיתוח 2024'!O58</f>
        <v>0</v>
      </c>
      <c r="P37" s="120">
        <f>'תקציב החברה לפיתוח 2024'!P58</f>
        <v>2698569</v>
      </c>
      <c r="Q37" s="120">
        <f>'תקציב החברה לפיתוח 2024'!Q58</f>
        <v>0</v>
      </c>
      <c r="R37" s="120">
        <f>'תקציב החברה לפיתוח 2024'!R58</f>
        <v>0</v>
      </c>
      <c r="S37" s="120">
        <f>'תקציב החברה לפיתוח 2024'!S58</f>
        <v>0</v>
      </c>
      <c r="T37" s="120">
        <f>'תקציב החברה לפיתוח 2024'!T58</f>
        <v>2690000</v>
      </c>
      <c r="U37" s="120">
        <f>'תקציב החברה לפיתוח 2024'!U58</f>
        <v>0</v>
      </c>
      <c r="V37" s="120">
        <f>'תקציב החברה לפיתוח 2024'!V58</f>
        <v>0</v>
      </c>
      <c r="W37" s="120">
        <f>'תקציב החברה לפיתוח 2024'!W58</f>
        <v>0</v>
      </c>
      <c r="X37" s="120">
        <f>'תקציב החברה לפיתוח 2024'!X58</f>
        <v>0</v>
      </c>
      <c r="Y37" s="120">
        <f>'תקציב החברה לפיתוח 2024'!Y58</f>
        <v>0</v>
      </c>
      <c r="Z37" s="120">
        <f>'תקציב החברה לפיתוח 2024'!Z58</f>
        <v>0</v>
      </c>
      <c r="AA37" s="120">
        <f>'תקציב החברה לפיתוח 2024'!AA58</f>
        <v>0</v>
      </c>
      <c r="AB37" s="235" t="str">
        <f>'תקציב החברה לפיתוח 2024'!AB58</f>
        <v>עבודות פיתוח מערך שבילים בין הרחובות העצמאות הרב גורן ורחוב הבנים.</v>
      </c>
      <c r="AC37" s="135">
        <f>'תקציב החברה לפיתוח 2024'!AC58</f>
        <v>742000</v>
      </c>
      <c r="AD37" s="134"/>
      <c r="AE37" s="134"/>
      <c r="AF37" s="134"/>
      <c r="AG37" s="134"/>
      <c r="AH37" s="134"/>
      <c r="AI37" s="134"/>
      <c r="AJ37" s="5"/>
      <c r="AK37" s="5"/>
      <c r="AL37" s="5"/>
      <c r="AM37" s="5"/>
    </row>
    <row r="38" spans="1:39" s="5" customFormat="1" ht="45" customHeight="1">
      <c r="A38" s="135">
        <f t="shared" si="1"/>
        <v>33</v>
      </c>
      <c r="B38" s="135">
        <f>'תקציב החברה לפיתוח 2024'!B59</f>
        <v>2126</v>
      </c>
      <c r="C38" s="235" t="str">
        <f>'תקציב החברה לפיתוח 2024'!C59</f>
        <v>כיכר העוגן השונית</v>
      </c>
      <c r="D38" s="120">
        <f>'תקציב החברה לפיתוח 2024'!D59</f>
        <v>1975000</v>
      </c>
      <c r="E38" s="120">
        <f>'תקציב החברה לפיתוח 2024'!E59</f>
        <v>1975000</v>
      </c>
      <c r="F38" s="120">
        <f>'תקציב החברה לפיתוח 2024'!F59</f>
        <v>0</v>
      </c>
      <c r="G38" s="120">
        <f>'תקציב החברה לפיתוח 2024'!G59</f>
        <v>0</v>
      </c>
      <c r="H38" s="120">
        <f>'תקציב החברה לפיתוח 2024'!H59</f>
        <v>0</v>
      </c>
      <c r="I38" s="120">
        <f>'תקציב החברה לפיתוח 2024'!I59</f>
        <v>0</v>
      </c>
      <c r="J38" s="120">
        <f>'תקציב החברה לפיתוח 2024'!J59</f>
        <v>0</v>
      </c>
      <c r="K38" s="120">
        <f>'תקציב החברה לפיתוח 2024'!K59</f>
        <v>0</v>
      </c>
      <c r="L38" s="120">
        <f>'תקציב החברה לפיתוח 2024'!L59</f>
        <v>0</v>
      </c>
      <c r="M38" s="120">
        <f>'תקציב החברה לפיתוח 2024'!M59</f>
        <v>0</v>
      </c>
      <c r="N38" s="120">
        <f>'תקציב החברה לפיתוח 2024'!N59</f>
        <v>0</v>
      </c>
      <c r="O38" s="120">
        <f>'תקציב החברה לפיתוח 2024'!O59</f>
        <v>1975000</v>
      </c>
      <c r="P38" s="120">
        <f>'תקציב החברה לפיתוח 2024'!P59</f>
        <v>0</v>
      </c>
      <c r="Q38" s="120">
        <f>'תקציב החברה לפיתוח 2024'!Q59</f>
        <v>0</v>
      </c>
      <c r="R38" s="120">
        <f>'תקציב החברה לפיתוח 2024'!R59</f>
        <v>0</v>
      </c>
      <c r="S38" s="120">
        <f>'תקציב החברה לפיתוח 2024'!S59</f>
        <v>0</v>
      </c>
      <c r="T38" s="120">
        <f>'תקציב החברה לפיתוח 2024'!T59</f>
        <v>0</v>
      </c>
      <c r="U38" s="120">
        <f>'תקציב החברה לפיתוח 2024'!U59</f>
        <v>0</v>
      </c>
      <c r="V38" s="120">
        <f>'תקציב החברה לפיתוח 2024'!V59</f>
        <v>0</v>
      </c>
      <c r="W38" s="120">
        <f>'תקציב החברה לפיתוח 2024'!W59</f>
        <v>0</v>
      </c>
      <c r="X38" s="120">
        <f>'תקציב החברה לפיתוח 2024'!X59</f>
        <v>0</v>
      </c>
      <c r="Y38" s="120">
        <f>'תקציב החברה לפיתוח 2024'!Y59</f>
        <v>0</v>
      </c>
      <c r="Z38" s="120">
        <f>'תקציב החברה לפיתוח 2024'!Z59</f>
        <v>0</v>
      </c>
      <c r="AA38" s="120">
        <f>'תקציב החברה לפיתוח 2024'!AA59</f>
        <v>0</v>
      </c>
      <c r="AB38" s="235">
        <f>'תקציב החברה לפיתוח 2024'!AB59</f>
        <v>0</v>
      </c>
      <c r="AC38" s="135">
        <f>'תקציב החברה לפיתוח 2024'!AC59</f>
        <v>742000</v>
      </c>
      <c r="AD38" s="134"/>
      <c r="AE38" s="134"/>
      <c r="AF38" s="134"/>
      <c r="AG38" s="134"/>
      <c r="AH38" s="134"/>
      <c r="AI38" s="134"/>
    </row>
    <row r="39" spans="1:39" s="5" customFormat="1" ht="45" customHeight="1">
      <c r="A39" s="135">
        <f t="shared" si="1"/>
        <v>34</v>
      </c>
      <c r="B39" s="135">
        <f>'תקציב החברה לפיתוח 2024'!B64</f>
        <v>2151</v>
      </c>
      <c r="C39" s="235" t="str">
        <f>'תקציב החברה לפיתוח 2024'!C64</f>
        <v>מתחם בזק</v>
      </c>
      <c r="D39" s="120">
        <f>'תקציב החברה לפיתוח 2024'!D64</f>
        <v>54000000</v>
      </c>
      <c r="E39" s="120">
        <f>'תקציב החברה לפיתוח 2024'!E64</f>
        <v>54000000</v>
      </c>
      <c r="F39" s="120">
        <f>'תקציב החברה לפיתוח 2024'!F64</f>
        <v>0</v>
      </c>
      <c r="G39" s="120">
        <f>'תקציב החברה לפיתוח 2024'!G64</f>
        <v>5000000</v>
      </c>
      <c r="H39" s="120">
        <f>'תקציב החברה לפיתוח 2024'!H64</f>
        <v>4443787</v>
      </c>
      <c r="I39" s="120">
        <f>'תקציב החברה לפיתוח 2024'!I64</f>
        <v>0</v>
      </c>
      <c r="J39" s="120">
        <f>'תקציב החברה לפיתוח 2024'!J64</f>
        <v>0</v>
      </c>
      <c r="K39" s="120">
        <f>'תקציב החברה לפיתוח 2024'!K64</f>
        <v>0</v>
      </c>
      <c r="L39" s="120">
        <f>'תקציב החברה לפיתוח 2024'!L64</f>
        <v>4443787</v>
      </c>
      <c r="M39" s="120">
        <f>'תקציב החברה לפיתוח 2024'!M64</f>
        <v>6213</v>
      </c>
      <c r="N39" s="120">
        <f>'תקציב החברה לפיתוח 2024'!N64</f>
        <v>6550000</v>
      </c>
      <c r="O39" s="120">
        <f>'תקציב החברה לפיתוח 2024'!O64</f>
        <v>43000000</v>
      </c>
      <c r="P39" s="120">
        <f>'תקציב החברה לפיתוח 2024'!P64</f>
        <v>556213</v>
      </c>
      <c r="Q39" s="120">
        <f>'תקציב החברה לפיתוח 2024'!Q64</f>
        <v>1000000</v>
      </c>
      <c r="R39" s="120">
        <f>'תקציב החברה לפיתוח 2024'!R64</f>
        <v>0</v>
      </c>
      <c r="S39" s="120">
        <f>'תקציב החברה לפיתוח 2024'!S64</f>
        <v>1000000</v>
      </c>
      <c r="T39" s="120">
        <f>'תקציב החברה לפיתוח 2024'!T64</f>
        <v>1550000</v>
      </c>
      <c r="U39" s="120">
        <f>'תקציב החברה לפיתוח 2024'!U64</f>
        <v>5000000</v>
      </c>
      <c r="V39" s="120">
        <f>'תקציב החברה לפיתוח 2024'!V64</f>
        <v>5000000</v>
      </c>
      <c r="W39" s="120">
        <f>'תקציב החברה לפיתוח 2024'!W64</f>
        <v>0</v>
      </c>
      <c r="X39" s="120">
        <f>'תקציב החברה לפיתוח 2024'!X64</f>
        <v>0</v>
      </c>
      <c r="Y39" s="120">
        <f>'תקציב החברה לפיתוח 2024'!Y64</f>
        <v>0</v>
      </c>
      <c r="Z39" s="120">
        <f>'תקציב החברה לפיתוח 2024'!Z64</f>
        <v>0</v>
      </c>
      <c r="AA39" s="120">
        <f>'תקציב החברה לפיתוח 2024'!AA64</f>
        <v>0</v>
      </c>
      <c r="AB39" s="235" t="str">
        <f>'תקציב החברה לפיתוח 2024'!AB64</f>
        <v>פיתוח מתחם "בזק" בו ייבנה בניין משרדים שבין היתר יאוכלס אגף הרווחה. כולל הריסת מבנה בזק.</v>
      </c>
      <c r="AC39" s="135">
        <f>'תקציב החברה לפיתוח 2024'!AC64</f>
        <v>742000</v>
      </c>
      <c r="AD39" s="134"/>
      <c r="AE39" s="134"/>
      <c r="AF39" s="134"/>
      <c r="AG39" s="134"/>
      <c r="AH39" s="134"/>
      <c r="AI39" s="134"/>
    </row>
    <row r="40" spans="1:39" customFormat="1" ht="40.200000000000003" customHeight="1">
      <c r="A40" s="135">
        <f t="shared" si="1"/>
        <v>35</v>
      </c>
      <c r="B40" s="19">
        <v>2164</v>
      </c>
      <c r="C40" s="3" t="s">
        <v>397</v>
      </c>
      <c r="D40" s="4">
        <v>300000</v>
      </c>
      <c r="E40" s="4">
        <v>300000</v>
      </c>
      <c r="F40" s="4">
        <f>D40-E40</f>
        <v>0</v>
      </c>
      <c r="G40" s="4">
        <v>300000</v>
      </c>
      <c r="H40" s="4">
        <v>24087</v>
      </c>
      <c r="I40" s="4">
        <v>0</v>
      </c>
      <c r="J40" s="4">
        <v>16059.21</v>
      </c>
      <c r="K40" s="4">
        <f>I40+J40</f>
        <v>16059.21</v>
      </c>
      <c r="L40" s="4">
        <f>H40+K40</f>
        <v>40146.21</v>
      </c>
      <c r="M40" s="4">
        <f>P40+S40</f>
        <v>259853.79</v>
      </c>
      <c r="N40" s="4"/>
      <c r="O40" s="4">
        <f>D40-L40-M40-N40</f>
        <v>0</v>
      </c>
      <c r="P40" s="4">
        <f>G40-L40</f>
        <v>259853.79</v>
      </c>
      <c r="Q40" s="4"/>
      <c r="R40" s="4"/>
      <c r="S40" s="4">
        <f>SUM(Q40:R40)</f>
        <v>0</v>
      </c>
      <c r="T40" s="4">
        <f>P40-M40+S40</f>
        <v>0</v>
      </c>
      <c r="U40" s="4">
        <f>N40-T40</f>
        <v>0</v>
      </c>
      <c r="V40" s="4"/>
      <c r="W40" s="120">
        <f>U40-V40-AA40</f>
        <v>0</v>
      </c>
      <c r="X40" s="4"/>
      <c r="Y40" s="4"/>
      <c r="Z40" s="4"/>
      <c r="AA40" s="4"/>
      <c r="AB40" s="3" t="s">
        <v>398</v>
      </c>
      <c r="AC40" s="3">
        <v>742000</v>
      </c>
    </row>
    <row r="41" spans="1:39" s="139" customFormat="1" ht="45" customHeight="1">
      <c r="A41" s="135">
        <f t="shared" si="1"/>
        <v>36</v>
      </c>
      <c r="B41" s="135">
        <f>'תקציב החברה לפיתוח 2024'!B72</f>
        <v>2191</v>
      </c>
      <c r="C41" s="235" t="str">
        <f>'תקציב החברה לפיתוח 2024'!C72</f>
        <v>עבודות ניקוז רחוב סוקולוב</v>
      </c>
      <c r="D41" s="120">
        <f>'תקציב החברה לפיתוח 2024'!D72</f>
        <v>14000000</v>
      </c>
      <c r="E41" s="120">
        <f>'תקציב החברה לפיתוח 2024'!E72</f>
        <v>14000000</v>
      </c>
      <c r="F41" s="120">
        <f>'תקציב החברה לפיתוח 2024'!F72</f>
        <v>0</v>
      </c>
      <c r="G41" s="120">
        <f>'תקציב החברה לפיתוח 2024'!G72</f>
        <v>700000</v>
      </c>
      <c r="H41" s="120">
        <f>'תקציב החברה לפיתוח 2024'!H72</f>
        <v>482960</v>
      </c>
      <c r="I41" s="120">
        <f>'תקציב החברה לפיתוח 2024'!I72</f>
        <v>0</v>
      </c>
      <c r="J41" s="120">
        <f>'תקציב החברה לפיתוח 2024'!J72</f>
        <v>0</v>
      </c>
      <c r="K41" s="120">
        <f>'תקציב החברה לפיתוח 2024'!K72</f>
        <v>0</v>
      </c>
      <c r="L41" s="120">
        <f>'תקציב החברה לפיתוח 2024'!L72</f>
        <v>482960</v>
      </c>
      <c r="M41" s="120">
        <f>'תקציב החברה לפיתוח 2024'!M72</f>
        <v>7040</v>
      </c>
      <c r="N41" s="120">
        <f>'תקציב החברה לפיתוח 2024'!N72</f>
        <v>210000</v>
      </c>
      <c r="O41" s="120">
        <f>'תקציב החברה לפיתוח 2024'!O72</f>
        <v>13300000</v>
      </c>
      <c r="P41" s="120">
        <f>'תקציב החברה לפיתוח 2024'!P72</f>
        <v>217040</v>
      </c>
      <c r="Q41" s="120">
        <f>'תקציב החברה לפיתוח 2024'!Q72</f>
        <v>0</v>
      </c>
      <c r="R41" s="120">
        <f>'תקציב החברה לפיתוח 2024'!R72</f>
        <v>0</v>
      </c>
      <c r="S41" s="120">
        <f>'תקציב החברה לפיתוח 2024'!S72</f>
        <v>0</v>
      </c>
      <c r="T41" s="120">
        <f>'תקציב החברה לפיתוח 2024'!T72</f>
        <v>210000</v>
      </c>
      <c r="U41" s="120">
        <f>'תקציב החברה לפיתוח 2024'!U72</f>
        <v>0</v>
      </c>
      <c r="V41" s="120">
        <f>'תקציב החברה לפיתוח 2024'!V72</f>
        <v>0</v>
      </c>
      <c r="W41" s="120">
        <f>'תקציב החברה לפיתוח 2024'!W72</f>
        <v>0</v>
      </c>
      <c r="X41" s="120">
        <f>'תקציב החברה לפיתוח 2024'!X72</f>
        <v>0</v>
      </c>
      <c r="Y41" s="120">
        <f>'תקציב החברה לפיתוח 2024'!Y72</f>
        <v>0</v>
      </c>
      <c r="Z41" s="120">
        <f>'תקציב החברה לפיתוח 2024'!Z72</f>
        <v>0</v>
      </c>
      <c r="AA41" s="120">
        <f>'תקציב החברה לפיתוח 2024'!AA72</f>
        <v>0</v>
      </c>
      <c r="AB41" s="235" t="str">
        <f>'תקציב החברה לפיתוח 2024'!AB72</f>
        <v>תכנון וביצוע ניקוז ברחוב סוקולוב בשיתוף עם תאגיד המים. במסגרת תוכ. אב לניקוז.</v>
      </c>
      <c r="AC41" s="135">
        <f>'תקציב החברה לפיתוח 2024'!AC72</f>
        <v>742000</v>
      </c>
      <c r="AD41" s="134"/>
      <c r="AE41" s="134"/>
      <c r="AF41" s="134"/>
      <c r="AG41" s="134"/>
      <c r="AH41" s="134"/>
      <c r="AI41" s="134"/>
      <c r="AJ41" s="5"/>
      <c r="AK41" s="5"/>
      <c r="AL41" s="5"/>
      <c r="AM41" s="5"/>
    </row>
    <row r="42" spans="1:39" ht="45" customHeight="1">
      <c r="A42" s="135">
        <f t="shared" si="1"/>
        <v>37</v>
      </c>
      <c r="B42" s="135">
        <f>'תקציב החברה לפיתוח 2024'!B73</f>
        <v>2194</v>
      </c>
      <c r="C42" s="235" t="str">
        <f>'תקציב החברה לפיתוח 2024'!C73</f>
        <v xml:space="preserve">עבודות ניקוז  רחוב רבינו תם </v>
      </c>
      <c r="D42" s="120">
        <f>'תקציב החברה לפיתוח 2024'!D73</f>
        <v>700000</v>
      </c>
      <c r="E42" s="120">
        <f>'תקציב החברה לפיתוח 2024'!E73</f>
        <v>700000</v>
      </c>
      <c r="F42" s="120">
        <f>'תקציב החברה לפיתוח 2024'!F73</f>
        <v>0</v>
      </c>
      <c r="G42" s="120">
        <f>'תקציב החברה לפיתוח 2024'!G73</f>
        <v>100000</v>
      </c>
      <c r="H42" s="120">
        <f>'תקציב החברה לפיתוח 2024'!H73</f>
        <v>0</v>
      </c>
      <c r="I42" s="120">
        <f>'תקציב החברה לפיתוח 2024'!I73</f>
        <v>0</v>
      </c>
      <c r="J42" s="120">
        <f>'תקציב החברה לפיתוח 2024'!J73</f>
        <v>0</v>
      </c>
      <c r="K42" s="120">
        <f>'תקציב החברה לפיתוח 2024'!K73</f>
        <v>0</v>
      </c>
      <c r="L42" s="120">
        <f>'תקציב החברה לפיתוח 2024'!L73</f>
        <v>0</v>
      </c>
      <c r="M42" s="120">
        <f>'תקציב החברה לפיתוח 2024'!M73</f>
        <v>0</v>
      </c>
      <c r="N42" s="120">
        <f>'תקציב החברה לפיתוח 2024'!N73</f>
        <v>0</v>
      </c>
      <c r="O42" s="120">
        <f>'תקציב החברה לפיתוח 2024'!O73</f>
        <v>700000</v>
      </c>
      <c r="P42" s="120">
        <f>'תקציב החברה לפיתוח 2024'!P73</f>
        <v>100000</v>
      </c>
      <c r="Q42" s="120">
        <f>'תקציב החברה לפיתוח 2024'!Q73</f>
        <v>0</v>
      </c>
      <c r="R42" s="120">
        <f>'תקציב החברה לפיתוח 2024'!R73</f>
        <v>0</v>
      </c>
      <c r="S42" s="120">
        <f>'תקציב החברה לפיתוח 2024'!S73</f>
        <v>0</v>
      </c>
      <c r="T42" s="120">
        <f>'תקציב החברה לפיתוח 2024'!T73</f>
        <v>100000</v>
      </c>
      <c r="U42" s="120">
        <f>'תקציב החברה לפיתוח 2024'!U73</f>
        <v>-100000</v>
      </c>
      <c r="V42" s="120">
        <f>'תקציב החברה לפיתוח 2024'!V73</f>
        <v>-100000</v>
      </c>
      <c r="W42" s="120">
        <f>'תקציב החברה לפיתוח 2024'!W73</f>
        <v>0</v>
      </c>
      <c r="X42" s="120">
        <f>'תקציב החברה לפיתוח 2024'!X73</f>
        <v>0</v>
      </c>
      <c r="Y42" s="120">
        <f>'תקציב החברה לפיתוח 2024'!Y73</f>
        <v>0</v>
      </c>
      <c r="Z42" s="120">
        <f>'תקציב החברה לפיתוח 2024'!Z73</f>
        <v>0</v>
      </c>
      <c r="AA42" s="120">
        <f>'תקציב החברה לפיתוח 2024'!AA73</f>
        <v>0</v>
      </c>
      <c r="AB42" s="235" t="str">
        <f>'תקציב החברה לפיתוח 2024'!AB73</f>
        <v>תכנון וביצוע ניקוז ברחוב רבנו תם בשיתוף עם תאגיד המים. במסגרת תוכ. אב לניקוז.</v>
      </c>
      <c r="AC42" s="135">
        <f>'תקציב החברה לפיתוח 2024'!AC73</f>
        <v>742000</v>
      </c>
      <c r="AJ42" s="5"/>
      <c r="AK42" s="5"/>
      <c r="AL42" s="5"/>
      <c r="AM42" s="5"/>
    </row>
    <row r="43" spans="1:39" ht="45" customHeight="1">
      <c r="A43" s="135">
        <f t="shared" si="1"/>
        <v>38</v>
      </c>
      <c r="B43" s="135">
        <f>'תקציב החברה לפיתוח 2024'!B75</f>
        <v>2196</v>
      </c>
      <c r="C43" s="235" t="str">
        <f>'תקציב החברה לפיתוח 2024'!C75</f>
        <v xml:space="preserve">עבודות ניקוז   רחוב הרב גורן </v>
      </c>
      <c r="D43" s="120">
        <f>'תקציב החברה לפיתוח 2024'!D75</f>
        <v>21135000</v>
      </c>
      <c r="E43" s="120">
        <f>'תקציב החברה לפיתוח 2024'!E75</f>
        <v>21135000</v>
      </c>
      <c r="F43" s="120">
        <f>'תקציב החברה לפיתוח 2024'!F75</f>
        <v>0</v>
      </c>
      <c r="G43" s="120">
        <f>'תקציב החברה לפיתוח 2024'!G75</f>
        <v>1000000</v>
      </c>
      <c r="H43" s="120">
        <f>'תקציב החברה לפיתוח 2024'!H75</f>
        <v>982316</v>
      </c>
      <c r="I43" s="120">
        <f>'תקציב החברה לפיתוח 2024'!I75</f>
        <v>0</v>
      </c>
      <c r="J43" s="120">
        <f>'תקציב החברה לפיתוח 2024'!J75</f>
        <v>0</v>
      </c>
      <c r="K43" s="120">
        <f>'תקציב החברה לפיתוח 2024'!K75</f>
        <v>0</v>
      </c>
      <c r="L43" s="120">
        <f>'תקציב החברה לפיתוח 2024'!L75</f>
        <v>982316</v>
      </c>
      <c r="M43" s="120">
        <f>'תקציב החברה לפיתוח 2024'!M75</f>
        <v>7684</v>
      </c>
      <c r="N43" s="120">
        <f>'תקציב החברה לפיתוח 2024'!N75</f>
        <v>510000</v>
      </c>
      <c r="O43" s="120">
        <f>'תקציב החברה לפיתוח 2024'!O75</f>
        <v>19635000</v>
      </c>
      <c r="P43" s="120">
        <f>'תקציב החברה לפיתוח 2024'!P75</f>
        <v>17684</v>
      </c>
      <c r="Q43" s="120">
        <f>'תקציב החברה לפיתוח 2024'!Q75</f>
        <v>500000</v>
      </c>
      <c r="R43" s="120">
        <f>'תקציב החברה לפיתוח 2024'!R75</f>
        <v>0</v>
      </c>
      <c r="S43" s="120">
        <f>'תקציב החברה לפיתוח 2024'!S75</f>
        <v>500000</v>
      </c>
      <c r="T43" s="120">
        <f>'תקציב החברה לפיתוח 2024'!T75</f>
        <v>510000</v>
      </c>
      <c r="U43" s="120">
        <f>'תקציב החברה לפיתוח 2024'!U75</f>
        <v>0</v>
      </c>
      <c r="V43" s="120">
        <f>'תקציב החברה לפיתוח 2024'!V75</f>
        <v>0</v>
      </c>
      <c r="W43" s="120">
        <f>'תקציב החברה לפיתוח 2024'!W75</f>
        <v>0</v>
      </c>
      <c r="X43" s="120">
        <f>'תקציב החברה לפיתוח 2024'!X75</f>
        <v>0</v>
      </c>
      <c r="Y43" s="120">
        <f>'תקציב החברה לפיתוח 2024'!Y75</f>
        <v>0</v>
      </c>
      <c r="Z43" s="120">
        <f>'תקציב החברה לפיתוח 2024'!Z75</f>
        <v>0</v>
      </c>
      <c r="AA43" s="120">
        <f>'תקציב החברה לפיתוח 2024'!AA75</f>
        <v>0</v>
      </c>
      <c r="AB43" s="235" t="str">
        <f>'תקציב החברה לפיתוח 2024'!AB75</f>
        <v>תכנון וביצוע ניקוז ברחוב הרב גורן בשיתוף עם תאגיד המים. במסגרת תוכ. אב לניקוז.</v>
      </c>
      <c r="AC43" s="135">
        <f>'תקציב החברה לפיתוח 2024'!AC75</f>
        <v>742000</v>
      </c>
      <c r="AJ43" s="5"/>
      <c r="AK43" s="5"/>
      <c r="AL43" s="5"/>
      <c r="AM43" s="5"/>
    </row>
    <row r="44" spans="1:39" s="134" customFormat="1" ht="45" customHeight="1">
      <c r="A44" s="135">
        <f t="shared" si="1"/>
        <v>39</v>
      </c>
      <c r="B44" s="135">
        <f>'תקציב החברה לפיתוח 2024'!B76</f>
        <v>2197</v>
      </c>
      <c r="C44" s="235" t="str">
        <f>'תקציב החברה לפיתוח 2024'!C76</f>
        <v xml:space="preserve">עבודות ניקוז   רחוב רוחמה ושבטי ישראל </v>
      </c>
      <c r="D44" s="120">
        <f>'תקציב החברה לפיתוח 2024'!D76</f>
        <v>15160000</v>
      </c>
      <c r="E44" s="120">
        <f>'תקציב החברה לפיתוח 2024'!E76</f>
        <v>15160000</v>
      </c>
      <c r="F44" s="120">
        <f>'תקציב החברה לפיתוח 2024'!F76</f>
        <v>0</v>
      </c>
      <c r="G44" s="120">
        <f>'תקציב החברה לפיתוח 2024'!G76</f>
        <v>700000</v>
      </c>
      <c r="H44" s="120">
        <f>'תקציב החברה לפיתוח 2024'!H76</f>
        <v>697954</v>
      </c>
      <c r="I44" s="120">
        <f>'תקציב החברה לפיתוח 2024'!I76</f>
        <v>0</v>
      </c>
      <c r="J44" s="120">
        <f>'תקציב החברה לפיתוח 2024'!J76</f>
        <v>0</v>
      </c>
      <c r="K44" s="120">
        <f>'תקציב החברה לפיתוח 2024'!K76</f>
        <v>0</v>
      </c>
      <c r="L44" s="120">
        <f>'תקציב החברה לפיתוח 2024'!L76</f>
        <v>697954</v>
      </c>
      <c r="M44" s="120">
        <f>'תקציב החברה לפיתוח 2024'!M76</f>
        <v>2046</v>
      </c>
      <c r="N44" s="120">
        <f>'תקציב החברה לפיתוח 2024'!N76</f>
        <v>0</v>
      </c>
      <c r="O44" s="120">
        <f>'תקציב החברה לפיתוח 2024'!O76</f>
        <v>14460000</v>
      </c>
      <c r="P44" s="120">
        <f>'תקציב החברה לפיתוח 2024'!P76</f>
        <v>2046</v>
      </c>
      <c r="Q44" s="120">
        <f>'תקציב החברה לפיתוח 2024'!Q76</f>
        <v>0</v>
      </c>
      <c r="R44" s="120">
        <f>'תקציב החברה לפיתוח 2024'!R76</f>
        <v>0</v>
      </c>
      <c r="S44" s="120">
        <f>'תקציב החברה לפיתוח 2024'!S76</f>
        <v>0</v>
      </c>
      <c r="T44" s="120">
        <f>'תקציב החברה לפיתוח 2024'!T76</f>
        <v>0</v>
      </c>
      <c r="U44" s="120">
        <f>'תקציב החברה לפיתוח 2024'!U76</f>
        <v>0</v>
      </c>
      <c r="V44" s="120">
        <f>'תקציב החברה לפיתוח 2024'!V76</f>
        <v>0</v>
      </c>
      <c r="W44" s="120">
        <f>'תקציב החברה לפיתוח 2024'!W76</f>
        <v>0</v>
      </c>
      <c r="X44" s="120">
        <f>'תקציב החברה לפיתוח 2024'!X76</f>
        <v>0</v>
      </c>
      <c r="Y44" s="120">
        <f>'תקציב החברה לפיתוח 2024'!Y76</f>
        <v>0</v>
      </c>
      <c r="Z44" s="120">
        <f>'תקציב החברה לפיתוח 2024'!Z76</f>
        <v>0</v>
      </c>
      <c r="AA44" s="120">
        <f>'תקציב החברה לפיתוח 2024'!AA76</f>
        <v>0</v>
      </c>
      <c r="AB44" s="235" t="str">
        <f>'תקציב החברה לפיתוח 2024'!AB76</f>
        <v>תכנון וביצוע ניקוז ברחוב רוחמה ושבטי ישראל בשיתוף עם תאגיד המים. במסגרת תוכ. אב לניקוז.</v>
      </c>
      <c r="AC44" s="135">
        <f>'תקציב החברה לפיתוח 2024'!AC76</f>
        <v>742000</v>
      </c>
      <c r="AJ44" s="5"/>
      <c r="AK44" s="5"/>
      <c r="AL44" s="5"/>
      <c r="AM44" s="5"/>
    </row>
    <row r="45" spans="1:39" s="134" customFormat="1" ht="45" customHeight="1">
      <c r="A45" s="135">
        <f t="shared" si="1"/>
        <v>40</v>
      </c>
      <c r="B45" s="135">
        <f>'תקציב החברה לפיתוח 2024'!B77</f>
        <v>2198</v>
      </c>
      <c r="C45" s="235" t="str">
        <f>'תקציב החברה לפיתוח 2024'!C77</f>
        <v>פיתוח דרך מזרחית מקבילה לקיבוץ גלויות</v>
      </c>
      <c r="D45" s="120">
        <f>'תקציב החברה לפיתוח 2024'!D77</f>
        <v>16030000</v>
      </c>
      <c r="E45" s="120">
        <f>'תקציב החברה לפיתוח 2024'!E77</f>
        <v>16030000</v>
      </c>
      <c r="F45" s="120">
        <f>'תקציב החברה לפיתוח 2024'!F77</f>
        <v>0</v>
      </c>
      <c r="G45" s="120">
        <f>'תקציב החברה לפיתוח 2024'!G77</f>
        <v>800000</v>
      </c>
      <c r="H45" s="120">
        <f>'תקציב החברה לפיתוח 2024'!H77</f>
        <v>740050</v>
      </c>
      <c r="I45" s="120">
        <f>'תקציב החברה לפיתוח 2024'!I77</f>
        <v>0</v>
      </c>
      <c r="J45" s="120">
        <f>'תקציב החברה לפיתוח 2024'!J77</f>
        <v>0</v>
      </c>
      <c r="K45" s="120">
        <f>'תקציב החברה לפיתוח 2024'!K77</f>
        <v>0</v>
      </c>
      <c r="L45" s="120">
        <f>'תקציב החברה לפיתוח 2024'!L77</f>
        <v>740050</v>
      </c>
      <c r="M45" s="120">
        <f>'תקציב החברה לפיתוח 2024'!M77</f>
        <v>4950</v>
      </c>
      <c r="N45" s="120">
        <f>'תקציב החברה לפיתוח 2024'!N77</f>
        <v>55000</v>
      </c>
      <c r="O45" s="120">
        <f>'תקציב החברה לפיתוח 2024'!O77</f>
        <v>15230000</v>
      </c>
      <c r="P45" s="120">
        <f>'תקציב החברה לפיתוח 2024'!P77</f>
        <v>59950</v>
      </c>
      <c r="Q45" s="120">
        <f>'תקציב החברה לפיתוח 2024'!Q77</f>
        <v>0</v>
      </c>
      <c r="R45" s="120">
        <f>'תקציב החברה לפיתוח 2024'!R77</f>
        <v>0</v>
      </c>
      <c r="S45" s="120">
        <f>'תקציב החברה לפיתוח 2024'!S77</f>
        <v>0</v>
      </c>
      <c r="T45" s="120">
        <f>'תקציב החברה לפיתוח 2024'!T77</f>
        <v>55000</v>
      </c>
      <c r="U45" s="120">
        <f>'תקציב החברה לפיתוח 2024'!U77</f>
        <v>0</v>
      </c>
      <c r="V45" s="120">
        <f>'תקציב החברה לפיתוח 2024'!V77</f>
        <v>0</v>
      </c>
      <c r="W45" s="120">
        <f>'תקציב החברה לפיתוח 2024'!W77</f>
        <v>0</v>
      </c>
      <c r="X45" s="120">
        <f>'תקציב החברה לפיתוח 2024'!X77</f>
        <v>0</v>
      </c>
      <c r="Y45" s="120">
        <f>'תקציב החברה לפיתוח 2024'!Y77</f>
        <v>0</v>
      </c>
      <c r="Z45" s="120">
        <f>'תקציב החברה לפיתוח 2024'!Z77</f>
        <v>0</v>
      </c>
      <c r="AA45" s="120">
        <f>'תקציב החברה לפיתוח 2024'!AA77</f>
        <v>0</v>
      </c>
      <c r="AB45" s="235" t="str">
        <f>'תקציב החברה לפיתוח 2024'!AB77</f>
        <v>פיתוח רחוב חדש המזרחי ביותר בנווה עמל.  תכנון.</v>
      </c>
      <c r="AC45" s="135">
        <f>'תקציב החברה לפיתוח 2024'!AC77</f>
        <v>742000</v>
      </c>
      <c r="AJ45" s="5"/>
      <c r="AK45" s="5"/>
      <c r="AL45" s="5"/>
      <c r="AM45" s="5"/>
    </row>
    <row r="46" spans="1:39" s="134" customFormat="1" ht="55.2">
      <c r="A46" s="3">
        <f t="shared" si="1"/>
        <v>41</v>
      </c>
      <c r="B46" s="135">
        <f>'תקציב החברה לפיתוח 2024'!B89</f>
        <v>20004</v>
      </c>
      <c r="C46" s="235" t="str">
        <f>'תקציב החברה לפיתוח 2024'!C89</f>
        <v xml:space="preserve">שצפ הואדי והמנהרה הרומית </v>
      </c>
      <c r="D46" s="120">
        <f>'תקציב החברה לפיתוח 2024'!D89</f>
        <v>24750000</v>
      </c>
      <c r="E46" s="120">
        <f>'תקציב החברה לפיתוח 2024'!E89</f>
        <v>24750000</v>
      </c>
      <c r="F46" s="120">
        <f>'תקציב החברה לפיתוח 2024'!F89</f>
        <v>0</v>
      </c>
      <c r="G46" s="120">
        <f>'תקציב החברה לפיתוח 2024'!G89</f>
        <v>250000</v>
      </c>
      <c r="H46" s="120">
        <f>'תקציב החברה לפיתוח 2024'!H89</f>
        <v>231723</v>
      </c>
      <c r="I46" s="120">
        <f>'תקציב החברה לפיתוח 2024'!I89</f>
        <v>0</v>
      </c>
      <c r="J46" s="120">
        <f>'תקציב החברה לפיתוח 2024'!J89</f>
        <v>0</v>
      </c>
      <c r="K46" s="120">
        <f>'תקציב החברה לפיתוח 2024'!K89</f>
        <v>0</v>
      </c>
      <c r="L46" s="120">
        <f>'תקציב החברה לפיתוח 2024'!L89</f>
        <v>231723</v>
      </c>
      <c r="M46" s="120">
        <f>'תקציב החברה לפיתוח 2024'!M89</f>
        <v>18277</v>
      </c>
      <c r="N46" s="120">
        <f>'תקציב החברה לפיתוח 2024'!N89</f>
        <v>7000000</v>
      </c>
      <c r="O46" s="120">
        <f>'תקציב החברה לפיתוח 2024'!O89</f>
        <v>17500000</v>
      </c>
      <c r="P46" s="120">
        <f>'תקציב החברה לפיתוח 2024'!P89</f>
        <v>18277</v>
      </c>
      <c r="Q46" s="120">
        <f>'תקציב החברה לפיתוח 2024'!Q89</f>
        <v>0</v>
      </c>
      <c r="R46" s="120">
        <f>'תקציב החברה לפיתוח 2024'!R89</f>
        <v>0</v>
      </c>
      <c r="S46" s="120">
        <f>'תקציב החברה לפיתוח 2024'!S89</f>
        <v>0</v>
      </c>
      <c r="T46" s="120">
        <f>'תקציב החברה לפיתוח 2024'!T89</f>
        <v>0</v>
      </c>
      <c r="U46" s="120">
        <f>'תקציב החברה לפיתוח 2024'!U89</f>
        <v>7000000</v>
      </c>
      <c r="V46" s="120">
        <f>'תקציב החברה לפיתוח 2024'!V89</f>
        <v>947200</v>
      </c>
      <c r="W46" s="120">
        <f>'תקציב החברה לפיתוח 2024'!W89</f>
        <v>0</v>
      </c>
      <c r="X46" s="120">
        <f>'תקציב החברה לפיתוח 2024'!X89</f>
        <v>0</v>
      </c>
      <c r="Y46" s="120">
        <f>'תקציב החברה לפיתוח 2024'!Y89</f>
        <v>0</v>
      </c>
      <c r="Z46" s="120">
        <f>'תקציב החברה לפיתוח 2024'!Z89</f>
        <v>0</v>
      </c>
      <c r="AA46" s="120">
        <f>'תקציב החברה לפיתוח 2024'!AA89</f>
        <v>6052800</v>
      </c>
      <c r="AB46" s="235" t="str">
        <f>'תקציב החברה לפיתוח 2024'!AB89</f>
        <v>עבודות פיתוח, גינון והשקייה,  ניקוז ותיעול פיתוח לאזור הואדי כולל שיקום מדרכות ושבילי אופניים בנעמי שמר, עבודות חשמל,תאורה. מימון נת"ע.</v>
      </c>
      <c r="AC46" s="135">
        <f>'תקציב החברה לפיתוח 2024'!AC89</f>
        <v>742000</v>
      </c>
      <c r="AH46" s="272"/>
      <c r="AI46" s="272"/>
      <c r="AJ46" s="272"/>
      <c r="AK46" s="18"/>
      <c r="AL46" s="18"/>
      <c r="AM46" s="18"/>
    </row>
    <row r="47" spans="1:39" ht="45" customHeight="1">
      <c r="A47" s="3">
        <f t="shared" si="1"/>
        <v>42</v>
      </c>
      <c r="B47" s="135">
        <f>'תקציב החברה לפיתוח 2024'!B120</f>
        <v>1547</v>
      </c>
      <c r="C47" s="235" t="str">
        <f>'תקציב החברה לפיתוח 2024'!C120</f>
        <v>פיתוח מתחם גליל ים הר' 1985 א'</v>
      </c>
      <c r="D47" s="120">
        <f>'תקציב החברה לפיתוח 2024'!D120</f>
        <v>144000000</v>
      </c>
      <c r="E47" s="120">
        <f>'תקציב החברה לפיתוח 2024'!E120</f>
        <v>144000000</v>
      </c>
      <c r="F47" s="120">
        <f>'תקציב החברה לפיתוח 2024'!F120</f>
        <v>0</v>
      </c>
      <c r="G47" s="120">
        <f>'תקציב החברה לפיתוח 2024'!G120</f>
        <v>114000000</v>
      </c>
      <c r="H47" s="120">
        <f>'תקציב החברה לפיתוח 2024'!H120</f>
        <v>113874221</v>
      </c>
      <c r="I47" s="120">
        <f>'תקציב החברה לפיתוח 2024'!I120</f>
        <v>0</v>
      </c>
      <c r="J47" s="120">
        <f>'תקציב החברה לפיתוח 2024'!J120</f>
        <v>0</v>
      </c>
      <c r="K47" s="120">
        <f>'תקציב החברה לפיתוח 2024'!K120</f>
        <v>0</v>
      </c>
      <c r="L47" s="120">
        <f>'תקציב החברה לפיתוח 2024'!L120</f>
        <v>113874221</v>
      </c>
      <c r="M47" s="120">
        <f>'תקציב החברה לפיתוח 2024'!M120</f>
        <v>779</v>
      </c>
      <c r="N47" s="120">
        <f>'תקציב החברה לפיתוח 2024'!N120</f>
        <v>6000000</v>
      </c>
      <c r="O47" s="120">
        <f>'תקציב החברה לפיתוח 2024'!O120</f>
        <v>24125000</v>
      </c>
      <c r="P47" s="120">
        <f>'תקציב החברה לפיתוח 2024'!P120</f>
        <v>125779</v>
      </c>
      <c r="Q47" s="120">
        <f>'תקציב החברה לפיתוח 2024'!Q120</f>
        <v>0</v>
      </c>
      <c r="R47" s="120">
        <f>'תקציב החברה לפיתוח 2024'!R120</f>
        <v>0</v>
      </c>
      <c r="S47" s="120">
        <f>'תקציב החברה לפיתוח 2024'!S120</f>
        <v>0</v>
      </c>
      <c r="T47" s="120">
        <f>'תקציב החברה לפיתוח 2024'!T120</f>
        <v>125000</v>
      </c>
      <c r="U47" s="120">
        <f>'תקציב החברה לפיתוח 2024'!U120</f>
        <v>5875000</v>
      </c>
      <c r="V47" s="120">
        <f>'תקציב החברה לפיתוח 2024'!V120</f>
        <v>375000</v>
      </c>
      <c r="W47" s="120">
        <f>'תקציב החברה לפיתוח 2024'!W120</f>
        <v>0</v>
      </c>
      <c r="X47" s="120">
        <f>'תקציב החברה לפיתוח 2024'!X120</f>
        <v>0</v>
      </c>
      <c r="Y47" s="120">
        <f>'תקציב החברה לפיתוח 2024'!Y120</f>
        <v>0</v>
      </c>
      <c r="Z47" s="120">
        <f>'תקציב החברה לפיתוח 2024'!Z120</f>
        <v>0</v>
      </c>
      <c r="AA47" s="120">
        <f>'תקציב החברה לפיתוח 2024'!AA120</f>
        <v>5500000</v>
      </c>
      <c r="AB47" s="235" t="str">
        <f>'תקציב החברה לפיתוח 2024'!AB120</f>
        <v>עבודות פיתוח. מימון רמ"י במסגרת הסכם "הגג". ביצוע שצ"פים (415) 2024 מימון עיריה.  מימון רמ"י ( שצ"פים מכרז "גליל ים ג'").</v>
      </c>
      <c r="AC47" s="135">
        <f>'תקציב החברה לפיתוח 2024'!AC120</f>
        <v>742000</v>
      </c>
      <c r="AJ47" s="134"/>
      <c r="AK47" s="134"/>
      <c r="AL47" s="134"/>
      <c r="AM47" s="134"/>
    </row>
    <row r="48" spans="1:39" ht="45" customHeight="1">
      <c r="A48" s="135">
        <f t="shared" si="1"/>
        <v>43</v>
      </c>
      <c r="B48" s="135">
        <f>'תקציב החברה לפיתוח 2024'!B128</f>
        <v>1919</v>
      </c>
      <c r="C48" s="235" t="str">
        <f>'תקציב החברה לפיתוח 2024'!C128</f>
        <v>פיתוח גליל ים ב'</v>
      </c>
      <c r="D48" s="120">
        <f>'תקציב החברה לפיתוח 2024'!D128</f>
        <v>135100000</v>
      </c>
      <c r="E48" s="120">
        <f>'תקציב החברה לפיתוח 2024'!E128</f>
        <v>135100000</v>
      </c>
      <c r="F48" s="120">
        <f>'תקציב החברה לפיתוח 2024'!F128</f>
        <v>0</v>
      </c>
      <c r="G48" s="120">
        <f>'תקציב החברה לפיתוח 2024'!G128</f>
        <v>72024834</v>
      </c>
      <c r="H48" s="120">
        <f>'תקציב החברה לפיתוח 2024'!H128</f>
        <v>72015642</v>
      </c>
      <c r="I48" s="120">
        <f>'תקציב החברה לפיתוח 2024'!I128</f>
        <v>0</v>
      </c>
      <c r="J48" s="120">
        <f>'תקציב החברה לפיתוח 2024'!J128</f>
        <v>0</v>
      </c>
      <c r="K48" s="120">
        <f>'תקציב החברה לפיתוח 2024'!K128</f>
        <v>0</v>
      </c>
      <c r="L48" s="120">
        <f>'תקציב החברה לפיתוח 2024'!L128</f>
        <v>72015642</v>
      </c>
      <c r="M48" s="120">
        <f>'תקציב החברה לפיתוח 2024'!M128</f>
        <v>9192</v>
      </c>
      <c r="N48" s="120">
        <f>'תקציב החברה לפיתוח 2024'!N128</f>
        <v>8000000</v>
      </c>
      <c r="O48" s="120">
        <f>'תקציב החברה לפיתוח 2024'!O128</f>
        <v>55075166</v>
      </c>
      <c r="P48" s="120">
        <f>'תקציב החברה לפיתוח 2024'!P128</f>
        <v>9192</v>
      </c>
      <c r="Q48" s="120">
        <f>'תקציב החברה לפיתוח 2024'!Q128</f>
        <v>0</v>
      </c>
      <c r="R48" s="120">
        <f>'תקציב החברה לפיתוח 2024'!R128</f>
        <v>0</v>
      </c>
      <c r="S48" s="120">
        <f>'תקציב החברה לפיתוח 2024'!S128</f>
        <v>0</v>
      </c>
      <c r="T48" s="120">
        <f>'תקציב החברה לפיתוח 2024'!T128</f>
        <v>0</v>
      </c>
      <c r="U48" s="120">
        <f>'תקציב החברה לפיתוח 2024'!U128</f>
        <v>8000000</v>
      </c>
      <c r="V48" s="120">
        <f>'תקציב החברה לפיתוח 2024'!V128</f>
        <v>8000000</v>
      </c>
      <c r="W48" s="120">
        <f>'תקציב החברה לפיתוח 2024'!W128</f>
        <v>0</v>
      </c>
      <c r="X48" s="120">
        <f>'תקציב החברה לפיתוח 2024'!X128</f>
        <v>0</v>
      </c>
      <c r="Y48" s="120">
        <f>'תקציב החברה לפיתוח 2024'!Y128</f>
        <v>0</v>
      </c>
      <c r="Z48" s="120">
        <f>'תקציב החברה לפיתוח 2024'!Z128</f>
        <v>0</v>
      </c>
      <c r="AA48" s="120">
        <f>'תקציב החברה לפיתוח 2024'!AA128</f>
        <v>0</v>
      </c>
      <c r="AB48" s="235" t="str">
        <f>'תקציב החברה לפיתוח 2024'!AB128</f>
        <v>עבודות פיתוח.עבודות השלמת ביצוע שצ"פים.מימון רמ"י במסגרת הסכם "הגג". 2024 : מימון הרשות.</v>
      </c>
      <c r="AC48" s="135">
        <f>'תקציב החברה לפיתוח 2024'!AC128</f>
        <v>742000</v>
      </c>
    </row>
    <row r="49" spans="1:39" ht="45" customHeight="1">
      <c r="A49" s="135">
        <f t="shared" si="1"/>
        <v>44</v>
      </c>
      <c r="B49" s="135">
        <f>'תקציב החברה לפיתוח 2024'!B130</f>
        <v>1962</v>
      </c>
      <c r="C49" s="235" t="str">
        <f>'תקציב החברה לפיתוח 2024'!C130</f>
        <v>גשר הולכי רגל מעל שבעת הכוכבים</v>
      </c>
      <c r="D49" s="120">
        <f>'תקציב החברה לפיתוח 2024'!D130</f>
        <v>20000000</v>
      </c>
      <c r="E49" s="120">
        <f>'תקציב החברה לפיתוח 2024'!E130</f>
        <v>20000000</v>
      </c>
      <c r="F49" s="120">
        <f>'תקציב החברה לפיתוח 2024'!F130</f>
        <v>0</v>
      </c>
      <c r="G49" s="120">
        <f>'תקציב החברה לפיתוח 2024'!G130</f>
        <v>100000</v>
      </c>
      <c r="H49" s="120">
        <f>'תקציב החברה לפיתוח 2024'!H130</f>
        <v>0</v>
      </c>
      <c r="I49" s="120">
        <f>'תקציב החברה לפיתוח 2024'!I130</f>
        <v>0</v>
      </c>
      <c r="J49" s="120">
        <f>'תקציב החברה לפיתוח 2024'!J130</f>
        <v>0</v>
      </c>
      <c r="K49" s="120">
        <f>'תקציב החברה לפיתוח 2024'!K130</f>
        <v>0</v>
      </c>
      <c r="L49" s="120">
        <f>'תקציב החברה לפיתוח 2024'!L130</f>
        <v>0</v>
      </c>
      <c r="M49" s="120">
        <f>'תקציב החברה לפיתוח 2024'!M130</f>
        <v>0</v>
      </c>
      <c r="N49" s="120">
        <f>'תקציב החברה לפיתוח 2024'!N130</f>
        <v>100000</v>
      </c>
      <c r="O49" s="120">
        <f>'תקציב החברה לפיתוח 2024'!O130</f>
        <v>19900000</v>
      </c>
      <c r="P49" s="120">
        <f>'תקציב החברה לפיתוח 2024'!P130</f>
        <v>100000</v>
      </c>
      <c r="Q49" s="120">
        <f>'תקציב החברה לפיתוח 2024'!Q130</f>
        <v>0</v>
      </c>
      <c r="R49" s="120">
        <f>'תקציב החברה לפיתוח 2024'!R130</f>
        <v>0</v>
      </c>
      <c r="S49" s="120">
        <f>'תקציב החברה לפיתוח 2024'!S130</f>
        <v>0</v>
      </c>
      <c r="T49" s="120">
        <f>'תקציב החברה לפיתוח 2024'!T130</f>
        <v>100000</v>
      </c>
      <c r="U49" s="120">
        <f>'תקציב החברה לפיתוח 2024'!U130</f>
        <v>0</v>
      </c>
      <c r="V49" s="120">
        <f>'תקציב החברה לפיתוח 2024'!V130</f>
        <v>0</v>
      </c>
      <c r="W49" s="120">
        <f>'תקציב החברה לפיתוח 2024'!W130</f>
        <v>0</v>
      </c>
      <c r="X49" s="120">
        <f>'תקציב החברה לפיתוח 2024'!X130</f>
        <v>0</v>
      </c>
      <c r="Y49" s="120">
        <f>'תקציב החברה לפיתוח 2024'!Y130</f>
        <v>0</v>
      </c>
      <c r="Z49" s="120">
        <f>'תקציב החברה לפיתוח 2024'!Z130</f>
        <v>0</v>
      </c>
      <c r="AA49" s="120">
        <f>'תקציב החברה לפיתוח 2024'!AA130</f>
        <v>0</v>
      </c>
      <c r="AB49" s="235" t="str">
        <f>'תקציב החברה לפיתוח 2024'!AB130</f>
        <v>גשר מחבר בין הפארק לבין שבעת הכוכבים.</v>
      </c>
      <c r="AC49" s="135">
        <f>'תקציב החברה לפיתוח 2024'!AC130</f>
        <v>742000</v>
      </c>
    </row>
    <row r="50" spans="1:39" s="5" customFormat="1" ht="45" customHeight="1">
      <c r="A50" s="135">
        <f t="shared" si="1"/>
        <v>45</v>
      </c>
      <c r="B50" s="135">
        <f>'תקציב החברה לפיתוח 2024'!B87</f>
        <v>2232</v>
      </c>
      <c r="C50" s="235" t="str">
        <f>'תקציב החברה לפיתוח 2024'!C87</f>
        <v>החלפת קו ניקוז רח' שלווה</v>
      </c>
      <c r="D50" s="120">
        <f>'תקציב החברה לפיתוח 2024'!D87</f>
        <v>17200000</v>
      </c>
      <c r="E50" s="120">
        <f>'תקציב החברה לפיתוח 2024'!E87</f>
        <v>17200000</v>
      </c>
      <c r="F50" s="120">
        <f>'תקציב החברה לפיתוח 2024'!F87</f>
        <v>0</v>
      </c>
      <c r="G50" s="120">
        <f>'תקציב החברה לפיתוח 2024'!G87</f>
        <v>800000</v>
      </c>
      <c r="H50" s="120">
        <f>'תקציב החברה לפיתוח 2024'!H87</f>
        <v>778625</v>
      </c>
      <c r="I50" s="120">
        <f>'תקציב החברה לפיתוח 2024'!I87</f>
        <v>0</v>
      </c>
      <c r="J50" s="120">
        <f>'תקציב החברה לפיתוח 2024'!J87</f>
        <v>0</v>
      </c>
      <c r="K50" s="120">
        <f>'תקציב החברה לפיתוח 2024'!K87</f>
        <v>0</v>
      </c>
      <c r="L50" s="120">
        <f>'תקציב החברה לפיתוח 2024'!L87</f>
        <v>778625</v>
      </c>
      <c r="M50" s="120">
        <f>'תקציב החברה לפיתוח 2024'!M87</f>
        <v>1375</v>
      </c>
      <c r="N50" s="120">
        <f>'תקציב החברה לפיתוח 2024'!N87</f>
        <v>4020000</v>
      </c>
      <c r="O50" s="120">
        <f>'תקציב החברה לפיתוח 2024'!O87</f>
        <v>12400000</v>
      </c>
      <c r="P50" s="120">
        <f>'תקציב החברה לפיתוח 2024'!P87</f>
        <v>21375</v>
      </c>
      <c r="Q50" s="120">
        <f>'תקציב החברה לפיתוח 2024'!Q87</f>
        <v>0</v>
      </c>
      <c r="R50" s="120">
        <f>'תקציב החברה לפיתוח 2024'!R87</f>
        <v>0</v>
      </c>
      <c r="S50" s="120">
        <f>'תקציב החברה לפיתוח 2024'!S87</f>
        <v>0</v>
      </c>
      <c r="T50" s="120">
        <f>'תקציב החברה לפיתוח 2024'!T87</f>
        <v>20000</v>
      </c>
      <c r="U50" s="120">
        <f>'תקציב החברה לפיתוח 2024'!U87</f>
        <v>4000000</v>
      </c>
      <c r="V50" s="120">
        <f>'תקציב החברה לפיתוח 2024'!V87</f>
        <v>4000000</v>
      </c>
      <c r="W50" s="120">
        <f>'תקציב החברה לפיתוח 2024'!W87</f>
        <v>0</v>
      </c>
      <c r="X50" s="120">
        <f>'תקציב החברה לפיתוח 2024'!X87</f>
        <v>0</v>
      </c>
      <c r="Y50" s="120">
        <f>'תקציב החברה לפיתוח 2024'!Y87</f>
        <v>0</v>
      </c>
      <c r="Z50" s="120">
        <f>'תקציב החברה לפיתוח 2024'!Z87</f>
        <v>0</v>
      </c>
      <c r="AA50" s="120">
        <f>'תקציב החברה לפיתוח 2024'!AA87</f>
        <v>0</v>
      </c>
      <c r="AB50" s="235" t="str">
        <f>'תקציב החברה לפיתוח 2024'!AB87</f>
        <v xml:space="preserve">החלפת קו ניקוז ברח' שלווה. </v>
      </c>
      <c r="AC50" s="135">
        <f>'תקציב החברה לפיתוח 2024'!AC87</f>
        <v>745000</v>
      </c>
      <c r="AD50" s="134"/>
      <c r="AE50" s="134"/>
      <c r="AF50" s="134"/>
      <c r="AG50" s="134"/>
      <c r="AH50" s="134"/>
      <c r="AI50" s="134"/>
    </row>
    <row r="51" spans="1:39" ht="45" customHeight="1">
      <c r="A51" s="135">
        <f t="shared" si="1"/>
        <v>46</v>
      </c>
      <c r="B51" s="135">
        <f>'תקציב החברה לפיתוח 2024'!B88</f>
        <v>2233</v>
      </c>
      <c r="C51" s="235" t="str">
        <f>'תקציב החברה לפיתוח 2024'!C88</f>
        <v>החלפת קו ניקוז רח' בזל</v>
      </c>
      <c r="D51" s="120">
        <f>'תקציב החברה לפיתוח 2024'!D88</f>
        <v>20250000</v>
      </c>
      <c r="E51" s="120">
        <f>'תקציב החברה לפיתוח 2024'!E88</f>
        <v>20250000</v>
      </c>
      <c r="F51" s="120">
        <f>'תקציב החברה לפיתוח 2024'!F88</f>
        <v>0</v>
      </c>
      <c r="G51" s="120">
        <f>'תקציב החברה לפיתוח 2024'!G88</f>
        <v>800000</v>
      </c>
      <c r="H51" s="120">
        <f>'תקציב החברה לפיתוח 2024'!H88</f>
        <v>789541</v>
      </c>
      <c r="I51" s="120">
        <f>'תקציב החברה לפיתוח 2024'!I88</f>
        <v>0</v>
      </c>
      <c r="J51" s="120">
        <f>'תקציב החברה לפיתוח 2024'!J88</f>
        <v>0</v>
      </c>
      <c r="K51" s="120">
        <f>'תקציב החברה לפיתוח 2024'!K88</f>
        <v>0</v>
      </c>
      <c r="L51" s="120">
        <f>'תקציב החברה לפיתוח 2024'!L88</f>
        <v>789541</v>
      </c>
      <c r="M51" s="120">
        <f>'תקציב החברה לפיתוח 2024'!M88</f>
        <v>10459</v>
      </c>
      <c r="N51" s="120">
        <f>'תקציב החברה לפיתוח 2024'!N88</f>
        <v>0</v>
      </c>
      <c r="O51" s="120">
        <f>'תקציב החברה לפיתוח 2024'!O88</f>
        <v>19450000</v>
      </c>
      <c r="P51" s="120">
        <f>'תקציב החברה לפיתוח 2024'!P88</f>
        <v>10459</v>
      </c>
      <c r="Q51" s="120">
        <f>'תקציב החברה לפיתוח 2024'!Q88</f>
        <v>0</v>
      </c>
      <c r="R51" s="120">
        <f>'תקציב החברה לפיתוח 2024'!R88</f>
        <v>0</v>
      </c>
      <c r="S51" s="120">
        <f>'תקציב החברה לפיתוח 2024'!S88</f>
        <v>0</v>
      </c>
      <c r="T51" s="120">
        <f>'תקציב החברה לפיתוח 2024'!T88</f>
        <v>0</v>
      </c>
      <c r="U51" s="120">
        <f>'תקציב החברה לפיתוח 2024'!U88</f>
        <v>0</v>
      </c>
      <c r="V51" s="120">
        <f>'תקציב החברה לפיתוח 2024'!V88</f>
        <v>0</v>
      </c>
      <c r="W51" s="120">
        <f>'תקציב החברה לפיתוח 2024'!W88</f>
        <v>0</v>
      </c>
      <c r="X51" s="120">
        <f>'תקציב החברה לפיתוח 2024'!X88</f>
        <v>0</v>
      </c>
      <c r="Y51" s="120">
        <f>'תקציב החברה לפיתוח 2024'!Y88</f>
        <v>0</v>
      </c>
      <c r="Z51" s="120">
        <f>'תקציב החברה לפיתוח 2024'!Z88</f>
        <v>0</v>
      </c>
      <c r="AA51" s="120">
        <f>'תקציב החברה לפיתוח 2024'!AA88</f>
        <v>0</v>
      </c>
      <c r="AB51" s="235" t="str">
        <f>'תקציב החברה לפיתוח 2024'!AB88</f>
        <v xml:space="preserve">החלפת קו ניקוז ברח' בזל. </v>
      </c>
      <c r="AC51" s="135">
        <f>'תקציב החברה לפיתוח 2024'!AC88</f>
        <v>745000</v>
      </c>
      <c r="AJ51" s="5"/>
      <c r="AK51" s="5"/>
      <c r="AL51" s="5"/>
      <c r="AM51" s="5"/>
    </row>
    <row r="52" spans="1:39" ht="45" customHeight="1">
      <c r="A52" s="135">
        <f t="shared" si="1"/>
        <v>47</v>
      </c>
      <c r="B52" s="135">
        <f>'תקציב החברה לפיתוח 2024'!B23</f>
        <v>1773</v>
      </c>
      <c r="C52" s="235" t="str">
        <f>'תקציב החברה לפיתוח 2024'!C23</f>
        <v>שיקום האגם בפארק</v>
      </c>
      <c r="D52" s="120">
        <f>'תקציב החברה לפיתוח 2024'!D23</f>
        <v>2050000</v>
      </c>
      <c r="E52" s="120">
        <f>'תקציב החברה לפיתוח 2024'!E23</f>
        <v>2050000</v>
      </c>
      <c r="F52" s="120">
        <f>'תקציב החברה לפיתוח 2024'!F23</f>
        <v>0</v>
      </c>
      <c r="G52" s="120">
        <f>'תקציב החברה לפיתוח 2024'!G23</f>
        <v>2050000</v>
      </c>
      <c r="H52" s="120">
        <f>'תקציב החברה לפיתוח 2024'!H23</f>
        <v>1980321</v>
      </c>
      <c r="I52" s="120">
        <f>'תקציב החברה לפיתוח 2024'!I23</f>
        <v>0</v>
      </c>
      <c r="J52" s="120">
        <f>'תקציב החברה לפיתוח 2024'!J23</f>
        <v>0</v>
      </c>
      <c r="K52" s="120">
        <f>'תקציב החברה לפיתוח 2024'!K23</f>
        <v>0</v>
      </c>
      <c r="L52" s="120">
        <f>'תקציב החברה לפיתוח 2024'!L23</f>
        <v>1980321</v>
      </c>
      <c r="M52" s="120">
        <f>'תקציב החברה לפיתוח 2024'!M23</f>
        <v>679</v>
      </c>
      <c r="N52" s="120">
        <f>'תקציב החברה לפיתוח 2024'!N23</f>
        <v>69000</v>
      </c>
      <c r="O52" s="120">
        <f>'תקציב החברה לפיתוח 2024'!O23</f>
        <v>0</v>
      </c>
      <c r="P52" s="120">
        <f>'תקציב החברה לפיתוח 2024'!P23</f>
        <v>69679</v>
      </c>
      <c r="Q52" s="120">
        <f>'תקציב החברה לפיתוח 2024'!Q23</f>
        <v>0</v>
      </c>
      <c r="R52" s="120">
        <f>'תקציב החברה לפיתוח 2024'!R23</f>
        <v>0</v>
      </c>
      <c r="S52" s="120">
        <f>'תקציב החברה לפיתוח 2024'!S23</f>
        <v>0</v>
      </c>
      <c r="T52" s="120">
        <f>'תקציב החברה לפיתוח 2024'!T23</f>
        <v>69000</v>
      </c>
      <c r="U52" s="120">
        <f>'תקציב החברה לפיתוח 2024'!U23</f>
        <v>0</v>
      </c>
      <c r="V52" s="120">
        <f>'תקציב החברה לפיתוח 2024'!V23</f>
        <v>0</v>
      </c>
      <c r="W52" s="120">
        <f>'תקציב החברה לפיתוח 2024'!W23</f>
        <v>0</v>
      </c>
      <c r="X52" s="120">
        <f>'תקציב החברה לפיתוח 2024'!X23</f>
        <v>0</v>
      </c>
      <c r="Y52" s="120">
        <f>'תקציב החברה לפיתוח 2024'!Y23</f>
        <v>0</v>
      </c>
      <c r="Z52" s="120">
        <f>'תקציב החברה לפיתוח 2024'!Z23</f>
        <v>0</v>
      </c>
      <c r="AA52" s="120">
        <f>'תקציב החברה לפיתוח 2024'!AA23</f>
        <v>0</v>
      </c>
      <c r="AB52" s="235" t="str">
        <f>'תקציב החברה לפיתוח 2024'!AB23</f>
        <v>עבודות שיקום לשיפור איכות ומראה המים באגם.</v>
      </c>
      <c r="AC52" s="135">
        <f>'תקציב החברה לפיתוח 2024'!AC23</f>
        <v>746000</v>
      </c>
      <c r="AJ52" s="5"/>
      <c r="AK52" s="5"/>
      <c r="AL52" s="5"/>
      <c r="AM52" s="5"/>
    </row>
    <row r="53" spans="1:39" ht="45" customHeight="1">
      <c r="A53" s="135">
        <f t="shared" si="1"/>
        <v>48</v>
      </c>
      <c r="B53" s="135">
        <f>'תקציב החברה לפיתוח 2024'!B57</f>
        <v>2118</v>
      </c>
      <c r="C53" s="235" t="str">
        <f>'תקציב החברה לפיתוח 2024'!C57</f>
        <v>שצ"פ דליה רביקוביץ בשכונת אלתרמן (הר/1920)</v>
      </c>
      <c r="D53" s="120">
        <f>'תקציב החברה לפיתוח 2024'!D57</f>
        <v>2600000</v>
      </c>
      <c r="E53" s="120">
        <f>'תקציב החברה לפיתוח 2024'!E57</f>
        <v>2600000</v>
      </c>
      <c r="F53" s="120">
        <f>'תקציב החברה לפיתוח 2024'!F57</f>
        <v>0</v>
      </c>
      <c r="G53" s="120">
        <f>'תקציב החברה לפיתוח 2024'!G57</f>
        <v>2600000</v>
      </c>
      <c r="H53" s="120">
        <f>'תקציב החברה לפיתוח 2024'!H57</f>
        <v>2049405</v>
      </c>
      <c r="I53" s="120">
        <f>'תקציב החברה לפיתוח 2024'!I57</f>
        <v>0</v>
      </c>
      <c r="J53" s="120">
        <f>'תקציב החברה לפיתוח 2024'!J57</f>
        <v>0</v>
      </c>
      <c r="K53" s="120">
        <f>'תקציב החברה לפיתוח 2024'!K57</f>
        <v>0</v>
      </c>
      <c r="L53" s="120">
        <f>'תקציב החברה לפיתוח 2024'!L57</f>
        <v>2049405</v>
      </c>
      <c r="M53" s="120">
        <f>'תקציב החברה לפיתוח 2024'!M57</f>
        <v>595</v>
      </c>
      <c r="N53" s="120">
        <f>'תקציב החברה לפיתוח 2024'!N57</f>
        <v>550000</v>
      </c>
      <c r="O53" s="120">
        <f>'תקציב החברה לפיתוח 2024'!O57</f>
        <v>0</v>
      </c>
      <c r="P53" s="120">
        <f>'תקציב החברה לפיתוח 2024'!P57</f>
        <v>550595</v>
      </c>
      <c r="Q53" s="120">
        <f>'תקציב החברה לפיתוח 2024'!Q57</f>
        <v>0</v>
      </c>
      <c r="R53" s="120">
        <f>'תקציב החברה לפיתוח 2024'!R57</f>
        <v>0</v>
      </c>
      <c r="S53" s="120">
        <f>'תקציב החברה לפיתוח 2024'!S57</f>
        <v>0</v>
      </c>
      <c r="T53" s="120">
        <f>'תקציב החברה לפיתוח 2024'!T57</f>
        <v>550000</v>
      </c>
      <c r="U53" s="120">
        <f>'תקציב החברה לפיתוח 2024'!U57</f>
        <v>0</v>
      </c>
      <c r="V53" s="120">
        <f>'תקציב החברה לפיתוח 2024'!V57</f>
        <v>0</v>
      </c>
      <c r="W53" s="120">
        <f>'תקציב החברה לפיתוח 2024'!W57</f>
        <v>0</v>
      </c>
      <c r="X53" s="120">
        <f>'תקציב החברה לפיתוח 2024'!X57</f>
        <v>0</v>
      </c>
      <c r="Y53" s="120">
        <f>'תקציב החברה לפיתוח 2024'!Y57</f>
        <v>0</v>
      </c>
      <c r="Z53" s="120">
        <f>'תקציב החברה לפיתוח 2024'!Z57</f>
        <v>0</v>
      </c>
      <c r="AA53" s="120">
        <f>'תקציב החברה לפיתוח 2024'!AA57</f>
        <v>0</v>
      </c>
      <c r="AB53" s="235" t="str">
        <f>'תקציב החברה לפיתוח 2024'!AB57</f>
        <v xml:space="preserve">ביצוע השלמת שצ"פ בקטע רח' דליה רביקוביץ פינת אסתר רהב. </v>
      </c>
      <c r="AC53" s="135">
        <f>'תקציב החברה לפיתוח 2024'!AC57</f>
        <v>746000</v>
      </c>
      <c r="AJ53" s="6"/>
      <c r="AK53" s="6"/>
      <c r="AL53" s="6"/>
      <c r="AM53" s="6"/>
    </row>
    <row r="54" spans="1:39" ht="45" customHeight="1">
      <c r="A54" s="135">
        <f t="shared" si="1"/>
        <v>49</v>
      </c>
      <c r="B54" s="135">
        <f>'תקציב החברה לפיתוח 2024'!B63</f>
        <v>2150</v>
      </c>
      <c r="C54" s="235" t="str">
        <f>'תקציב החברה לפיתוח 2024'!C63</f>
        <v xml:space="preserve">שצ"פים במתחם הר 1960 </v>
      </c>
      <c r="D54" s="120">
        <f>'תקציב החברה לפיתוח 2024'!D63</f>
        <v>23500000</v>
      </c>
      <c r="E54" s="120">
        <f>'תקציב החברה לפיתוח 2024'!E63</f>
        <v>23500000</v>
      </c>
      <c r="F54" s="120">
        <f>'תקציב החברה לפיתוח 2024'!F63</f>
        <v>0</v>
      </c>
      <c r="G54" s="120">
        <f>'תקציב החברה לפיתוח 2024'!G63</f>
        <v>14500000</v>
      </c>
      <c r="H54" s="120">
        <f>'תקציב החברה לפיתוח 2024'!H63</f>
        <v>11935396</v>
      </c>
      <c r="I54" s="120">
        <f>'תקציב החברה לפיתוח 2024'!I63</f>
        <v>0</v>
      </c>
      <c r="J54" s="120">
        <f>'תקציב החברה לפיתוח 2024'!J63</f>
        <v>0</v>
      </c>
      <c r="K54" s="120">
        <f>'תקציב החברה לפיתוח 2024'!K63</f>
        <v>0</v>
      </c>
      <c r="L54" s="120">
        <f>'תקציב החברה לפיתוח 2024'!L63</f>
        <v>11935396</v>
      </c>
      <c r="M54" s="120">
        <f>'תקציב החברה לפיתוח 2024'!M63</f>
        <v>14604</v>
      </c>
      <c r="N54" s="120">
        <f>'תקציב החברה לפיתוח 2024'!N63</f>
        <v>2000000</v>
      </c>
      <c r="O54" s="120">
        <f>'תקציב החברה לפיתוח 2024'!O63</f>
        <v>9550000</v>
      </c>
      <c r="P54" s="120">
        <f>'תקציב החברה לפיתוח 2024'!P63</f>
        <v>2564604</v>
      </c>
      <c r="Q54" s="120">
        <f>'תקציב החברה לפיתוח 2024'!Q63</f>
        <v>0</v>
      </c>
      <c r="R54" s="120">
        <f>'תקציב החברה לפיתוח 2024'!R63</f>
        <v>0</v>
      </c>
      <c r="S54" s="120">
        <f>'תקציב החברה לפיתוח 2024'!S63</f>
        <v>0</v>
      </c>
      <c r="T54" s="120">
        <f>'תקציב החברה לפיתוח 2024'!T63</f>
        <v>2550000</v>
      </c>
      <c r="U54" s="120">
        <f>'תקציב החברה לפיתוח 2024'!U63</f>
        <v>-550000</v>
      </c>
      <c r="V54" s="120">
        <f>'תקציב החברה לפיתוח 2024'!V63</f>
        <v>-550000</v>
      </c>
      <c r="W54" s="120">
        <f>'תקציב החברה לפיתוח 2024'!W63</f>
        <v>0</v>
      </c>
      <c r="X54" s="120">
        <f>'תקציב החברה לפיתוח 2024'!X63</f>
        <v>0</v>
      </c>
      <c r="Y54" s="120">
        <f>'תקציב החברה לפיתוח 2024'!Y63</f>
        <v>0</v>
      </c>
      <c r="Z54" s="120">
        <f>'תקציב החברה לפיתוח 2024'!Z63</f>
        <v>0</v>
      </c>
      <c r="AA54" s="120">
        <f>'תקציב החברה לפיתוח 2024'!AA63</f>
        <v>0</v>
      </c>
      <c r="AB54" s="235" t="str">
        <f>'תקציב החברה לפיתוח 2024'!AB63</f>
        <v>ביצוע שצ"פים במתחם : מלכי יהודה (האקליפטוס), קורן,דן שומרון,דורי,משה שמיר.</v>
      </c>
      <c r="AC54" s="135">
        <f>'תקציב החברה לפיתוח 2024'!AC63</f>
        <v>746000</v>
      </c>
      <c r="AJ54" s="5"/>
      <c r="AK54" s="5"/>
      <c r="AL54" s="5"/>
      <c r="AM54" s="5"/>
    </row>
    <row r="55" spans="1:39" ht="45" customHeight="1">
      <c r="A55" s="135">
        <f t="shared" si="1"/>
        <v>50</v>
      </c>
      <c r="B55" s="135">
        <f>'תקציב החברה לפיתוח 2024'!B86</f>
        <v>2220</v>
      </c>
      <c r="C55" s="235" t="str">
        <f>'תקציב החברה לפיתוח 2024'!C86</f>
        <v>גן יניב - פיתוח והקמת מתקני כושר</v>
      </c>
      <c r="D55" s="120">
        <f>'תקציב החברה לפיתוח 2024'!D86</f>
        <v>2700000</v>
      </c>
      <c r="E55" s="120">
        <f>'תקציב החברה לפיתוח 2024'!E86</f>
        <v>2200000</v>
      </c>
      <c r="F55" s="120">
        <f>'תקציב החברה לפיתוח 2024'!F86</f>
        <v>500000</v>
      </c>
      <c r="G55" s="120">
        <f>'תקציב החברה לפיתוח 2024'!G86</f>
        <v>1000000</v>
      </c>
      <c r="H55" s="120">
        <f>'תקציב החברה לפיתוח 2024'!H86</f>
        <v>948844</v>
      </c>
      <c r="I55" s="120">
        <f>'תקציב החברה לפיתוח 2024'!I86</f>
        <v>0</v>
      </c>
      <c r="J55" s="120">
        <f>'תקציב החברה לפיתוח 2024'!J86</f>
        <v>0</v>
      </c>
      <c r="K55" s="120">
        <f>'תקציב החברה לפיתוח 2024'!K86</f>
        <v>0</v>
      </c>
      <c r="L55" s="120">
        <f>'תקציב החברה לפיתוח 2024'!L86</f>
        <v>948844</v>
      </c>
      <c r="M55" s="120">
        <f>'תקציב החברה לפיתוח 2024'!M86</f>
        <v>1156</v>
      </c>
      <c r="N55" s="120">
        <f>'תקציב החברה לפיתוח 2024'!N86</f>
        <v>1750000</v>
      </c>
      <c r="O55" s="120">
        <f>'תקציב החברה לפיתוח 2024'!O86</f>
        <v>0</v>
      </c>
      <c r="P55" s="120">
        <f>'תקציב החברה לפיתוח 2024'!P86</f>
        <v>51156</v>
      </c>
      <c r="Q55" s="120">
        <f>'תקציב החברה לפיתוח 2024'!Q86</f>
        <v>1200000</v>
      </c>
      <c r="R55" s="120">
        <f>'תקציב החברה לפיתוח 2024'!R86</f>
        <v>0</v>
      </c>
      <c r="S55" s="120">
        <f>'תקציב החברה לפיתוח 2024'!S86</f>
        <v>1200000</v>
      </c>
      <c r="T55" s="120">
        <f>'תקציב החברה לפיתוח 2024'!T86</f>
        <v>1250000</v>
      </c>
      <c r="U55" s="120">
        <f>'תקציב החברה לפיתוח 2024'!U86</f>
        <v>500000</v>
      </c>
      <c r="V55" s="120">
        <f>'תקציב החברה לפיתוח 2024'!V86</f>
        <v>500000</v>
      </c>
      <c r="W55" s="120">
        <f>'תקציב החברה לפיתוח 2024'!W86</f>
        <v>0</v>
      </c>
      <c r="X55" s="120">
        <f>'תקציב החברה לפיתוח 2024'!X86</f>
        <v>0</v>
      </c>
      <c r="Y55" s="120">
        <f>'תקציב החברה לפיתוח 2024'!Y86</f>
        <v>0</v>
      </c>
      <c r="Z55" s="120">
        <f>'תקציב החברה לפיתוח 2024'!Z86</f>
        <v>0</v>
      </c>
      <c r="AA55" s="120">
        <f>'תקציב החברה לפיתוח 2024'!AA86</f>
        <v>0</v>
      </c>
      <c r="AB55" s="235" t="str">
        <f>'תקציב החברה לפיתוח 2024'!AB86</f>
        <v>תכנון וביצוע הקמת מתקני כושר ופיתוח בשטח הגבול בין גינת הכלבים וחיבור לגן הציבורי בשטח של 1.3 דונם.</v>
      </c>
      <c r="AC55" s="135">
        <f>'תקציב החברה לפיתוח 2024'!AC86</f>
        <v>746000</v>
      </c>
      <c r="AJ55" s="5"/>
      <c r="AK55" s="5"/>
      <c r="AL55" s="5"/>
      <c r="AM55" s="5"/>
    </row>
    <row r="56" spans="1:39" s="6" customFormat="1" ht="45" customHeight="1">
      <c r="A56" s="135">
        <f t="shared" si="1"/>
        <v>51</v>
      </c>
      <c r="B56" s="135">
        <f>'תקציב החברה לפיתוח 2024'!B121</f>
        <v>1827</v>
      </c>
      <c r="C56" s="235" t="str">
        <f>'תקציב החברה לפיתוח 2024'!C121</f>
        <v xml:space="preserve">פארק גליל ים </v>
      </c>
      <c r="D56" s="120">
        <f>'תקציב החברה לפיתוח 2024'!D121</f>
        <v>100000000</v>
      </c>
      <c r="E56" s="120">
        <f>'תקציב החברה לפיתוח 2024'!E121</f>
        <v>100000000</v>
      </c>
      <c r="F56" s="120">
        <f>'תקציב החברה לפיתוח 2024'!F121</f>
        <v>0</v>
      </c>
      <c r="G56" s="120">
        <f>'תקציב החברה לפיתוח 2024'!G121</f>
        <v>89000000</v>
      </c>
      <c r="H56" s="120">
        <f>'תקציב החברה לפיתוח 2024'!H121</f>
        <v>92668742</v>
      </c>
      <c r="I56" s="120">
        <f>'תקציב החברה לפיתוח 2024'!I121</f>
        <v>0</v>
      </c>
      <c r="J56" s="120">
        <f>'תקציב החברה לפיתוח 2024'!J121</f>
        <v>0</v>
      </c>
      <c r="K56" s="120">
        <f>'תקציב החברה לפיתוח 2024'!K121</f>
        <v>0</v>
      </c>
      <c r="L56" s="120">
        <f>'תקציב החברה לפיתוח 2024'!L121</f>
        <v>92668742</v>
      </c>
      <c r="M56" s="120">
        <f>'תקציב החברה לפיתוח 2024'!M121</f>
        <v>31258</v>
      </c>
      <c r="N56" s="120">
        <f>'תקציב החברה לפיתוח 2024'!N121</f>
        <v>7300000</v>
      </c>
      <c r="O56" s="120">
        <f>'תקציב החברה לפיתוח 2024'!O121</f>
        <v>0</v>
      </c>
      <c r="P56" s="120">
        <f>'תקציב החברה לפיתוח 2024'!P121</f>
        <v>-3668742</v>
      </c>
      <c r="Q56" s="120">
        <f>'תקציב החברה לפיתוח 2024'!Q121</f>
        <v>11000000</v>
      </c>
      <c r="R56" s="120">
        <f>'תקציב החברה לפיתוח 2024'!R121</f>
        <v>0</v>
      </c>
      <c r="S56" s="120">
        <f>'תקציב החברה לפיתוח 2024'!S121</f>
        <v>11000000</v>
      </c>
      <c r="T56" s="120">
        <f>'תקציב החברה לפיתוח 2024'!T121</f>
        <v>7300000</v>
      </c>
      <c r="U56" s="120">
        <f>'תקציב החברה לפיתוח 2024'!U121</f>
        <v>0</v>
      </c>
      <c r="V56" s="120">
        <f>'תקציב החברה לפיתוח 2024'!V121</f>
        <v>0</v>
      </c>
      <c r="W56" s="120">
        <f>'תקציב החברה לפיתוח 2024'!W121</f>
        <v>0</v>
      </c>
      <c r="X56" s="120">
        <f>'תקציב החברה לפיתוח 2024'!X121</f>
        <v>0</v>
      </c>
      <c r="Y56" s="120">
        <f>'תקציב החברה לפיתוח 2024'!Y121</f>
        <v>0</v>
      </c>
      <c r="Z56" s="120">
        <f>'תקציב החברה לפיתוח 2024'!Z121</f>
        <v>0</v>
      </c>
      <c r="AA56" s="120">
        <f>'תקציב החברה לפיתוח 2024'!AA121</f>
        <v>0</v>
      </c>
      <c r="AB56" s="235" t="str">
        <f>'תקציב החברה לפיתוח 2024'!AB121</f>
        <v>עבודות פיתוח. מימון רמ"י במסגרת הסכם "הגג". חן סופיים. לקראת סיום.</v>
      </c>
      <c r="AC56" s="135">
        <f>'תקציב החברה לפיתוח 2024'!AC121</f>
        <v>746000</v>
      </c>
      <c r="AD56" s="134"/>
      <c r="AE56" s="134"/>
      <c r="AF56" s="134"/>
      <c r="AG56" s="134"/>
      <c r="AH56" s="134"/>
      <c r="AI56" s="134"/>
      <c r="AJ56" s="131"/>
      <c r="AK56" s="131"/>
      <c r="AL56" s="131"/>
      <c r="AM56" s="131"/>
    </row>
    <row r="57" spans="1:39" s="5" customFormat="1" ht="45" customHeight="1">
      <c r="A57" s="135">
        <f t="shared" si="1"/>
        <v>52</v>
      </c>
      <c r="B57" s="135">
        <f>'תקציב החברה לפיתוח 2024'!B122</f>
        <v>1905</v>
      </c>
      <c r="C57" s="235" t="str">
        <f>'תקציב החברה לפיתוח 2024'!C122</f>
        <v>שצ"פ מערב קיר אקוסטי גליל ים ב'</v>
      </c>
      <c r="D57" s="120">
        <f>'תקציב החברה לפיתוח 2024'!D122</f>
        <v>3366000</v>
      </c>
      <c r="E57" s="120">
        <f>'תקציב החברה לפיתוח 2024'!E122</f>
        <v>3366000</v>
      </c>
      <c r="F57" s="120">
        <f>'תקציב החברה לפיתוח 2024'!F122</f>
        <v>0</v>
      </c>
      <c r="G57" s="120">
        <f>'תקציב החברה לפיתוח 2024'!G122</f>
        <v>3366000</v>
      </c>
      <c r="H57" s="120">
        <f>'תקציב החברה לפיתוח 2024'!H122</f>
        <v>0</v>
      </c>
      <c r="I57" s="120">
        <f>'תקציב החברה לפיתוח 2024'!I122</f>
        <v>0</v>
      </c>
      <c r="J57" s="120">
        <f>'תקציב החברה לפיתוח 2024'!J122</f>
        <v>0</v>
      </c>
      <c r="K57" s="120">
        <f>'תקציב החברה לפיתוח 2024'!K122</f>
        <v>0</v>
      </c>
      <c r="L57" s="120">
        <f>'תקציב החברה לפיתוח 2024'!L122</f>
        <v>0</v>
      </c>
      <c r="M57" s="120">
        <f>'תקציב החברה לפיתוח 2024'!M122</f>
        <v>0</v>
      </c>
      <c r="N57" s="120">
        <f>'תקציב החברה לפיתוח 2024'!N122</f>
        <v>3366000</v>
      </c>
      <c r="O57" s="120">
        <f>'תקציב החברה לפיתוח 2024'!O122</f>
        <v>0</v>
      </c>
      <c r="P57" s="120">
        <f>'תקציב החברה לפיתוח 2024'!P122</f>
        <v>3366000</v>
      </c>
      <c r="Q57" s="120">
        <f>'תקציב החברה לפיתוח 2024'!Q122</f>
        <v>0</v>
      </c>
      <c r="R57" s="120">
        <f>'תקציב החברה לפיתוח 2024'!R122</f>
        <v>0</v>
      </c>
      <c r="S57" s="120">
        <f>'תקציב החברה לפיתוח 2024'!S122</f>
        <v>0</v>
      </c>
      <c r="T57" s="120">
        <f>'תקציב החברה לפיתוח 2024'!T122</f>
        <v>3366000</v>
      </c>
      <c r="U57" s="120">
        <f>'תקציב החברה לפיתוח 2024'!U122</f>
        <v>0</v>
      </c>
      <c r="V57" s="120">
        <f>'תקציב החברה לפיתוח 2024'!V122</f>
        <v>0</v>
      </c>
      <c r="W57" s="120">
        <f>'תקציב החברה לפיתוח 2024'!W122</f>
        <v>0</v>
      </c>
      <c r="X57" s="120">
        <f>'תקציב החברה לפיתוח 2024'!X122</f>
        <v>0</v>
      </c>
      <c r="Y57" s="120">
        <f>'תקציב החברה לפיתוח 2024'!Y122</f>
        <v>0</v>
      </c>
      <c r="Z57" s="120">
        <f>'תקציב החברה לפיתוח 2024'!Z122</f>
        <v>0</v>
      </c>
      <c r="AA57" s="120">
        <f>'תקציב החברה לפיתוח 2024'!AA122</f>
        <v>0</v>
      </c>
      <c r="AB57" s="235" t="str">
        <f>'תקציב החברה לפיתוח 2024'!AB122</f>
        <v>מימון רמ"י במסגרת הסכם "הגג".</v>
      </c>
      <c r="AC57" s="135">
        <f>'תקציב החברה לפיתוח 2024'!AC122</f>
        <v>746000</v>
      </c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</row>
    <row r="58" spans="1:39" s="5" customFormat="1" ht="45" customHeight="1">
      <c r="A58" s="135">
        <f t="shared" si="1"/>
        <v>53</v>
      </c>
      <c r="B58" s="135">
        <f>'תקציב החברה לפיתוח 2024'!B15</f>
        <v>1375</v>
      </c>
      <c r="C58" s="235" t="str">
        <f>'תקציב החברה לפיתוח 2024'!C15</f>
        <v>הקמת בריכה ומרכז לאומנויות לחימה</v>
      </c>
      <c r="D58" s="120">
        <f>'תקציב החברה לפיתוח 2024'!D15</f>
        <v>42150000</v>
      </c>
      <c r="E58" s="120">
        <f>'תקציב החברה לפיתוח 2024'!E15</f>
        <v>40150000</v>
      </c>
      <c r="F58" s="120">
        <f>'תקציב החברה לפיתוח 2024'!F15</f>
        <v>2000000</v>
      </c>
      <c r="G58" s="120">
        <f>'תקציב החברה לפיתוח 2024'!G15</f>
        <v>30150000</v>
      </c>
      <c r="H58" s="120">
        <f>'תקציב החברה לפיתוח 2024'!H15</f>
        <v>30140054</v>
      </c>
      <c r="I58" s="120">
        <f>'תקציב החברה לפיתוח 2024'!I15</f>
        <v>0</v>
      </c>
      <c r="J58" s="120">
        <f>'תקציב החברה לפיתוח 2024'!J15</f>
        <v>0</v>
      </c>
      <c r="K58" s="120">
        <f>'תקציב החברה לפיתוח 2024'!K15</f>
        <v>0</v>
      </c>
      <c r="L58" s="120">
        <f>'תקציב החברה לפיתוח 2024'!L15</f>
        <v>30140054</v>
      </c>
      <c r="M58" s="120">
        <f>'תקציב החברה לפיתוח 2024'!M15</f>
        <v>9946</v>
      </c>
      <c r="N58" s="120">
        <f>'תקציב החברה לפיתוח 2024'!N15</f>
        <v>0</v>
      </c>
      <c r="O58" s="120">
        <f>'תקציב החברה לפיתוח 2024'!O15</f>
        <v>12000000</v>
      </c>
      <c r="P58" s="120">
        <f>'תקציב החברה לפיתוח 2024'!P15</f>
        <v>9946</v>
      </c>
      <c r="Q58" s="120">
        <f>'תקציב החברה לפיתוח 2024'!Q15</f>
        <v>0</v>
      </c>
      <c r="R58" s="120">
        <f>'תקציב החברה לפיתוח 2024'!R15</f>
        <v>0</v>
      </c>
      <c r="S58" s="120">
        <f>'תקציב החברה לפיתוח 2024'!S15</f>
        <v>0</v>
      </c>
      <c r="T58" s="120">
        <f>'תקציב החברה לפיתוח 2024'!T15</f>
        <v>0</v>
      </c>
      <c r="U58" s="120">
        <f>'תקציב החברה לפיתוח 2024'!U15</f>
        <v>0</v>
      </c>
      <c r="V58" s="120">
        <f>'תקציב החברה לפיתוח 2024'!V15</f>
        <v>0</v>
      </c>
      <c r="W58" s="120">
        <f>'תקציב החברה לפיתוח 2024'!W15</f>
        <v>0</v>
      </c>
      <c r="X58" s="120">
        <f>'תקציב החברה לפיתוח 2024'!X15</f>
        <v>0</v>
      </c>
      <c r="Y58" s="120">
        <f>'תקציב החברה לפיתוח 2024'!Y15</f>
        <v>0</v>
      </c>
      <c r="Z58" s="120">
        <f>'תקציב החברה לפיתוח 2024'!Z15</f>
        <v>0</v>
      </c>
      <c r="AA58" s="120">
        <f>'תקציב החברה לפיתוח 2024'!AA15</f>
        <v>0</v>
      </c>
      <c r="AB58" s="235" t="str">
        <f>'תקציב החברה לפיתוח 2024'!AB15</f>
        <v xml:space="preserve">תוספת קומה והקמת חדרי פעילויות. </v>
      </c>
      <c r="AC58" s="135">
        <f>'תקציב החברה לפיתוח 2024'!AC15</f>
        <v>747000</v>
      </c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</row>
    <row r="59" spans="1:39" s="5" customFormat="1" ht="45" customHeight="1">
      <c r="A59" s="135">
        <f t="shared" si="1"/>
        <v>54</v>
      </c>
      <c r="B59" s="135">
        <f>'תקציב החברה לפיתוח 2024'!B60</f>
        <v>2127</v>
      </c>
      <c r="C59" s="235" t="str">
        <f>'תקציב החברה לפיתוח 2024'!C60</f>
        <v>הגנה על מצוקי הים</v>
      </c>
      <c r="D59" s="120">
        <f>'תקציב החברה לפיתוח 2024'!D60</f>
        <v>2259000</v>
      </c>
      <c r="E59" s="120">
        <f>'תקציב החברה לפיתוח 2024'!E60</f>
        <v>2259000</v>
      </c>
      <c r="F59" s="120">
        <f>'תקציב החברה לפיתוח 2024'!F60</f>
        <v>0</v>
      </c>
      <c r="G59" s="120">
        <f>'תקציב החברה לפיתוח 2024'!G60</f>
        <v>2259000</v>
      </c>
      <c r="H59" s="120">
        <f>'תקציב החברה לפיתוח 2024'!H60</f>
        <v>645783</v>
      </c>
      <c r="I59" s="120">
        <f>'תקציב החברה לפיתוח 2024'!I60</f>
        <v>0</v>
      </c>
      <c r="J59" s="120">
        <f>'תקציב החברה לפיתוח 2024'!J60</f>
        <v>0</v>
      </c>
      <c r="K59" s="120">
        <f>'תקציב החברה לפיתוח 2024'!K60</f>
        <v>0</v>
      </c>
      <c r="L59" s="120">
        <f>'תקציב החברה לפיתוח 2024'!L60</f>
        <v>645783</v>
      </c>
      <c r="M59" s="120">
        <f>'תקציב החברה לפיתוח 2024'!M60</f>
        <v>13217</v>
      </c>
      <c r="N59" s="120">
        <f>'תקציב החברה לפיתוח 2024'!N60</f>
        <v>1000000</v>
      </c>
      <c r="O59" s="120">
        <f>'תקציב החברה לפיתוח 2024'!O60</f>
        <v>600000</v>
      </c>
      <c r="P59" s="120">
        <f>'תקציב החברה לפיתוח 2024'!P60</f>
        <v>1613217</v>
      </c>
      <c r="Q59" s="120">
        <f>'תקציב החברה לפיתוח 2024'!Q60</f>
        <v>0</v>
      </c>
      <c r="R59" s="120">
        <f>'תקציב החברה לפיתוח 2024'!R60</f>
        <v>0</v>
      </c>
      <c r="S59" s="120">
        <f>'תקציב החברה לפיתוח 2024'!S60</f>
        <v>0</v>
      </c>
      <c r="T59" s="120">
        <f>'תקציב החברה לפיתוח 2024'!T60</f>
        <v>1600000</v>
      </c>
      <c r="U59" s="120">
        <f>'תקציב החברה לפיתוח 2024'!U60</f>
        <v>-600000</v>
      </c>
      <c r="V59" s="120">
        <f>'תקציב החברה לפיתוח 2024'!V60</f>
        <v>-600000</v>
      </c>
      <c r="W59" s="120">
        <f>'תקציב החברה לפיתוח 2024'!W60</f>
        <v>0</v>
      </c>
      <c r="X59" s="120">
        <f>'תקציב החברה לפיתוח 2024'!X60</f>
        <v>0</v>
      </c>
      <c r="Y59" s="120">
        <f>'תקציב החברה לפיתוח 2024'!Y60</f>
        <v>0</v>
      </c>
      <c r="Z59" s="120">
        <f>'תקציב החברה לפיתוח 2024'!Z60</f>
        <v>0</v>
      </c>
      <c r="AA59" s="120">
        <f>'תקציב החברה לפיתוח 2024'!AA60</f>
        <v>0</v>
      </c>
      <c r="AB59" s="235" t="str">
        <f>'תקציב החברה לפיתוח 2024'!AB60</f>
        <v xml:space="preserve">גיבוש תוכנית פעולות לעבודות הגנה על מצוקי חופי הים . המשך תכנון. מימון מ. הפנים. </v>
      </c>
      <c r="AC59" s="135">
        <f>'תקציב החברה לפיתוח 2024'!AC60</f>
        <v>747000</v>
      </c>
      <c r="AD59" s="134"/>
      <c r="AE59" s="134"/>
      <c r="AF59" s="134"/>
      <c r="AG59" s="134"/>
      <c r="AH59" s="134"/>
      <c r="AI59" s="134"/>
      <c r="AJ59" s="6"/>
      <c r="AK59" s="6"/>
      <c r="AL59" s="6"/>
      <c r="AM59" s="6"/>
    </row>
    <row r="60" spans="1:39" s="6" customFormat="1" ht="45" customHeight="1">
      <c r="A60" s="135">
        <f t="shared" si="1"/>
        <v>55</v>
      </c>
      <c r="B60" s="135">
        <f>'תקציב החברה לפיתוח 2024'!B99</f>
        <v>20024</v>
      </c>
      <c r="C60" s="235" t="str">
        <f>'תקציב החברה לפיתוח 2024'!C99</f>
        <v>הקמת תחנות הצלה חוף אכדיה צפון וחוף סידני עלי</v>
      </c>
      <c r="D60" s="120">
        <f>'תקציב החברה לפיתוח 2024'!D99</f>
        <v>817792</v>
      </c>
      <c r="E60" s="120">
        <f>'תקציב החברה לפיתוח 2024'!E99</f>
        <v>880000</v>
      </c>
      <c r="F60" s="120">
        <f>'תקציב החברה לפיתוח 2024'!F99</f>
        <v>-62208</v>
      </c>
      <c r="G60" s="120">
        <f>'תקציב החברה לפיתוח 2024'!G99</f>
        <v>880000</v>
      </c>
      <c r="H60" s="120">
        <f>'תקציב החברה לפיתוח 2024'!H99</f>
        <v>817792</v>
      </c>
      <c r="I60" s="120">
        <f>'תקציב החברה לפיתוח 2024'!I99</f>
        <v>0</v>
      </c>
      <c r="J60" s="120">
        <f>'תקציב החברה לפיתוח 2024'!J99</f>
        <v>0</v>
      </c>
      <c r="K60" s="120">
        <f>'תקציב החברה לפיתוח 2024'!K99</f>
        <v>0</v>
      </c>
      <c r="L60" s="120">
        <f>'תקציב החברה לפיתוח 2024'!L99</f>
        <v>817792</v>
      </c>
      <c r="M60" s="120">
        <f>'תקציב החברה לפיתוח 2024'!M99</f>
        <v>0</v>
      </c>
      <c r="N60" s="120">
        <f>'תקציב החברה לפיתוח 2024'!N99</f>
        <v>0</v>
      </c>
      <c r="O60" s="120">
        <f>'תקציב החברה לפיתוח 2024'!O99</f>
        <v>0</v>
      </c>
      <c r="P60" s="120">
        <f>'תקציב החברה לפיתוח 2024'!P99</f>
        <v>62208</v>
      </c>
      <c r="Q60" s="120">
        <f>'תקציב החברה לפיתוח 2024'!Q99</f>
        <v>0</v>
      </c>
      <c r="R60" s="120">
        <f>'תקציב החברה לפיתוח 2024'!R99</f>
        <v>0</v>
      </c>
      <c r="S60" s="120">
        <f>'תקציב החברה לפיתוח 2024'!S99</f>
        <v>0</v>
      </c>
      <c r="T60" s="120">
        <f>'תקציב החברה לפיתוח 2024'!T99</f>
        <v>62208</v>
      </c>
      <c r="U60" s="120">
        <f>'תקציב החברה לפיתוח 2024'!U99</f>
        <v>-62208</v>
      </c>
      <c r="V60" s="120">
        <f>'תקציב החברה לפיתוח 2024'!V99</f>
        <v>0</v>
      </c>
      <c r="W60" s="120">
        <f>'תקציב החברה לפיתוח 2024'!W99</f>
        <v>-62208</v>
      </c>
      <c r="X60" s="120">
        <f>'תקציב החברה לפיתוח 2024'!X99</f>
        <v>0</v>
      </c>
      <c r="Y60" s="120">
        <f>'תקציב החברה לפיתוח 2024'!Y99</f>
        <v>0</v>
      </c>
      <c r="Z60" s="120">
        <f>'תקציב החברה לפיתוח 2024'!Z99</f>
        <v>0</v>
      </c>
      <c r="AA60" s="120">
        <f>'תקציב החברה לפיתוח 2024'!AA99</f>
        <v>0</v>
      </c>
      <c r="AB60" s="235" t="str">
        <f>'תקציב החברה לפיתוח 2024'!AB99</f>
        <v>הקמת תחנות הצלה חדשות בחוף אכדיה צפון ובחוף סדני עלי. הפרויקט הסתיים. סגירת תב"ר.</v>
      </c>
      <c r="AC60" s="135">
        <f>'תקציב החברה לפיתוח 2024'!AC99</f>
        <v>747000</v>
      </c>
      <c r="AD60" s="134"/>
      <c r="AE60" s="134"/>
      <c r="AF60" s="134"/>
      <c r="AG60" s="134"/>
      <c r="AH60" s="134"/>
      <c r="AI60" s="134"/>
      <c r="AJ60" s="157"/>
      <c r="AK60" s="157"/>
      <c r="AL60" s="157"/>
      <c r="AM60" s="157"/>
    </row>
    <row r="61" spans="1:39" s="6" customFormat="1" ht="45" customHeight="1">
      <c r="A61" s="137"/>
      <c r="B61" s="137"/>
      <c r="C61" s="130" t="s">
        <v>526</v>
      </c>
      <c r="D61" s="138" t="e">
        <f>SUM(D11:D60)</f>
        <v>#REF!</v>
      </c>
      <c r="E61" s="138" t="e">
        <f t="shared" ref="E61:AA61" si="2">SUM(E11:E60)</f>
        <v>#REF!</v>
      </c>
      <c r="F61" s="138" t="e">
        <f t="shared" si="2"/>
        <v>#REF!</v>
      </c>
      <c r="G61" s="138" t="e">
        <f t="shared" si="2"/>
        <v>#REF!</v>
      </c>
      <c r="H61" s="138" t="e">
        <f t="shared" si="2"/>
        <v>#REF!</v>
      </c>
      <c r="I61" s="138" t="e">
        <f t="shared" si="2"/>
        <v>#REF!</v>
      </c>
      <c r="J61" s="138" t="e">
        <f t="shared" si="2"/>
        <v>#REF!</v>
      </c>
      <c r="K61" s="138" t="e">
        <f t="shared" si="2"/>
        <v>#REF!</v>
      </c>
      <c r="L61" s="138" t="e">
        <f t="shared" si="2"/>
        <v>#REF!</v>
      </c>
      <c r="M61" s="138" t="e">
        <f t="shared" si="2"/>
        <v>#REF!</v>
      </c>
      <c r="N61" s="138" t="e">
        <f t="shared" si="2"/>
        <v>#REF!</v>
      </c>
      <c r="O61" s="138" t="e">
        <f t="shared" si="2"/>
        <v>#REF!</v>
      </c>
      <c r="P61" s="138" t="e">
        <f t="shared" si="2"/>
        <v>#REF!</v>
      </c>
      <c r="Q61" s="138" t="e">
        <f t="shared" si="2"/>
        <v>#REF!</v>
      </c>
      <c r="R61" s="138" t="e">
        <f t="shared" si="2"/>
        <v>#REF!</v>
      </c>
      <c r="S61" s="138" t="e">
        <f t="shared" si="2"/>
        <v>#REF!</v>
      </c>
      <c r="T61" s="138" t="e">
        <f t="shared" si="2"/>
        <v>#REF!</v>
      </c>
      <c r="U61" s="138" t="e">
        <f t="shared" si="2"/>
        <v>#REF!</v>
      </c>
      <c r="V61" s="138" t="e">
        <f t="shared" si="2"/>
        <v>#REF!</v>
      </c>
      <c r="W61" s="138" t="e">
        <f t="shared" si="2"/>
        <v>#REF!</v>
      </c>
      <c r="X61" s="138" t="e">
        <f t="shared" si="2"/>
        <v>#REF!</v>
      </c>
      <c r="Y61" s="138" t="e">
        <f t="shared" si="2"/>
        <v>#REF!</v>
      </c>
      <c r="Z61" s="138" t="e">
        <f t="shared" si="2"/>
        <v>#REF!</v>
      </c>
      <c r="AA61" s="138" t="e">
        <f t="shared" si="2"/>
        <v>#REF!</v>
      </c>
      <c r="AB61" s="130"/>
      <c r="AC61" s="137"/>
      <c r="AD61" s="136"/>
      <c r="AE61" s="136"/>
      <c r="AF61" s="136"/>
      <c r="AG61" s="136"/>
      <c r="AH61" s="136"/>
      <c r="AI61" s="136"/>
      <c r="AJ61" s="303"/>
      <c r="AK61" s="303"/>
      <c r="AL61" s="303"/>
      <c r="AM61" s="303"/>
    </row>
    <row r="62" spans="1:39" s="6" customFormat="1" ht="45" customHeight="1">
      <c r="A62" s="135">
        <f>A60+1</f>
        <v>56</v>
      </c>
      <c r="B62" s="135">
        <f>'תקציב החברה לפיתוח 2024'!B7</f>
        <v>576</v>
      </c>
      <c r="C62" s="235" t="str">
        <f>'תקציב החברה לפיתוח 2024'!C7</f>
        <v>בית העלמין החדש</v>
      </c>
      <c r="D62" s="120">
        <f>'תקציב החברה לפיתוח 2024'!D7</f>
        <v>78113000</v>
      </c>
      <c r="E62" s="120">
        <f>'תקציב החברה לפיתוח 2024'!E7</f>
        <v>58113000</v>
      </c>
      <c r="F62" s="120">
        <f>'תקציב החברה לפיתוח 2024'!F7</f>
        <v>20000000</v>
      </c>
      <c r="G62" s="120">
        <f>'תקציב החברה לפיתוח 2024'!G7</f>
        <v>58113000</v>
      </c>
      <c r="H62" s="120">
        <f>'תקציב החברה לפיתוח 2024'!H7</f>
        <v>57720940</v>
      </c>
      <c r="I62" s="120">
        <f>'תקציב החברה לפיתוח 2024'!I7</f>
        <v>0</v>
      </c>
      <c r="J62" s="120">
        <f>'תקציב החברה לפיתוח 2024'!J7</f>
        <v>0</v>
      </c>
      <c r="K62" s="120">
        <f>'תקציב החברה לפיתוח 2024'!K7</f>
        <v>0</v>
      </c>
      <c r="L62" s="120">
        <f>'תקציב החברה לפיתוח 2024'!L7</f>
        <v>57720940</v>
      </c>
      <c r="M62" s="120">
        <f>'תקציב החברה לפיתוח 2024'!M7</f>
        <v>2060</v>
      </c>
      <c r="N62" s="120">
        <f>'תקציב החברה לפיתוח 2024'!N7</f>
        <v>390000</v>
      </c>
      <c r="O62" s="120">
        <f>'תקציב החברה לפיתוח 2024'!O7</f>
        <v>20000000</v>
      </c>
      <c r="P62" s="120">
        <f>'תקציב החברה לפיתוח 2024'!P7</f>
        <v>392060</v>
      </c>
      <c r="Q62" s="120">
        <f>'תקציב החברה לפיתוח 2024'!Q7</f>
        <v>0</v>
      </c>
      <c r="R62" s="120">
        <f>'תקציב החברה לפיתוח 2024'!R7</f>
        <v>0</v>
      </c>
      <c r="S62" s="120">
        <f>'תקציב החברה לפיתוח 2024'!S7</f>
        <v>0</v>
      </c>
      <c r="T62" s="120">
        <f>'תקציב החברה לפיתוח 2024'!T7</f>
        <v>390000</v>
      </c>
      <c r="U62" s="120">
        <f>'תקציב החברה לפיתוח 2024'!U7</f>
        <v>0</v>
      </c>
      <c r="V62" s="120">
        <f>'תקציב החברה לפיתוח 2024'!V7</f>
        <v>0</v>
      </c>
      <c r="W62" s="120">
        <f>'תקציב החברה לפיתוח 2024'!W7</f>
        <v>0</v>
      </c>
      <c r="X62" s="120">
        <f>'תקציב החברה לפיתוח 2024'!X7</f>
        <v>0</v>
      </c>
      <c r="Y62" s="120">
        <f>'תקציב החברה לפיתוח 2024'!Y7</f>
        <v>0</v>
      </c>
      <c r="Z62" s="120">
        <f>'תקציב החברה לפיתוח 2024'!Z7</f>
        <v>0</v>
      </c>
      <c r="AA62" s="120">
        <f>'תקציב החברה לפיתוח 2024'!AA7</f>
        <v>0</v>
      </c>
      <c r="AB62" s="235" t="str">
        <f>'תקציב החברה לפיתוח 2024'!AB7</f>
        <v>עבודות הרחבת והכשרת חלקות נוספות חצרות 6+7 בבית העלמין החדש. מימון תאגיד הקבורה.</v>
      </c>
      <c r="AC62" s="135">
        <f>'תקציב החברה לפיתוח 2024'!AC7</f>
        <v>760000</v>
      </c>
      <c r="AD62" s="134"/>
      <c r="AE62" s="134"/>
      <c r="AF62" s="134"/>
      <c r="AG62" s="134"/>
      <c r="AH62" s="134"/>
      <c r="AI62" s="134"/>
      <c r="AJ62" s="136"/>
      <c r="AK62" s="136"/>
      <c r="AL62" s="136"/>
      <c r="AM62" s="136"/>
    </row>
    <row r="63" spans="1:39" s="48" customFormat="1" ht="45" customHeight="1">
      <c r="A63" s="219"/>
      <c r="B63" s="219"/>
      <c r="C63" s="286" t="s">
        <v>527</v>
      </c>
      <c r="D63" s="249">
        <f>SUM(D62)</f>
        <v>78113000</v>
      </c>
      <c r="E63" s="249">
        <f t="shared" ref="E63:AA63" si="3">SUM(E62)</f>
        <v>58113000</v>
      </c>
      <c r="F63" s="249">
        <f t="shared" si="3"/>
        <v>20000000</v>
      </c>
      <c r="G63" s="249">
        <f t="shared" si="3"/>
        <v>58113000</v>
      </c>
      <c r="H63" s="249">
        <f t="shared" si="3"/>
        <v>57720940</v>
      </c>
      <c r="I63" s="249">
        <f t="shared" si="3"/>
        <v>0</v>
      </c>
      <c r="J63" s="249">
        <f t="shared" si="3"/>
        <v>0</v>
      </c>
      <c r="K63" s="249">
        <f t="shared" si="3"/>
        <v>0</v>
      </c>
      <c r="L63" s="249">
        <f t="shared" si="3"/>
        <v>57720940</v>
      </c>
      <c r="M63" s="249">
        <f t="shared" si="3"/>
        <v>2060</v>
      </c>
      <c r="N63" s="249">
        <f t="shared" si="3"/>
        <v>390000</v>
      </c>
      <c r="O63" s="249">
        <f t="shared" si="3"/>
        <v>20000000</v>
      </c>
      <c r="P63" s="249">
        <f t="shared" si="3"/>
        <v>392060</v>
      </c>
      <c r="Q63" s="249">
        <f t="shared" si="3"/>
        <v>0</v>
      </c>
      <c r="R63" s="249">
        <f t="shared" si="3"/>
        <v>0</v>
      </c>
      <c r="S63" s="249">
        <f t="shared" si="3"/>
        <v>0</v>
      </c>
      <c r="T63" s="249">
        <f t="shared" si="3"/>
        <v>390000</v>
      </c>
      <c r="U63" s="249">
        <f t="shared" si="3"/>
        <v>0</v>
      </c>
      <c r="V63" s="249">
        <f t="shared" si="3"/>
        <v>0</v>
      </c>
      <c r="W63" s="249">
        <f t="shared" si="3"/>
        <v>0</v>
      </c>
      <c r="X63" s="249">
        <f t="shared" si="3"/>
        <v>0</v>
      </c>
      <c r="Y63" s="249">
        <f t="shared" si="3"/>
        <v>0</v>
      </c>
      <c r="Z63" s="249">
        <f t="shared" si="3"/>
        <v>0</v>
      </c>
      <c r="AA63" s="249">
        <f t="shared" si="3"/>
        <v>0</v>
      </c>
      <c r="AB63" s="286"/>
      <c r="AC63" s="219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</row>
    <row r="64" spans="1:39" s="5" customFormat="1" ht="45" customHeight="1">
      <c r="A64" s="135">
        <f>A62+1</f>
        <v>57</v>
      </c>
      <c r="B64" s="135">
        <f>'תקציב החברה לפיתוח 2024'!B31</f>
        <v>1957</v>
      </c>
      <c r="C64" s="235" t="str">
        <f>'תקציב החברה לפיתוח 2024'!C31</f>
        <v>מתחם קמפוס המדעים הרצליה (יד גיורא) (*)</v>
      </c>
      <c r="D64" s="120">
        <f>'תקציב החברה לפיתוח 2024'!D31</f>
        <v>75000000</v>
      </c>
      <c r="E64" s="120">
        <f>'תקציב החברה לפיתוח 2024'!E31</f>
        <v>60000000</v>
      </c>
      <c r="F64" s="120">
        <f>'תקציב החברה לפיתוח 2024'!F31</f>
        <v>15000000</v>
      </c>
      <c r="G64" s="120">
        <f>'תקציב החברה לפיתוח 2024'!G31</f>
        <v>30026967</v>
      </c>
      <c r="H64" s="120">
        <f>'תקציב החברה לפיתוח 2024'!H31</f>
        <v>33624938</v>
      </c>
      <c r="I64" s="120">
        <f>'תקציב החברה לפיתוח 2024'!I31</f>
        <v>0</v>
      </c>
      <c r="J64" s="120">
        <f>'תקציב החברה לפיתוח 2024'!J31</f>
        <v>0</v>
      </c>
      <c r="K64" s="120">
        <f>'תקציב החברה לפיתוח 2024'!K31</f>
        <v>0</v>
      </c>
      <c r="L64" s="120">
        <f>'תקציב החברה לפיתוח 2024'!L31</f>
        <v>33624938</v>
      </c>
      <c r="M64" s="120">
        <f>'תקציב החברה לפיתוח 2024'!M31</f>
        <v>6511</v>
      </c>
      <c r="N64" s="120">
        <f>'תקציב החברה לפיתוח 2024'!N31</f>
        <v>30068551</v>
      </c>
      <c r="O64" s="120">
        <f>'תקציב החברה לפיתוח 2024'!O31</f>
        <v>11300000</v>
      </c>
      <c r="P64" s="120">
        <f>'תקציב החברה לפיתוח 2024'!P31</f>
        <v>-3597971</v>
      </c>
      <c r="Q64" s="120">
        <f>'תקציב החברה לפיתוח 2024'!Q31</f>
        <v>4074482</v>
      </c>
      <c r="R64" s="120">
        <f>'תקציב החברה לפיתוח 2024'!R31</f>
        <v>0</v>
      </c>
      <c r="S64" s="120">
        <f>'תקציב החברה לפיתוח 2024'!S31</f>
        <v>4074482</v>
      </c>
      <c r="T64" s="120">
        <f>'תקציב החברה לפיתוח 2024'!T31</f>
        <v>470000</v>
      </c>
      <c r="U64" s="120">
        <f>'תקציב החברה לפיתוח 2024'!U31</f>
        <v>29598551</v>
      </c>
      <c r="V64" s="120">
        <f>'תקציב החברה לפיתוח 2024'!V31</f>
        <v>26873393</v>
      </c>
      <c r="W64" s="120">
        <f>'תקציב החברה לפיתוח 2024'!W31</f>
        <v>1500000</v>
      </c>
      <c r="X64" s="120">
        <f>'תקציב החברה לפיתוח 2024'!X31</f>
        <v>0</v>
      </c>
      <c r="Y64" s="120">
        <f>'תקציב החברה לפיתוח 2024'!Y31</f>
        <v>0</v>
      </c>
      <c r="Z64" s="120">
        <f>'תקציב החברה לפיתוח 2024'!Z31</f>
        <v>0</v>
      </c>
      <c r="AA64" s="120">
        <f>'תקציב החברה לפיתוח 2024'!AA31</f>
        <v>1225158</v>
      </c>
      <c r="AB64" s="235" t="str">
        <f>'תקציב החברה לפיתוח 2024'!AB31</f>
        <v>הקמת קמפוס מדעים:בי"ס להנדסאים ותיכון חדש. כולל הצטיידות. מימון מ. החינוך. עדכון שם.</v>
      </c>
      <c r="AC64" s="135">
        <f>'תקציב החברה לפיתוח 2024'!AC31</f>
        <v>810000</v>
      </c>
      <c r="AD64" s="134"/>
      <c r="AE64" s="134"/>
      <c r="AF64" s="134"/>
      <c r="AG64" s="134"/>
      <c r="AH64" s="134"/>
      <c r="AI64" s="134"/>
      <c r="AJ64" s="131"/>
      <c r="AK64" s="131"/>
      <c r="AL64" s="131"/>
      <c r="AM64" s="131"/>
    </row>
    <row r="65" spans="1:39" s="5" customFormat="1" ht="45" customHeight="1">
      <c r="A65" s="135">
        <f t="shared" ref="A65:A93" si="4">A64+1</f>
        <v>58</v>
      </c>
      <c r="B65" s="135">
        <f>'תקציב החברה לפיתוח 2024'!B33</f>
        <v>2001</v>
      </c>
      <c r="C65" s="235" t="str">
        <f>'תקציב החברה לפיתוח 2024'!C33</f>
        <v>בניית בי"ס ברחוב משה (ירוק)</v>
      </c>
      <c r="D65" s="120">
        <f>'תקציב החברה לפיתוח 2024'!D33</f>
        <v>25000000</v>
      </c>
      <c r="E65" s="120">
        <f>'תקציב החברה לפיתוח 2024'!E33</f>
        <v>18500000</v>
      </c>
      <c r="F65" s="120">
        <f>'תקציב החברה לפיתוח 2024'!F33</f>
        <v>6500000</v>
      </c>
      <c r="G65" s="120">
        <f>'תקציב החברה לפיתוח 2024'!G33</f>
        <v>8398700</v>
      </c>
      <c r="H65" s="120">
        <f>'תקציב החברה לפיתוח 2024'!H33</f>
        <v>6406298</v>
      </c>
      <c r="I65" s="120">
        <f>'תקציב החברה לפיתוח 2024'!I33</f>
        <v>0</v>
      </c>
      <c r="J65" s="120">
        <f>'תקציב החברה לפיתוח 2024'!J33</f>
        <v>0</v>
      </c>
      <c r="K65" s="120">
        <f>'תקציב החברה לפיתוח 2024'!K33</f>
        <v>0</v>
      </c>
      <c r="L65" s="120">
        <f>'תקציב החברה לפיתוח 2024'!L33</f>
        <v>6406298</v>
      </c>
      <c r="M65" s="120">
        <f>'תקציב החברה לפיתוח 2024'!M33</f>
        <v>2402</v>
      </c>
      <c r="N65" s="120">
        <f>'תקציב החברה לפיתוח 2024'!N33</f>
        <v>11591300</v>
      </c>
      <c r="O65" s="120">
        <f>'תקציב החברה לפיתוח 2024'!O33</f>
        <v>7000000</v>
      </c>
      <c r="P65" s="120">
        <f>'תקציב החברה לפיתוח 2024'!P33</f>
        <v>1992402</v>
      </c>
      <c r="Q65" s="120">
        <f>'תקציב החברה לפיתוח 2024'!Q33</f>
        <v>0</v>
      </c>
      <c r="R65" s="120">
        <f>'תקציב החברה לפיתוח 2024'!R33</f>
        <v>0</v>
      </c>
      <c r="S65" s="120">
        <f>'תקציב החברה לפיתוח 2024'!S33</f>
        <v>0</v>
      </c>
      <c r="T65" s="120">
        <f>'תקציב החברה לפיתוח 2024'!T33</f>
        <v>1990000</v>
      </c>
      <c r="U65" s="120">
        <f>'תקציב החברה לפיתוח 2024'!U33</f>
        <v>9601300</v>
      </c>
      <c r="V65" s="120">
        <f>'תקציב החברה לפיתוח 2024'!V33</f>
        <v>8601300</v>
      </c>
      <c r="W65" s="120">
        <f>'תקציב החברה לפיתוח 2024'!W33</f>
        <v>1000000</v>
      </c>
      <c r="X65" s="120">
        <f>'תקציב החברה לפיתוח 2024'!X33</f>
        <v>0</v>
      </c>
      <c r="Y65" s="120">
        <f>'תקציב החברה לפיתוח 2024'!Y33</f>
        <v>0</v>
      </c>
      <c r="Z65" s="120">
        <f>'תקציב החברה לפיתוח 2024'!Z33</f>
        <v>0</v>
      </c>
      <c r="AA65" s="120">
        <f>'תקציב החברה לפיתוח 2024'!AA33</f>
        <v>0</v>
      </c>
      <c r="AB65" s="235" t="str">
        <f>'תקציב החברה לפיתוח 2024'!AB33</f>
        <v>בניית בית ספר ברח' משה-12 כתות. כולל הצטיידות.</v>
      </c>
      <c r="AC65" s="135">
        <f>'תקציב החברה לפיתוח 2024'!AC33</f>
        <v>810000</v>
      </c>
      <c r="AD65" s="134"/>
      <c r="AE65" s="134"/>
      <c r="AF65" s="134"/>
      <c r="AG65" s="134"/>
      <c r="AH65"/>
      <c r="AI65"/>
      <c r="AJ65"/>
      <c r="AK65"/>
      <c r="AL65"/>
      <c r="AM65"/>
    </row>
    <row r="66" spans="1:39" s="6" customFormat="1" ht="45" customHeight="1">
      <c r="A66" s="135">
        <f t="shared" si="4"/>
        <v>59</v>
      </c>
      <c r="B66" s="135">
        <f>'תקציב החברה לפיתוח 2024'!B38</f>
        <v>2015</v>
      </c>
      <c r="C66" s="235" t="str">
        <f>'תקציב החברה לפיתוח 2024'!C38</f>
        <v xml:space="preserve"> מרכז מדעים וקהילה </v>
      </c>
      <c r="D66" s="120">
        <f>'תקציב החברה לפיתוח 2024'!D38</f>
        <v>54000000</v>
      </c>
      <c r="E66" s="120">
        <f>'תקציב החברה לפיתוח 2024'!E38</f>
        <v>54000000</v>
      </c>
      <c r="F66" s="120">
        <f>'תקציב החברה לפיתוח 2024'!F38</f>
        <v>0</v>
      </c>
      <c r="G66" s="120">
        <f>'תקציב החברה לפיתוח 2024'!G38</f>
        <v>43734031</v>
      </c>
      <c r="H66" s="120">
        <f>'תקציב החברה לפיתוח 2024'!H38</f>
        <v>45608729</v>
      </c>
      <c r="I66" s="120">
        <f>'תקציב החברה לפיתוח 2024'!I38</f>
        <v>0</v>
      </c>
      <c r="J66" s="120">
        <f>'תקציב החברה לפיתוח 2024'!J38</f>
        <v>15678</v>
      </c>
      <c r="K66" s="120">
        <f>'תקציב החברה לפיתוח 2024'!K38</f>
        <v>15678</v>
      </c>
      <c r="L66" s="120">
        <f>'תקציב החברה לפיתוח 2024'!L38</f>
        <v>45624407</v>
      </c>
      <c r="M66" s="120">
        <f>'תקציב החברה לפיתוח 2024'!M38</f>
        <v>9624</v>
      </c>
      <c r="N66" s="120">
        <f>'תקציב החברה לפיתוח 2024'!N38</f>
        <v>8365969</v>
      </c>
      <c r="O66" s="120">
        <f>'תקציב החברה לפיתוח 2024'!O38</f>
        <v>0</v>
      </c>
      <c r="P66" s="120">
        <f>'תקציב החברה לפיתוח 2024'!P38</f>
        <v>-1890376</v>
      </c>
      <c r="Q66" s="120">
        <f>'תקציב החברה לפיתוח 2024'!Q38</f>
        <v>2000000</v>
      </c>
      <c r="R66" s="120">
        <f>'תקציב החברה לפיתוח 2024'!R38</f>
        <v>0</v>
      </c>
      <c r="S66" s="120">
        <f>'תקציב החברה לפיתוח 2024'!S38</f>
        <v>2000000</v>
      </c>
      <c r="T66" s="120">
        <f>'תקציב החברה לפיתוח 2024'!T38</f>
        <v>100000</v>
      </c>
      <c r="U66" s="120">
        <f>'תקציב החברה לפיתוח 2024'!U38</f>
        <v>8265969</v>
      </c>
      <c r="V66" s="120">
        <f>'תקציב החברה לפיתוח 2024'!V38</f>
        <v>8265969</v>
      </c>
      <c r="W66" s="120">
        <f>'תקציב החברה לפיתוח 2024'!W38</f>
        <v>0</v>
      </c>
      <c r="X66" s="120">
        <f>'תקציב החברה לפיתוח 2024'!X38</f>
        <v>0</v>
      </c>
      <c r="Y66" s="120">
        <f>'תקציב החברה לפיתוח 2024'!Y38</f>
        <v>0</v>
      </c>
      <c r="Z66" s="120">
        <f>'תקציב החברה לפיתוח 2024'!Z38</f>
        <v>0</v>
      </c>
      <c r="AA66" s="120">
        <f>'תקציב החברה לפיתוח 2024'!AA38</f>
        <v>0</v>
      </c>
      <c r="AB66" s="235" t="str">
        <f>'תקציב החברה לפיתוח 2024'!AB38</f>
        <v xml:space="preserve">עבודות בניה ופיתוח מרכז מדעיים וקהילה באלתרמן. מבנה 5 קומות ופיתוח. </v>
      </c>
      <c r="AC66" s="135">
        <f>'תקציב החברה לפיתוח 2024'!AC38</f>
        <v>810000</v>
      </c>
      <c r="AD66" s="134"/>
      <c r="AE66" s="134"/>
      <c r="AF66" s="134"/>
      <c r="AG66" s="134"/>
      <c r="AH66" s="134"/>
      <c r="AI66" s="134"/>
      <c r="AJ66" s="139"/>
      <c r="AK66" s="139"/>
      <c r="AL66" s="139"/>
      <c r="AM66" s="139"/>
    </row>
    <row r="67" spans="1:39" s="6" customFormat="1" ht="45" customHeight="1">
      <c r="A67" s="135">
        <f t="shared" si="4"/>
        <v>60</v>
      </c>
      <c r="B67" s="135">
        <f>'תקציב החברה לפיתוח 2024'!B42</f>
        <v>2023</v>
      </c>
      <c r="C67" s="235" t="str">
        <f>'תקציב החברה לפיתוח 2024'!C42</f>
        <v>גנ"י נווה עמל ציפורן   וחמניה</v>
      </c>
      <c r="D67" s="120">
        <f>'תקציב החברה לפיתוח 2024'!D42</f>
        <v>7340000</v>
      </c>
      <c r="E67" s="120">
        <f>'תקציב החברה לפיתוח 2024'!E42</f>
        <v>7340000</v>
      </c>
      <c r="F67" s="120">
        <f>'תקציב החברה לפיתוח 2024'!F42</f>
        <v>0</v>
      </c>
      <c r="G67" s="120">
        <f>'תקציב החברה לפיתוח 2024'!G42</f>
        <v>230000</v>
      </c>
      <c r="H67" s="120">
        <f>'תקציב החברה לפיתוח 2024'!H42</f>
        <v>228151</v>
      </c>
      <c r="I67" s="120">
        <f>'תקציב החברה לפיתוח 2024'!I42</f>
        <v>0</v>
      </c>
      <c r="J67" s="120">
        <f>'תקציב החברה לפיתוח 2024'!J42</f>
        <v>0</v>
      </c>
      <c r="K67" s="120">
        <f>'תקציב החברה לפיתוח 2024'!K42</f>
        <v>0</v>
      </c>
      <c r="L67" s="120">
        <f>'תקציב החברה לפיתוח 2024'!L42</f>
        <v>228151</v>
      </c>
      <c r="M67" s="120">
        <f>'תקציב החברה לפיתוח 2024'!M42</f>
        <v>1849</v>
      </c>
      <c r="N67" s="120">
        <f>'תקציב החברה לפיתוח 2024'!N42</f>
        <v>0</v>
      </c>
      <c r="O67" s="120">
        <f>'תקציב החברה לפיתוח 2024'!O42</f>
        <v>7110000</v>
      </c>
      <c r="P67" s="120">
        <f>'תקציב החברה לפיתוח 2024'!P42</f>
        <v>1849</v>
      </c>
      <c r="Q67" s="120">
        <f>'תקציב החברה לפיתוח 2024'!Q42</f>
        <v>0</v>
      </c>
      <c r="R67" s="120">
        <f>'תקציב החברה לפיתוח 2024'!R42</f>
        <v>0</v>
      </c>
      <c r="S67" s="120">
        <f>'תקציב החברה לפיתוח 2024'!S42</f>
        <v>0</v>
      </c>
      <c r="T67" s="120">
        <f>'תקציב החברה לפיתוח 2024'!T42</f>
        <v>0</v>
      </c>
      <c r="U67" s="120">
        <f>'תקציב החברה לפיתוח 2024'!U42</f>
        <v>0</v>
      </c>
      <c r="V67" s="120">
        <f>'תקציב החברה לפיתוח 2024'!V42</f>
        <v>0</v>
      </c>
      <c r="W67" s="120">
        <f>'תקציב החברה לפיתוח 2024'!W42</f>
        <v>0</v>
      </c>
      <c r="X67" s="120">
        <f>'תקציב החברה לפיתוח 2024'!X42</f>
        <v>0</v>
      </c>
      <c r="Y67" s="120">
        <f>'תקציב החברה לפיתוח 2024'!Y42</f>
        <v>0</v>
      </c>
      <c r="Z67" s="120">
        <f>'תקציב החברה לפיתוח 2024'!Z42</f>
        <v>0</v>
      </c>
      <c r="AA67" s="120">
        <f>'תקציב החברה לפיתוח 2024'!AA42</f>
        <v>0</v>
      </c>
      <c r="AB67" s="235" t="str">
        <f>'תקציב החברה לפיתוח 2024'!AB42</f>
        <v>בניית 3 גנ"י בנווה עמל. חלקות בבעלות רמ"י. נדחה עד הכרת מ. החינוך והסכם חכירה רמ"י.</v>
      </c>
      <c r="AC67" s="135">
        <f>'תקציב החברה לפיתוח 2024'!AC42</f>
        <v>810000</v>
      </c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</row>
    <row r="68" spans="1:39" s="5" customFormat="1" ht="45" customHeight="1">
      <c r="A68" s="135">
        <f t="shared" si="4"/>
        <v>61</v>
      </c>
      <c r="B68" s="135">
        <f>'תקציב החברה לפיתוח 2024'!B43</f>
        <v>2024</v>
      </c>
      <c r="C68" s="235" t="str">
        <f>'תקציב החברה לפיתוח 2024'!C43</f>
        <v>גנ"י מרכז ויצמן תמר תאנה</v>
      </c>
      <c r="D68" s="120">
        <f>'תקציב החברה לפיתוח 2024'!D43</f>
        <v>18400000</v>
      </c>
      <c r="E68" s="120">
        <f>'תקציב החברה לפיתוח 2024'!E43</f>
        <v>16300000</v>
      </c>
      <c r="F68" s="120">
        <f>'תקציב החברה לפיתוח 2024'!F43</f>
        <v>2100000</v>
      </c>
      <c r="G68" s="120">
        <f>'תקציב החברה לפיתוח 2024'!G43</f>
        <v>16300000</v>
      </c>
      <c r="H68" s="120">
        <f>'תקציב החברה לפיתוח 2024'!H43</f>
        <v>11225590</v>
      </c>
      <c r="I68" s="120">
        <f>'תקציב החברה לפיתוח 2024'!I43</f>
        <v>0</v>
      </c>
      <c r="J68" s="120">
        <f>'תקציב החברה לפיתוח 2024'!J43</f>
        <v>0</v>
      </c>
      <c r="K68" s="120">
        <f>'תקציב החברה לפיתוח 2024'!K43</f>
        <v>0</v>
      </c>
      <c r="L68" s="120">
        <f>'תקציב החברה לפיתוח 2024'!L43</f>
        <v>11225590</v>
      </c>
      <c r="M68" s="120">
        <f>'תקציב החברה לפיתוח 2024'!M43</f>
        <v>24410</v>
      </c>
      <c r="N68" s="120">
        <f>'תקציב החברה לפיתוח 2024'!N43</f>
        <v>7150000</v>
      </c>
      <c r="O68" s="120">
        <f>'תקציב החברה לפיתוח 2024'!O43</f>
        <v>0</v>
      </c>
      <c r="P68" s="120">
        <f>'תקציב החברה לפיתוח 2024'!P43</f>
        <v>5074410</v>
      </c>
      <c r="Q68" s="120">
        <f>'תקציב החברה לפיתוח 2024'!Q43</f>
        <v>0</v>
      </c>
      <c r="R68" s="120">
        <f>'תקציב החברה לפיתוח 2024'!R43</f>
        <v>0</v>
      </c>
      <c r="S68" s="120">
        <f>'תקציב החברה לפיתוח 2024'!S43</f>
        <v>0</v>
      </c>
      <c r="T68" s="120">
        <f>'תקציב החברה לפיתוח 2024'!T43</f>
        <v>5050000</v>
      </c>
      <c r="U68" s="120">
        <f>'תקציב החברה לפיתוח 2024'!U43</f>
        <v>2100000</v>
      </c>
      <c r="V68" s="120">
        <f>'תקציב החברה לפיתוח 2024'!V43</f>
        <v>1654749</v>
      </c>
      <c r="W68" s="120">
        <f>'תקציב החברה לפיתוח 2024'!W43</f>
        <v>0</v>
      </c>
      <c r="X68" s="120">
        <f>'תקציב החברה לפיתוח 2024'!X43</f>
        <v>0</v>
      </c>
      <c r="Y68" s="120">
        <f>'תקציב החברה לפיתוח 2024'!Y43</f>
        <v>0</v>
      </c>
      <c r="Z68" s="120">
        <f>'תקציב החברה לפיתוח 2024'!Z43</f>
        <v>0</v>
      </c>
      <c r="AA68" s="120">
        <f>'תקציב החברה לפיתוח 2024'!AA43</f>
        <v>445251</v>
      </c>
      <c r="AB68" s="235" t="str">
        <f>'תקציב החברה לפיתוח 2024'!AB43</f>
        <v>בניית 6 כיתות גנ"י במתחם ויצמן. מימון מ. החינוך עדכון.</v>
      </c>
      <c r="AC68" s="135">
        <f>'תקציב החברה לפיתוח 2024'!AC43</f>
        <v>810000</v>
      </c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</row>
    <row r="69" spans="1:39" s="5" customFormat="1" ht="55.2">
      <c r="A69" s="135">
        <f t="shared" si="4"/>
        <v>62</v>
      </c>
      <c r="B69" s="135">
        <f>'תקציב החברה לפיתוח 2024'!B48</f>
        <v>2097</v>
      </c>
      <c r="C69" s="235" t="str">
        <f>'תקציב החברה לפיתוח 2024'!C48</f>
        <v>בית ספר בן גוריון</v>
      </c>
      <c r="D69" s="120">
        <f>'תקציב החברה לפיתוח 2024'!D48</f>
        <v>79000000</v>
      </c>
      <c r="E69" s="120">
        <f>'תקציב החברה לפיתוח 2024'!E48</f>
        <v>79000000</v>
      </c>
      <c r="F69" s="120">
        <f>'תקציב החברה לפיתוח 2024'!F48</f>
        <v>0</v>
      </c>
      <c r="G69" s="120">
        <f>'תקציב החברה לפיתוח 2024'!G48</f>
        <v>29472319</v>
      </c>
      <c r="H69" s="120">
        <f>'תקציב החברה לפיתוח 2024'!H48</f>
        <v>34007912</v>
      </c>
      <c r="I69" s="120">
        <f>'תקציב החברה לפיתוח 2024'!I48</f>
        <v>0</v>
      </c>
      <c r="J69" s="120">
        <f>'תקציב החברה לפיתוח 2024'!J48</f>
        <v>448008</v>
      </c>
      <c r="K69" s="120">
        <f>'תקציב החברה לפיתוח 2024'!K48</f>
        <v>448008</v>
      </c>
      <c r="L69" s="120">
        <f>'תקציב החברה לפיתוח 2024'!L48</f>
        <v>34455920</v>
      </c>
      <c r="M69" s="120">
        <f>'תקציב החברה לפיתוח 2024'!M48</f>
        <v>13697</v>
      </c>
      <c r="N69" s="120">
        <f>'תקציב החברה לפיתוח 2024'!N48</f>
        <v>14551997</v>
      </c>
      <c r="O69" s="120">
        <f>'תקציב החברה לפיתוח 2024'!O48</f>
        <v>29978386</v>
      </c>
      <c r="P69" s="120">
        <f>'תקציב החברה לפיתוח 2024'!P48</f>
        <v>-4983601</v>
      </c>
      <c r="Q69" s="120">
        <f>'תקציב החברה לפיתוח 2024'!Q48</f>
        <v>11647298</v>
      </c>
      <c r="R69" s="120">
        <f>'תקציב החברה לפיתוח 2024'!R48</f>
        <v>0</v>
      </c>
      <c r="S69" s="120">
        <f>'תקציב החברה לפיתוח 2024'!S48</f>
        <v>11647298</v>
      </c>
      <c r="T69" s="120">
        <f>'תקציב החברה לפיתוח 2024'!T48</f>
        <v>6650000</v>
      </c>
      <c r="U69" s="120">
        <f>'תקציב החברה לפיתוח 2024'!U48</f>
        <v>7901997</v>
      </c>
      <c r="V69" s="120">
        <f>'תקציב החברה לפיתוח 2024'!V48</f>
        <v>4000000</v>
      </c>
      <c r="W69" s="120">
        <f>'תקציב החברה לפיתוח 2024'!W48</f>
        <v>0</v>
      </c>
      <c r="X69" s="120">
        <f>'תקציב החברה לפיתוח 2024'!X48</f>
        <v>0</v>
      </c>
      <c r="Y69" s="120">
        <f>'תקציב החברה לפיתוח 2024'!Y48</f>
        <v>0</v>
      </c>
      <c r="Z69" s="120">
        <f>'תקציב החברה לפיתוח 2024'!Z48</f>
        <v>0</v>
      </c>
      <c r="AA69" s="120">
        <f>'תקציב החברה לפיתוח 2024'!AA48</f>
        <v>3901997</v>
      </c>
      <c r="AB69" s="235" t="str">
        <f>'תקציב החברה לפיתוח 2024'!AB48</f>
        <v>תכנון שיפוץ/הריסה ובניה מחדש של בי"ס. הריסה של 18 כיתות, ובניה של 24 כיתות,6 כיתות  ח"מ. מימון מ. החינוך תוספת הרשאה.</v>
      </c>
      <c r="AC69" s="135">
        <f>'תקציב החברה לפיתוח 2024'!AC48</f>
        <v>810000</v>
      </c>
      <c r="AD69" s="134"/>
      <c r="AE69" s="134"/>
      <c r="AF69" s="134"/>
      <c r="AG69" s="134"/>
      <c r="AH69" s="134"/>
      <c r="AI69" s="134"/>
      <c r="AJ69" s="131"/>
      <c r="AK69" s="131"/>
      <c r="AL69" s="131"/>
      <c r="AM69" s="131"/>
    </row>
    <row r="70" spans="1:39" s="5" customFormat="1" ht="45" customHeight="1">
      <c r="A70" s="135">
        <f t="shared" si="4"/>
        <v>63</v>
      </c>
      <c r="B70" s="135">
        <f>'תקציב החברה לפיתוח 2024'!B61</f>
        <v>2130</v>
      </c>
      <c r="C70" s="235" t="str">
        <f>'תקציב החברה לפיתוח 2024'!C61</f>
        <v>עיצוב חצר לימודית בי"ס גורדון</v>
      </c>
      <c r="D70" s="120">
        <f>'תקציב החברה לפיתוח 2024'!D61</f>
        <v>500000</v>
      </c>
      <c r="E70" s="120">
        <f>'תקציב החברה לפיתוח 2024'!E61</f>
        <v>500000</v>
      </c>
      <c r="F70" s="120">
        <f>'תקציב החברה לפיתוח 2024'!F61</f>
        <v>0</v>
      </c>
      <c r="G70" s="120">
        <f>'תקציב החברה לפיתוח 2024'!G61</f>
        <v>500000</v>
      </c>
      <c r="H70" s="120">
        <f>'תקציב החברה לפיתוח 2024'!H61</f>
        <v>19942</v>
      </c>
      <c r="I70" s="120">
        <f>'תקציב החברה לפיתוח 2024'!I61</f>
        <v>0</v>
      </c>
      <c r="J70" s="120">
        <f>'תקציב החברה לפיתוח 2024'!J61</f>
        <v>0</v>
      </c>
      <c r="K70" s="120">
        <f>'תקציב החברה לפיתוח 2024'!K61</f>
        <v>0</v>
      </c>
      <c r="L70" s="120">
        <f>'תקציב החברה לפיתוח 2024'!L61</f>
        <v>19942</v>
      </c>
      <c r="M70" s="120">
        <f>'תקציב החברה לפיתוח 2024'!M61</f>
        <v>58</v>
      </c>
      <c r="N70" s="120">
        <f>'תקציב החברה לפיתוח 2024'!N61</f>
        <v>480000</v>
      </c>
      <c r="O70" s="120">
        <f>'תקציב החברה לפיתוח 2024'!O61</f>
        <v>0</v>
      </c>
      <c r="P70" s="120">
        <f>'תקציב החברה לפיתוח 2024'!P61</f>
        <v>480058</v>
      </c>
      <c r="Q70" s="120">
        <f>'תקציב החברה לפיתוח 2024'!Q61</f>
        <v>0</v>
      </c>
      <c r="R70" s="120">
        <f>'תקציב החברה לפיתוח 2024'!R61</f>
        <v>0</v>
      </c>
      <c r="S70" s="120">
        <f>'תקציב החברה לפיתוח 2024'!S61</f>
        <v>0</v>
      </c>
      <c r="T70" s="120">
        <f>'תקציב החברה לפיתוח 2024'!T61</f>
        <v>480000</v>
      </c>
      <c r="U70" s="120">
        <f>'תקציב החברה לפיתוח 2024'!U61</f>
        <v>0</v>
      </c>
      <c r="V70" s="120">
        <f>'תקציב החברה לפיתוח 2024'!V61</f>
        <v>0</v>
      </c>
      <c r="W70" s="120">
        <f>'תקציב החברה לפיתוח 2024'!W61</f>
        <v>0</v>
      </c>
      <c r="X70" s="120">
        <f>'תקציב החברה לפיתוח 2024'!X61</f>
        <v>0</v>
      </c>
      <c r="Y70" s="120">
        <f>'תקציב החברה לפיתוח 2024'!Y61</f>
        <v>0</v>
      </c>
      <c r="Z70" s="120">
        <f>'תקציב החברה לפיתוח 2024'!Z61</f>
        <v>0</v>
      </c>
      <c r="AA70" s="120">
        <f>'תקציב החברה לפיתוח 2024'!AA61</f>
        <v>0</v>
      </c>
      <c r="AB70" s="235" t="str">
        <f>'תקציב החברה לפיתוח 2024'!AB61</f>
        <v xml:space="preserve">עיצוב חצר לימודית בי"ס גורדון. מימון חלקי מ. החינוך. </v>
      </c>
      <c r="AC70" s="135">
        <f>'תקציב החברה לפיתוח 2024'!AC61</f>
        <v>810000</v>
      </c>
      <c r="AD70" s="134"/>
      <c r="AE70" s="134"/>
      <c r="AF70" s="134"/>
      <c r="AG70" s="134"/>
      <c r="AH70" s="134"/>
      <c r="AI70" s="134"/>
      <c r="AJ70" s="6"/>
      <c r="AK70" s="6"/>
      <c r="AL70" s="6"/>
      <c r="AM70" s="6"/>
    </row>
    <row r="71" spans="1:39" s="5" customFormat="1" ht="45" customHeight="1">
      <c r="A71" s="135">
        <f t="shared" si="4"/>
        <v>64</v>
      </c>
      <c r="B71" s="135">
        <f>'תקציב החברה לפיתוח 2024'!B62</f>
        <v>2149</v>
      </c>
      <c r="C71" s="235" t="str">
        <f>'תקציב החברה לפיתוח 2024'!C62</f>
        <v>בחינת התכנות לגנ"י חדשים במתחמים שונים</v>
      </c>
      <c r="D71" s="120">
        <f>'תקציב החברה לפיתוח 2024'!D62</f>
        <v>2500000</v>
      </c>
      <c r="E71" s="120">
        <f>'תקציב החברה לפיתוח 2024'!E62</f>
        <v>2000000</v>
      </c>
      <c r="F71" s="120">
        <f>'תקציב החברה לפיתוח 2024'!F62</f>
        <v>500000</v>
      </c>
      <c r="G71" s="120">
        <f>'תקציב החברה לפיתוח 2024'!G62</f>
        <v>1700000</v>
      </c>
      <c r="H71" s="120">
        <f>'תקציב החברה לפיתוח 2024'!H62</f>
        <v>1232473</v>
      </c>
      <c r="I71" s="120">
        <f>'תקציב החברה לפיתוח 2024'!I62</f>
        <v>0</v>
      </c>
      <c r="J71" s="120">
        <f>'תקציב החברה לפיתוח 2024'!J62</f>
        <v>0</v>
      </c>
      <c r="K71" s="120">
        <f>'תקציב החברה לפיתוח 2024'!K62</f>
        <v>0</v>
      </c>
      <c r="L71" s="120">
        <f>'תקציב החברה לפיתוח 2024'!L62</f>
        <v>1232473</v>
      </c>
      <c r="M71" s="120">
        <f>'תקציב החברה לפיתוח 2024'!M62</f>
        <v>17527</v>
      </c>
      <c r="N71" s="120">
        <f>'תקציב החברה לפיתוח 2024'!N62</f>
        <v>1050000</v>
      </c>
      <c r="O71" s="120">
        <f>'תקציב החברה לפיתוח 2024'!O62</f>
        <v>200000</v>
      </c>
      <c r="P71" s="120">
        <f>'תקציב החברה לפיתוח 2024'!P62</f>
        <v>467527</v>
      </c>
      <c r="Q71" s="120">
        <f>'תקציב החברה לפיתוח 2024'!Q62</f>
        <v>0</v>
      </c>
      <c r="R71" s="120">
        <f>'תקציב החברה לפיתוח 2024'!R62</f>
        <v>0</v>
      </c>
      <c r="S71" s="120">
        <f>'תקציב החברה לפיתוח 2024'!S62</f>
        <v>0</v>
      </c>
      <c r="T71" s="120">
        <f>'תקציב החברה לפיתוח 2024'!T62</f>
        <v>450000</v>
      </c>
      <c r="U71" s="120">
        <f>'תקציב החברה לפיתוח 2024'!U62</f>
        <v>600000</v>
      </c>
      <c r="V71" s="120">
        <f>'תקציב החברה לפיתוח 2024'!V62</f>
        <v>600000</v>
      </c>
      <c r="W71" s="120">
        <f>'תקציב החברה לפיתוח 2024'!W62</f>
        <v>0</v>
      </c>
      <c r="X71" s="120">
        <f>'תקציב החברה לפיתוח 2024'!X62</f>
        <v>0</v>
      </c>
      <c r="Y71" s="120">
        <f>'תקציב החברה לפיתוח 2024'!Y62</f>
        <v>0</v>
      </c>
      <c r="Z71" s="120">
        <f>'תקציב החברה לפיתוח 2024'!Z62</f>
        <v>0</v>
      </c>
      <c r="AA71" s="120">
        <f>'תקציב החברה לפיתוח 2024'!AA62</f>
        <v>0</v>
      </c>
      <c r="AB71" s="235" t="str">
        <f>'תקציב החברה לפיתוח 2024'!AB62</f>
        <v>בדיקת התכנות לבניית גנ"י במתחמים שונים ברחבי העיר בהתאם לצרכים העירוניים מעת לעת. 2024: כולל בדיקת היתכנות במגרשים 200-202 בגליל ים ג'.</v>
      </c>
      <c r="AC71" s="135">
        <f>'תקציב החברה לפיתוח 2024'!AC62</f>
        <v>810000</v>
      </c>
      <c r="AD71" s="134"/>
      <c r="AE71" s="134"/>
      <c r="AF71" s="134"/>
      <c r="AG71" s="134"/>
      <c r="AH71" s="134"/>
      <c r="AI71" s="134"/>
    </row>
    <row r="72" spans="1:39" s="5" customFormat="1" ht="45" customHeight="1">
      <c r="A72" s="135">
        <f t="shared" si="4"/>
        <v>65</v>
      </c>
      <c r="B72" s="135">
        <f>'תקציב החברה לפיתוח 2024'!B65</f>
        <v>2152</v>
      </c>
      <c r="C72" s="235" t="str">
        <f>'תקציב החברה לפיתוח 2024'!C65</f>
        <v>בית ספר בן צבי</v>
      </c>
      <c r="D72" s="120">
        <f>'תקציב החברה לפיתוח 2024'!D65</f>
        <v>16000000</v>
      </c>
      <c r="E72" s="120">
        <f>'תקציב החברה לפיתוח 2024'!E65</f>
        <v>16000000</v>
      </c>
      <c r="F72" s="120">
        <f>'תקציב החברה לפיתוח 2024'!F65</f>
        <v>0</v>
      </c>
      <c r="G72" s="120">
        <f>'תקציב החברה לפיתוח 2024'!G65</f>
        <v>1331810</v>
      </c>
      <c r="H72" s="120">
        <f>'תקציב החברה לפיתוח 2024'!H65</f>
        <v>1313273</v>
      </c>
      <c r="I72" s="120">
        <f>'תקציב החברה לפיתוח 2024'!I65</f>
        <v>0</v>
      </c>
      <c r="J72" s="120">
        <f>'תקציב החברה לפיתוח 2024'!J65</f>
        <v>0</v>
      </c>
      <c r="K72" s="120">
        <f>'תקציב החברה לפיתוח 2024'!K65</f>
        <v>0</v>
      </c>
      <c r="L72" s="120">
        <f>'תקציב החברה לפיתוח 2024'!L65</f>
        <v>1313273</v>
      </c>
      <c r="M72" s="120">
        <f>'תקציב החברה לפיתוח 2024'!M65</f>
        <v>18537</v>
      </c>
      <c r="N72" s="120">
        <f>'תקציב החברה לפיתוח 2024'!N65</f>
        <v>0</v>
      </c>
      <c r="O72" s="120">
        <f>'תקציב החברה לפיתוח 2024'!O65</f>
        <v>14668190</v>
      </c>
      <c r="P72" s="120">
        <f>'תקציב החברה לפיתוח 2024'!P65</f>
        <v>18537</v>
      </c>
      <c r="Q72" s="120">
        <f>'תקציב החברה לפיתוח 2024'!Q65</f>
        <v>0</v>
      </c>
      <c r="R72" s="120">
        <f>'תקציב החברה לפיתוח 2024'!R65</f>
        <v>0</v>
      </c>
      <c r="S72" s="120">
        <f>'תקציב החברה לפיתוח 2024'!S65</f>
        <v>0</v>
      </c>
      <c r="T72" s="120">
        <f>'תקציב החברה לפיתוח 2024'!T65</f>
        <v>0</v>
      </c>
      <c r="U72" s="120">
        <f>'תקציב החברה לפיתוח 2024'!U65</f>
        <v>0</v>
      </c>
      <c r="V72" s="120">
        <f>'תקציב החברה לפיתוח 2024'!V65</f>
        <v>0</v>
      </c>
      <c r="W72" s="120">
        <f>'תקציב החברה לפיתוח 2024'!W65</f>
        <v>0</v>
      </c>
      <c r="X72" s="120">
        <f>'תקציב החברה לפיתוח 2024'!X65</f>
        <v>0</v>
      </c>
      <c r="Y72" s="120">
        <f>'תקציב החברה לפיתוח 2024'!Y65</f>
        <v>0</v>
      </c>
      <c r="Z72" s="120">
        <f>'תקציב החברה לפיתוח 2024'!Z65</f>
        <v>0</v>
      </c>
      <c r="AA72" s="120">
        <f>'תקציב החברה לפיתוח 2024'!AA65</f>
        <v>0</v>
      </c>
      <c r="AB72" s="235" t="str">
        <f>'תקציב החברה לפיתוח 2024'!AB65</f>
        <v>הריסת מבני ספח והקמת מבנה חדש.תכנון ראשוני בי"ס בן צבי. תוספת 6 כיתות הרחבה ל - 24 כיתות.</v>
      </c>
      <c r="AC72" s="135">
        <f>'תקציב החברה לפיתוח 2024'!AC65</f>
        <v>810000</v>
      </c>
      <c r="AD72" s="134"/>
      <c r="AE72" s="134"/>
      <c r="AF72" s="134"/>
      <c r="AG72" s="134"/>
      <c r="AH72" s="134"/>
      <c r="AI72" s="134"/>
    </row>
    <row r="73" spans="1:39" s="5" customFormat="1" ht="45" customHeight="1">
      <c r="A73" s="135">
        <f t="shared" si="4"/>
        <v>66</v>
      </c>
      <c r="B73" s="135" t="e">
        <f>'תקציב החברה לפיתוח 2024'!#REF!</f>
        <v>#REF!</v>
      </c>
      <c r="C73" s="235" t="e">
        <f>'תקציב החברה לפיתוח 2024'!#REF!</f>
        <v>#REF!</v>
      </c>
      <c r="D73" s="120" t="e">
        <f>'תקציב החברה לפיתוח 2024'!#REF!</f>
        <v>#REF!</v>
      </c>
      <c r="E73" s="120" t="e">
        <f>'תקציב החברה לפיתוח 2024'!#REF!</f>
        <v>#REF!</v>
      </c>
      <c r="F73" s="120" t="e">
        <f>'תקציב החברה לפיתוח 2024'!#REF!</f>
        <v>#REF!</v>
      </c>
      <c r="G73" s="120" t="e">
        <f>'תקציב החברה לפיתוח 2024'!#REF!</f>
        <v>#REF!</v>
      </c>
      <c r="H73" s="120" t="e">
        <f>'תקציב החברה לפיתוח 2024'!#REF!</f>
        <v>#REF!</v>
      </c>
      <c r="I73" s="120" t="e">
        <f>'תקציב החברה לפיתוח 2024'!#REF!</f>
        <v>#REF!</v>
      </c>
      <c r="J73" s="120" t="e">
        <f>'תקציב החברה לפיתוח 2024'!#REF!</f>
        <v>#REF!</v>
      </c>
      <c r="K73" s="120" t="e">
        <f>'תקציב החברה לפיתוח 2024'!#REF!</f>
        <v>#REF!</v>
      </c>
      <c r="L73" s="120" t="e">
        <f>'תקציב החברה לפיתוח 2024'!#REF!</f>
        <v>#REF!</v>
      </c>
      <c r="M73" s="120" t="e">
        <f>'תקציב החברה לפיתוח 2024'!#REF!</f>
        <v>#REF!</v>
      </c>
      <c r="N73" s="120" t="e">
        <f>'תקציב החברה לפיתוח 2024'!#REF!</f>
        <v>#REF!</v>
      </c>
      <c r="O73" s="120" t="e">
        <f>'תקציב החברה לפיתוח 2024'!#REF!</f>
        <v>#REF!</v>
      </c>
      <c r="P73" s="120" t="e">
        <f>'תקציב החברה לפיתוח 2024'!#REF!</f>
        <v>#REF!</v>
      </c>
      <c r="Q73" s="120" t="e">
        <f>'תקציב החברה לפיתוח 2024'!#REF!</f>
        <v>#REF!</v>
      </c>
      <c r="R73" s="120" t="e">
        <f>'תקציב החברה לפיתוח 2024'!#REF!</f>
        <v>#REF!</v>
      </c>
      <c r="S73" s="120" t="e">
        <f>'תקציב החברה לפיתוח 2024'!#REF!</f>
        <v>#REF!</v>
      </c>
      <c r="T73" s="120" t="e">
        <f>'תקציב החברה לפיתוח 2024'!#REF!</f>
        <v>#REF!</v>
      </c>
      <c r="U73" s="120" t="e">
        <f>'תקציב החברה לפיתוח 2024'!#REF!</f>
        <v>#REF!</v>
      </c>
      <c r="V73" s="120" t="e">
        <f>'תקציב החברה לפיתוח 2024'!#REF!</f>
        <v>#REF!</v>
      </c>
      <c r="W73" s="120" t="e">
        <f>'תקציב החברה לפיתוח 2024'!#REF!</f>
        <v>#REF!</v>
      </c>
      <c r="X73" s="120" t="e">
        <f>'תקציב החברה לפיתוח 2024'!#REF!</f>
        <v>#REF!</v>
      </c>
      <c r="Y73" s="120" t="e">
        <f>'תקציב החברה לפיתוח 2024'!#REF!</f>
        <v>#REF!</v>
      </c>
      <c r="Z73" s="120" t="e">
        <f>'תקציב החברה לפיתוח 2024'!#REF!</f>
        <v>#REF!</v>
      </c>
      <c r="AA73" s="120" t="e">
        <f>'תקציב החברה לפיתוח 2024'!#REF!</f>
        <v>#REF!</v>
      </c>
      <c r="AB73" s="235" t="e">
        <f>'תקציב החברה לפיתוח 2024'!#REF!</f>
        <v>#REF!</v>
      </c>
      <c r="AC73" s="135" t="e">
        <f>'תקציב החברה לפיתוח 2024'!#REF!</f>
        <v>#REF!</v>
      </c>
      <c r="AD73" s="134"/>
      <c r="AE73" s="134"/>
      <c r="AF73" s="134"/>
      <c r="AG73" s="134"/>
      <c r="AH73" s="134"/>
      <c r="AI73" s="134"/>
    </row>
    <row r="74" spans="1:39" s="5" customFormat="1" ht="45" customHeight="1">
      <c r="A74" s="135">
        <f t="shared" si="4"/>
        <v>67</v>
      </c>
      <c r="B74" s="135">
        <f>'תקציב החברה לפיתוח 2024'!B68</f>
        <v>2175</v>
      </c>
      <c r="C74" s="235" t="str">
        <f>'תקציב החברה לפיתוח 2024'!C68</f>
        <v>גנ"י דוד השמעוני</v>
      </c>
      <c r="D74" s="120">
        <f>'תקציב החברה לפיתוח 2024'!D68</f>
        <v>21000000</v>
      </c>
      <c r="E74" s="120">
        <f>'תקציב החברה לפיתוח 2024'!E68</f>
        <v>21000000</v>
      </c>
      <c r="F74" s="120">
        <f>'תקציב החברה לפיתוח 2024'!F68</f>
        <v>0</v>
      </c>
      <c r="G74" s="120">
        <f>'תקציב החברה לפיתוח 2024'!G68</f>
        <v>17445297</v>
      </c>
      <c r="H74" s="120">
        <f>'תקציב החברה לפיתוח 2024'!H68</f>
        <v>17642170</v>
      </c>
      <c r="I74" s="120">
        <f>'תקציב החברה לפיתוח 2024'!I68</f>
        <v>0</v>
      </c>
      <c r="J74" s="120">
        <f>'תקציב החברה לפיתוח 2024'!J68</f>
        <v>0</v>
      </c>
      <c r="K74" s="120">
        <f>'תקציב החברה לפיתוח 2024'!K68</f>
        <v>0</v>
      </c>
      <c r="L74" s="120">
        <f>'תקציב החברה לפיתוח 2024'!L68</f>
        <v>17642170</v>
      </c>
      <c r="M74" s="120">
        <f>'תקציב החברה לפיתוח 2024'!M68</f>
        <v>3127</v>
      </c>
      <c r="N74" s="120">
        <f>'תקציב החברה לפיתוח 2024'!N68</f>
        <v>3354703</v>
      </c>
      <c r="O74" s="120">
        <f>'תקציב החברה לפיתוח 2024'!O68</f>
        <v>0</v>
      </c>
      <c r="P74" s="120">
        <f>'תקציב החברה לפיתוח 2024'!P68</f>
        <v>-196873</v>
      </c>
      <c r="Q74" s="120">
        <f>'תקציב החברה לפיתוח 2024'!Q68</f>
        <v>1500000</v>
      </c>
      <c r="R74" s="120">
        <f>'תקציב החברה לפיתוח 2024'!R68</f>
        <v>0</v>
      </c>
      <c r="S74" s="120">
        <f>'תקציב החברה לפיתוח 2024'!S68</f>
        <v>1500000</v>
      </c>
      <c r="T74" s="120">
        <f>'תקציב החברה לפיתוח 2024'!T68</f>
        <v>1300000</v>
      </c>
      <c r="U74" s="120">
        <f>'תקציב החברה לפיתוח 2024'!U68</f>
        <v>2054703</v>
      </c>
      <c r="V74" s="120">
        <f>'תקציב החברה לפיתוח 2024'!V68</f>
        <v>1488188</v>
      </c>
      <c r="W74" s="120">
        <f>'תקציב החברה לפיתוח 2024'!W68</f>
        <v>0</v>
      </c>
      <c r="X74" s="120">
        <f>'תקציב החברה לפיתוח 2024'!X68</f>
        <v>0</v>
      </c>
      <c r="Y74" s="120">
        <f>'תקציב החברה לפיתוח 2024'!Y68</f>
        <v>0</v>
      </c>
      <c r="Z74" s="120">
        <f>'תקציב החברה לפיתוח 2024'!Z68</f>
        <v>0</v>
      </c>
      <c r="AA74" s="120">
        <f>'תקציב החברה לפיתוח 2024'!AA68</f>
        <v>566515</v>
      </c>
      <c r="AB74" s="235" t="str">
        <f>'תקציב החברה לפיתוח 2024'!AB68</f>
        <v>תכנון וביצוע הקמת 5 כיתות גן במתחם השמעוני. מימון מ. החינוך. הצטיידות תב"ר 20044 בחינוך.</v>
      </c>
      <c r="AC74" s="135">
        <f>'תקציב החברה לפיתוח 2024'!AC68</f>
        <v>810000</v>
      </c>
      <c r="AD74" s="134"/>
      <c r="AE74" s="134"/>
      <c r="AF74" s="134"/>
      <c r="AG74" s="134"/>
      <c r="AH74" s="134"/>
      <c r="AI74" s="134"/>
    </row>
    <row r="75" spans="1:39" s="5" customFormat="1" ht="45" customHeight="1">
      <c r="A75" s="135">
        <f t="shared" si="4"/>
        <v>68</v>
      </c>
      <c r="B75" s="135">
        <f>'תקציב החברה לפיתוח 2024'!B70</f>
        <v>2182</v>
      </c>
      <c r="C75" s="235" t="str">
        <f>'תקציב החברה לפיתוח 2024'!C70</f>
        <v>תכנון שב"צ דן שומרון בי"ס על יסודי</v>
      </c>
      <c r="D75" s="120">
        <f>'תקציב החברה לפיתוח 2024'!D70</f>
        <v>3900000</v>
      </c>
      <c r="E75" s="120">
        <f>'תקציב החברה לפיתוח 2024'!E70</f>
        <v>3900000</v>
      </c>
      <c r="F75" s="120">
        <f>'תקציב החברה לפיתוח 2024'!F70</f>
        <v>0</v>
      </c>
      <c r="G75" s="120">
        <f>'תקציב החברה לפיתוח 2024'!G70</f>
        <v>2000000</v>
      </c>
      <c r="H75" s="120">
        <f>'תקציב החברה לפיתוח 2024'!H70</f>
        <v>1513466</v>
      </c>
      <c r="I75" s="120">
        <f>'תקציב החברה לפיתוח 2024'!I70</f>
        <v>0</v>
      </c>
      <c r="J75" s="120">
        <f>'תקציב החברה לפיתוח 2024'!J70</f>
        <v>0</v>
      </c>
      <c r="K75" s="120">
        <f>'תקציב החברה לפיתוח 2024'!K70</f>
        <v>0</v>
      </c>
      <c r="L75" s="120">
        <f>'תקציב החברה לפיתוח 2024'!L70</f>
        <v>1513466</v>
      </c>
      <c r="M75" s="120">
        <f>'תקציב החברה לפיתוח 2024'!M70</f>
        <v>6534</v>
      </c>
      <c r="N75" s="120">
        <f>'תקציב החברה לפיתוח 2024'!N70</f>
        <v>1030000</v>
      </c>
      <c r="O75" s="120">
        <f>'תקציב החברה לפיתוח 2024'!O70</f>
        <v>1350000</v>
      </c>
      <c r="P75" s="120">
        <f>'תקציב החברה לפיתוח 2024'!P70</f>
        <v>486534</v>
      </c>
      <c r="Q75" s="120">
        <f>'תקציב החברה לפיתוח 2024'!Q70</f>
        <v>350000</v>
      </c>
      <c r="R75" s="120">
        <f>'תקציב החברה לפיתוח 2024'!R70</f>
        <v>0</v>
      </c>
      <c r="S75" s="120">
        <f>'תקציב החברה לפיתוח 2024'!S70</f>
        <v>350000</v>
      </c>
      <c r="T75" s="120">
        <f>'תקציב החברה לפיתוח 2024'!T70</f>
        <v>830000</v>
      </c>
      <c r="U75" s="120">
        <f>'תקציב החברה לפיתוח 2024'!U70</f>
        <v>200000</v>
      </c>
      <c r="V75" s="120">
        <f>'תקציב החברה לפיתוח 2024'!V70</f>
        <v>200000</v>
      </c>
      <c r="W75" s="120">
        <f>'תקציב החברה לפיתוח 2024'!W70</f>
        <v>0</v>
      </c>
      <c r="X75" s="120">
        <f>'תקציב החברה לפיתוח 2024'!X70</f>
        <v>0</v>
      </c>
      <c r="Y75" s="120">
        <f>'תקציב החברה לפיתוח 2024'!Y70</f>
        <v>0</v>
      </c>
      <c r="Z75" s="120">
        <f>'תקציב החברה לפיתוח 2024'!Z70</f>
        <v>0</v>
      </c>
      <c r="AA75" s="120">
        <f>'תקציב החברה לפיתוח 2024'!AA70</f>
        <v>0</v>
      </c>
      <c r="AB75" s="235" t="str">
        <f>'תקציב החברה לפיתוח 2024'!AB70</f>
        <v>הקמת תיכון 30 כיתות בשב"צ דן שומרון גוש 656 חל' 991. תכנון.</v>
      </c>
      <c r="AC75" s="135">
        <f>'תקציב החברה לפיתוח 2024'!AC70</f>
        <v>810000</v>
      </c>
      <c r="AD75" s="134"/>
      <c r="AE75" s="134"/>
      <c r="AF75" s="134"/>
      <c r="AG75" s="134"/>
      <c r="AH75" s="134"/>
      <c r="AI75" s="134"/>
    </row>
    <row r="76" spans="1:39" s="5" customFormat="1" ht="45" customHeight="1">
      <c r="A76" s="135">
        <f t="shared" si="4"/>
        <v>69</v>
      </c>
      <c r="B76" s="135">
        <f>'תקציב החברה לפיתוח 2024'!B71</f>
        <v>2185</v>
      </c>
      <c r="C76" s="235" t="str">
        <f>'תקציב החברה לפיתוח 2024'!C71</f>
        <v>תוספת 6 כיתות לימוד בי"ס שז"ר</v>
      </c>
      <c r="D76" s="120">
        <f>'תקציב החברה לפיתוח 2024'!D71</f>
        <v>40000000</v>
      </c>
      <c r="E76" s="120">
        <f>'תקציב החברה לפיתוח 2024'!E71</f>
        <v>40000000</v>
      </c>
      <c r="F76" s="120">
        <f>'תקציב החברה לפיתוח 2024'!F71</f>
        <v>0</v>
      </c>
      <c r="G76" s="120">
        <f>'תקציב החברה לפיתוח 2024'!G71</f>
        <v>5387282</v>
      </c>
      <c r="H76" s="120">
        <f>'תקציב החברה לפיתוח 2024'!H71</f>
        <v>3549893</v>
      </c>
      <c r="I76" s="120">
        <f>'תקציב החברה לפיתוח 2024'!I71</f>
        <v>0</v>
      </c>
      <c r="J76" s="120">
        <f>'תקציב החברה לפיתוח 2024'!J71</f>
        <v>0</v>
      </c>
      <c r="K76" s="120">
        <f>'תקציב החברה לפיתוח 2024'!K71</f>
        <v>0</v>
      </c>
      <c r="L76" s="120">
        <f>'תקציב החברה לפיתוח 2024'!L71</f>
        <v>3549893</v>
      </c>
      <c r="M76" s="120">
        <f>'תקציב החברה לפיתוח 2024'!M71</f>
        <v>7389</v>
      </c>
      <c r="N76" s="120">
        <f>'תקציב החברה לפיתוח 2024'!N71</f>
        <v>5844093</v>
      </c>
      <c r="O76" s="120">
        <f>'תקציב החברה לפיתוח 2024'!O71</f>
        <v>30598625</v>
      </c>
      <c r="P76" s="120">
        <f>'תקציב החברה לפיתוח 2024'!P71</f>
        <v>1837389</v>
      </c>
      <c r="Q76" s="120">
        <f>'תקציב החברה לפיתוח 2024'!Q71</f>
        <v>0</v>
      </c>
      <c r="R76" s="120">
        <f>'תקציב החברה לפיתוח 2024'!R71</f>
        <v>0</v>
      </c>
      <c r="S76" s="120">
        <f>'תקציב החברה לפיתוח 2024'!S71</f>
        <v>0</v>
      </c>
      <c r="T76" s="120">
        <f>'תקציב החברה לפיתוח 2024'!T71</f>
        <v>1830000</v>
      </c>
      <c r="U76" s="120">
        <f>'תקציב החברה לפיתוח 2024'!U71</f>
        <v>4014093</v>
      </c>
      <c r="V76" s="120">
        <f>'תקציב החברה לפיתוח 2024'!V71</f>
        <v>4014093</v>
      </c>
      <c r="W76" s="120">
        <f>'תקציב החברה לפיתוח 2024'!W71</f>
        <v>0</v>
      </c>
      <c r="X76" s="120">
        <f>'תקציב החברה לפיתוח 2024'!X71</f>
        <v>0</v>
      </c>
      <c r="Y76" s="120">
        <f>'תקציב החברה לפיתוח 2024'!Y71</f>
        <v>0</v>
      </c>
      <c r="Z76" s="120">
        <f>'תקציב החברה לפיתוח 2024'!Z71</f>
        <v>0</v>
      </c>
      <c r="AA76" s="120">
        <f>'תקציב החברה לפיתוח 2024'!AA71</f>
        <v>0</v>
      </c>
      <c r="AB76" s="235" t="str">
        <f>'תקציב החברה לפיתוח 2024'!AB71</f>
        <v>אולם ספורט ותוספת 6 כיתות בי"ס שז"ר. מימון מ. החינוך.</v>
      </c>
      <c r="AC76" s="135">
        <f>'תקציב החברה לפיתוח 2024'!AC71</f>
        <v>810000</v>
      </c>
      <c r="AD76" s="134"/>
      <c r="AE76" s="134"/>
      <c r="AF76" s="134"/>
      <c r="AG76" s="134"/>
      <c r="AH76" s="134"/>
      <c r="AI76" s="134"/>
    </row>
    <row r="77" spans="1:39" customFormat="1" ht="55.2">
      <c r="A77" s="135">
        <f t="shared" si="4"/>
        <v>70</v>
      </c>
      <c r="B77" s="135">
        <f>'תקציב החברה לפיתוח 2024'!B78</f>
        <v>2201</v>
      </c>
      <c r="C77" s="235" t="str">
        <f>'תקציב החברה לפיתוח 2024'!C78</f>
        <v>מתחם בי"ס הנדיב</v>
      </c>
      <c r="D77" s="120">
        <f>'תקציב החברה לפיתוח 2024'!D78</f>
        <v>120000000</v>
      </c>
      <c r="E77" s="120">
        <f>'תקציב החברה לפיתוח 2024'!E78</f>
        <v>80000000</v>
      </c>
      <c r="F77" s="120">
        <f>'תקציב החברה לפיתוח 2024'!F78</f>
        <v>40000000</v>
      </c>
      <c r="G77" s="120">
        <f>'תקציב החברה לפיתוח 2024'!G78</f>
        <v>4500000</v>
      </c>
      <c r="H77" s="120">
        <f>'תקציב החברה לפיתוח 2024'!H78</f>
        <v>6690820</v>
      </c>
      <c r="I77" s="120">
        <f>'תקציב החברה לפיתוח 2024'!I78</f>
        <v>0</v>
      </c>
      <c r="J77" s="120">
        <f>'תקציב החברה לפיתוח 2024'!J78</f>
        <v>0</v>
      </c>
      <c r="K77" s="120">
        <f>'תקציב החברה לפיתוח 2024'!K78</f>
        <v>0</v>
      </c>
      <c r="L77" s="120">
        <f>'תקציב החברה לפיתוח 2024'!L78</f>
        <v>6690820</v>
      </c>
      <c r="M77" s="120">
        <f>'תקציב החברה לפיתוח 2024'!M78</f>
        <v>5935</v>
      </c>
      <c r="N77" s="120">
        <f>'תקציב החברה לפיתוח 2024'!N78</f>
        <v>18880000</v>
      </c>
      <c r="O77" s="120">
        <f>'תקציב החברה לפיתוח 2024'!O78</f>
        <v>94423245</v>
      </c>
      <c r="P77" s="120">
        <f>'תקציב החברה לפיתוח 2024'!P78</f>
        <v>-2190820</v>
      </c>
      <c r="Q77" s="120">
        <f>'תקציב החברה לפיתוח 2024'!Q78</f>
        <v>5076755</v>
      </c>
      <c r="R77" s="120">
        <f>'תקציב החברה לפיתוח 2024'!R78</f>
        <v>0</v>
      </c>
      <c r="S77" s="120">
        <f>'תקציב החברה לפיתוח 2024'!S78</f>
        <v>5076755</v>
      </c>
      <c r="T77" s="120">
        <f>'תקציב החברה לפיתוח 2024'!T78</f>
        <v>2880000</v>
      </c>
      <c r="U77" s="120">
        <f>'תקציב החברה לפיתוח 2024'!U78</f>
        <v>16000000</v>
      </c>
      <c r="V77" s="120">
        <f>'תקציב החברה לפיתוח 2024'!V78</f>
        <v>16000000</v>
      </c>
      <c r="W77" s="120">
        <f>'תקציב החברה לפיתוח 2024'!W78</f>
        <v>0</v>
      </c>
      <c r="X77" s="120">
        <f>'תקציב החברה לפיתוח 2024'!X78</f>
        <v>0</v>
      </c>
      <c r="Y77" s="120">
        <f>'תקציב החברה לפיתוח 2024'!Y78</f>
        <v>0</v>
      </c>
      <c r="Z77" s="120">
        <f>'תקציב החברה לפיתוח 2024'!Z78</f>
        <v>0</v>
      </c>
      <c r="AA77" s="120">
        <f>'תקציב החברה לפיתוח 2024'!AA78</f>
        <v>0</v>
      </c>
      <c r="AB77" s="235" t="str">
        <f>'תקציב החברה לפיתוח 2024'!AB78</f>
        <v>הריסת מבנים קיימים ובניה מתחם חדש:בי"ס יסודי 24 כיתות, 4 כיתות ח"מ, אולם ספורט, מגרש ספורט מוצלל, 4 כיתות גנ"י. מימון מ. החינוך.</v>
      </c>
      <c r="AC77" s="135">
        <f>'תקציב החברה לפיתוח 2024'!AC78</f>
        <v>810000</v>
      </c>
      <c r="AD77" s="134"/>
      <c r="AE77" s="134"/>
      <c r="AF77" s="134"/>
      <c r="AG77" s="134"/>
      <c r="AH77" s="134"/>
      <c r="AI77" s="134"/>
      <c r="AJ77" s="5"/>
      <c r="AK77" s="5"/>
      <c r="AL77" s="5"/>
      <c r="AM77" s="5"/>
    </row>
    <row r="78" spans="1:39" s="5" customFormat="1" ht="45" customHeight="1">
      <c r="A78" s="135">
        <f t="shared" si="4"/>
        <v>71</v>
      </c>
      <c r="B78" s="135">
        <f>'תקציב החברה לפיתוח 2024'!B79</f>
        <v>2202</v>
      </c>
      <c r="C78" s="235" t="str">
        <f>'תקציב החברה לפיתוח 2024'!C79</f>
        <v>בי"ס דמוקרטי</v>
      </c>
      <c r="D78" s="120">
        <f>'תקציב החברה לפיתוח 2024'!D79</f>
        <v>49000000</v>
      </c>
      <c r="E78" s="120">
        <f>'תקציב החברה לפיתוח 2024'!E79</f>
        <v>49000000</v>
      </c>
      <c r="F78" s="120">
        <f>'תקציב החברה לפיתוח 2024'!F79</f>
        <v>0</v>
      </c>
      <c r="G78" s="120">
        <f>'תקציב החברה לפיתוח 2024'!G79</f>
        <v>1200000</v>
      </c>
      <c r="H78" s="120">
        <f>'תקציב החברה לפיתוח 2024'!H79</f>
        <v>1195951</v>
      </c>
      <c r="I78" s="120">
        <f>'תקציב החברה לפיתוח 2024'!I79</f>
        <v>0</v>
      </c>
      <c r="J78" s="120">
        <f>'תקציב החברה לפיתוח 2024'!J79</f>
        <v>838</v>
      </c>
      <c r="K78" s="120">
        <f>'תקציב החברה לפיתוח 2024'!K79</f>
        <v>838</v>
      </c>
      <c r="L78" s="120">
        <f>'תקציב החברה לפיתוח 2024'!L79</f>
        <v>1196789</v>
      </c>
      <c r="M78" s="120">
        <f>'תקציב החברה לפיתוח 2024'!M79</f>
        <v>3211</v>
      </c>
      <c r="N78" s="120">
        <f>'תקציב החברה לפיתוח 2024'!N79</f>
        <v>0</v>
      </c>
      <c r="O78" s="120">
        <f>'תקציב החברה לפיתוח 2024'!O79</f>
        <v>47800000</v>
      </c>
      <c r="P78" s="120">
        <f>'תקציב החברה לפיתוח 2024'!P79</f>
        <v>3211</v>
      </c>
      <c r="Q78" s="120">
        <f>'תקציב החברה לפיתוח 2024'!Q79</f>
        <v>0</v>
      </c>
      <c r="R78" s="120">
        <f>'תקציב החברה לפיתוח 2024'!R79</f>
        <v>0</v>
      </c>
      <c r="S78" s="120">
        <f>'תקציב החברה לפיתוח 2024'!S79</f>
        <v>0</v>
      </c>
      <c r="T78" s="120">
        <f>'תקציב החברה לפיתוח 2024'!T79</f>
        <v>0</v>
      </c>
      <c r="U78" s="120">
        <f>'תקציב החברה לפיתוח 2024'!U79</f>
        <v>0</v>
      </c>
      <c r="V78" s="120">
        <f>'תקציב החברה לפיתוח 2024'!V79</f>
        <v>0</v>
      </c>
      <c r="W78" s="120">
        <f>'תקציב החברה לפיתוח 2024'!W79</f>
        <v>0</v>
      </c>
      <c r="X78" s="120">
        <f>'תקציב החברה לפיתוח 2024'!X79</f>
        <v>0</v>
      </c>
      <c r="Y78" s="120">
        <f>'תקציב החברה לפיתוח 2024'!Y79</f>
        <v>0</v>
      </c>
      <c r="Z78" s="120">
        <f>'תקציב החברה לפיתוח 2024'!Z79</f>
        <v>0</v>
      </c>
      <c r="AA78" s="120">
        <f>'תקציב החברה לפיתוח 2024'!AA79</f>
        <v>0</v>
      </c>
      <c r="AB78" s="235" t="str">
        <f>'תקציב החברה לפיתוח 2024'!AB79</f>
        <v xml:space="preserve">בדיקת היתכנות להקמת בי"ס יסודי 18 כיתות. </v>
      </c>
      <c r="AC78" s="135">
        <f>'תקציב החברה לפיתוח 2024'!AC79</f>
        <v>810000</v>
      </c>
      <c r="AD78" s="134"/>
      <c r="AE78" s="134"/>
      <c r="AF78" s="134"/>
      <c r="AG78" s="134"/>
      <c r="AH78" s="134"/>
      <c r="AI78" s="134"/>
    </row>
    <row r="79" spans="1:39" s="5" customFormat="1" ht="45" customHeight="1">
      <c r="A79" s="135">
        <f t="shared" si="4"/>
        <v>72</v>
      </c>
      <c r="B79" s="135">
        <f>'תקציב החברה לפיתוח 2024'!B81</f>
        <v>2205</v>
      </c>
      <c r="C79" s="235" t="str">
        <f>'תקציב החברה לפיתוח 2024'!C81</f>
        <v xml:space="preserve">תיכון היובל </v>
      </c>
      <c r="D79" s="120">
        <f>'תקציב החברה לפיתוח 2024'!D81</f>
        <v>18275000</v>
      </c>
      <c r="E79" s="120">
        <f>'תקציב החברה לפיתוח 2024'!E81</f>
        <v>18000000</v>
      </c>
      <c r="F79" s="120">
        <f>'תקציב החברה לפיתוח 2024'!F81</f>
        <v>275000</v>
      </c>
      <c r="G79" s="120">
        <f>'תקציב החברה לפיתוח 2024'!G81</f>
        <v>12000000</v>
      </c>
      <c r="H79" s="120">
        <f>'תקציב החברה לפיתוח 2024'!H81</f>
        <v>16546009</v>
      </c>
      <c r="I79" s="120">
        <f>'תקציב החברה לפיתוח 2024'!I81</f>
        <v>0</v>
      </c>
      <c r="J79" s="120">
        <f>'תקציב החברה לפיתוח 2024'!J81</f>
        <v>22511</v>
      </c>
      <c r="K79" s="120">
        <f>'תקציב החברה לפיתוח 2024'!K81</f>
        <v>22511</v>
      </c>
      <c r="L79" s="120">
        <f>'תקציב החברה לפיתוח 2024'!L81</f>
        <v>16568520</v>
      </c>
      <c r="M79" s="120">
        <f>'תקציב החברה לפיתוח 2024'!M81</f>
        <v>1480</v>
      </c>
      <c r="N79" s="120">
        <f>'תקציב החברה לפיתוח 2024'!N81</f>
        <v>1705000</v>
      </c>
      <c r="O79" s="120">
        <f>'תקציב החברה לפיתוח 2024'!O81</f>
        <v>0</v>
      </c>
      <c r="P79" s="120">
        <f>'תקציב החברה לפיתוח 2024'!P81</f>
        <v>-4568520</v>
      </c>
      <c r="Q79" s="120">
        <f>'תקציב החברה לפיתוח 2024'!Q81</f>
        <v>6000000</v>
      </c>
      <c r="R79" s="120">
        <f>'תקציב החברה לפיתוח 2024'!R81</f>
        <v>0</v>
      </c>
      <c r="S79" s="120">
        <f>'תקציב החברה לפיתוח 2024'!S81</f>
        <v>6000000</v>
      </c>
      <c r="T79" s="120">
        <f>'תקציב החברה לפיתוח 2024'!T81</f>
        <v>1430000</v>
      </c>
      <c r="U79" s="120">
        <f>'תקציב החברה לפיתוח 2024'!U81</f>
        <v>275000</v>
      </c>
      <c r="V79" s="120">
        <f>'תקציב החברה לפיתוח 2024'!V81</f>
        <v>275000</v>
      </c>
      <c r="W79" s="120">
        <f>'תקציב החברה לפיתוח 2024'!W81</f>
        <v>0</v>
      </c>
      <c r="X79" s="120">
        <f>'תקציב החברה לפיתוח 2024'!X81</f>
        <v>0</v>
      </c>
      <c r="Y79" s="120">
        <f>'תקציב החברה לפיתוח 2024'!Y81</f>
        <v>0</v>
      </c>
      <c r="Z79" s="120">
        <f>'תקציב החברה לפיתוח 2024'!Z81</f>
        <v>0</v>
      </c>
      <c r="AA79" s="120">
        <f>'תקציב החברה לפיתוח 2024'!AA81</f>
        <v>0</v>
      </c>
      <c r="AB79" s="235" t="str">
        <f>'תקציב החברה לפיתוח 2024'!AB81</f>
        <v>תכנון וביצוע של תוספת 6 כיתות ומעבדות בתיכון היובל. קדם מימון מ. החינוך.</v>
      </c>
      <c r="AC79" s="135">
        <f>'תקציב החברה לפיתוח 2024'!AC81</f>
        <v>810000</v>
      </c>
      <c r="AD79" s="134"/>
      <c r="AE79" s="134"/>
      <c r="AF79" s="134"/>
      <c r="AG79" s="134"/>
      <c r="AH79" s="134"/>
      <c r="AI79" s="134"/>
    </row>
    <row r="80" spans="1:39" s="5" customFormat="1" ht="45" customHeight="1">
      <c r="A80" s="135">
        <f t="shared" si="4"/>
        <v>73</v>
      </c>
      <c r="B80" s="135">
        <f>'תקציב החברה לפיתוח 2024'!B82</f>
        <v>2206</v>
      </c>
      <c r="C80" s="235" t="str">
        <f>'תקציב החברה לפיתוח 2024'!C82</f>
        <v>חט"ב באלתרמן</v>
      </c>
      <c r="D80" s="120">
        <f>'תקציב החברה לפיתוח 2024'!D82</f>
        <v>92000000</v>
      </c>
      <c r="E80" s="120">
        <f>'תקציב החברה לפיתוח 2024'!E82</f>
        <v>92000000</v>
      </c>
      <c r="F80" s="120">
        <f>'תקציב החברה לפיתוח 2024'!F82</f>
        <v>0</v>
      </c>
      <c r="G80" s="120">
        <f>'תקציב החברה לפיתוח 2024'!G82</f>
        <v>2273187</v>
      </c>
      <c r="H80" s="120">
        <f>'תקציב החברה לפיתוח 2024'!H82</f>
        <v>2849931</v>
      </c>
      <c r="I80" s="120">
        <f>'תקציב החברה לפיתוח 2024'!I82</f>
        <v>0</v>
      </c>
      <c r="J80" s="120">
        <f>'תקציב החברה לפיתוח 2024'!J82</f>
        <v>0</v>
      </c>
      <c r="K80" s="120">
        <f>'תקציב החברה לפיתוח 2024'!K82</f>
        <v>0</v>
      </c>
      <c r="L80" s="120">
        <f>'תקציב החברה לפיתוח 2024'!L82</f>
        <v>2849931</v>
      </c>
      <c r="M80" s="120">
        <f>'תקציב החברה לפיתוח 2024'!M82</f>
        <v>16620</v>
      </c>
      <c r="N80" s="120">
        <f>'תקציב החברה לפיתוח 2024'!N82</f>
        <v>13000000</v>
      </c>
      <c r="O80" s="120">
        <f>'תקציב החברה לפיתוח 2024'!O82</f>
        <v>76133449</v>
      </c>
      <c r="P80" s="120">
        <f>'תקציב החברה לפיתוח 2024'!P82</f>
        <v>-576744</v>
      </c>
      <c r="Q80" s="120">
        <f>'תקציב החברה לפיתוח 2024'!Q82</f>
        <v>593364</v>
      </c>
      <c r="R80" s="120">
        <f>'תקציב החברה לפיתוח 2024'!R82</f>
        <v>0</v>
      </c>
      <c r="S80" s="120">
        <f>'תקציב החברה לפיתוח 2024'!S82</f>
        <v>593364</v>
      </c>
      <c r="T80" s="120">
        <f>'תקציב החברה לפיתוח 2024'!T82</f>
        <v>0</v>
      </c>
      <c r="U80" s="120">
        <f>'תקציב החברה לפיתוח 2024'!U82</f>
        <v>13000000</v>
      </c>
      <c r="V80" s="120">
        <f>'תקציב החברה לפיתוח 2024'!V82</f>
        <v>13000000</v>
      </c>
      <c r="W80" s="120">
        <f>'תקציב החברה לפיתוח 2024'!W82</f>
        <v>0</v>
      </c>
      <c r="X80" s="120">
        <f>'תקציב החברה לפיתוח 2024'!X82</f>
        <v>0</v>
      </c>
      <c r="Y80" s="120">
        <f>'תקציב החברה לפיתוח 2024'!Y82</f>
        <v>0</v>
      </c>
      <c r="Z80" s="120">
        <f>'תקציב החברה לפיתוח 2024'!Z82</f>
        <v>0</v>
      </c>
      <c r="AA80" s="120">
        <f>'תקציב החברה לפיתוח 2024'!AA82</f>
        <v>0</v>
      </c>
      <c r="AB80" s="235" t="str">
        <f>'תקציב החברה לפיתוח 2024'!AB82</f>
        <v>תכנון חט"ב חדשה 24 כיתות באלתרמן. מימון מ. החינוך.</v>
      </c>
      <c r="AC80" s="135">
        <f>'תקציב החברה לפיתוח 2024'!AC82</f>
        <v>810000</v>
      </c>
      <c r="AD80" s="134"/>
      <c r="AE80" s="134"/>
      <c r="AF80" s="134"/>
      <c r="AG80" s="134"/>
      <c r="AH80" s="134"/>
      <c r="AI80" s="134"/>
    </row>
    <row r="81" spans="1:39" s="5" customFormat="1" ht="45" customHeight="1">
      <c r="A81" s="135">
        <f t="shared" si="4"/>
        <v>74</v>
      </c>
      <c r="B81" s="135">
        <f>'תקציב החברה לפיתוח 2024'!B84</f>
        <v>2209</v>
      </c>
      <c r="C81" s="235" t="str">
        <f>'תקציב החברה לפיתוח 2024'!C84</f>
        <v>בית ספר ברנר (תוספת 6 כיתות)</v>
      </c>
      <c r="D81" s="120">
        <f>'תקציב החברה לפיתוח 2024'!D84</f>
        <v>46500000</v>
      </c>
      <c r="E81" s="120">
        <f>'תקציב החברה לפיתוח 2024'!E84</f>
        <v>46500000</v>
      </c>
      <c r="F81" s="120">
        <f>'תקציב החברה לפיתוח 2024'!F84</f>
        <v>0</v>
      </c>
      <c r="G81" s="120">
        <f>'תקציב החברה לפיתוח 2024'!G84</f>
        <v>1500000</v>
      </c>
      <c r="H81" s="120">
        <f>'תקציב החברה לפיתוח 2024'!H84</f>
        <v>1045608</v>
      </c>
      <c r="I81" s="120">
        <f>'תקציב החברה לפיתוח 2024'!I84</f>
        <v>0</v>
      </c>
      <c r="J81" s="120">
        <f>'תקציב החברה לפיתוח 2024'!J84</f>
        <v>0</v>
      </c>
      <c r="K81" s="120">
        <f>'תקציב החברה לפיתוח 2024'!K84</f>
        <v>0</v>
      </c>
      <c r="L81" s="120">
        <f>'תקציב החברה לפיתוח 2024'!L84</f>
        <v>1045608</v>
      </c>
      <c r="M81" s="120">
        <f>'תקציב החברה לפיתוח 2024'!M84</f>
        <v>4392</v>
      </c>
      <c r="N81" s="120">
        <f>'תקציב החברה לפיתוח 2024'!N84</f>
        <v>5000000</v>
      </c>
      <c r="O81" s="120">
        <f>'תקציב החברה לפיתוח 2024'!O84</f>
        <v>40450000</v>
      </c>
      <c r="P81" s="120">
        <f>'תקציב החברה לפיתוח 2024'!P84</f>
        <v>454392</v>
      </c>
      <c r="Q81" s="120">
        <f>'תקציב החברה לפיתוח 2024'!Q84</f>
        <v>0</v>
      </c>
      <c r="R81" s="120">
        <f>'תקציב החברה לפיתוח 2024'!R84</f>
        <v>0</v>
      </c>
      <c r="S81" s="120">
        <f>'תקציב החברה לפיתוח 2024'!S84</f>
        <v>0</v>
      </c>
      <c r="T81" s="120">
        <f>'תקציב החברה לפיתוח 2024'!T84</f>
        <v>450000</v>
      </c>
      <c r="U81" s="120">
        <f>'תקציב החברה לפיתוח 2024'!U84</f>
        <v>4550000</v>
      </c>
      <c r="V81" s="120">
        <f>'תקציב החברה לפיתוח 2024'!V84</f>
        <v>4550000</v>
      </c>
      <c r="W81" s="120">
        <f>'תקציב החברה לפיתוח 2024'!W84</f>
        <v>0</v>
      </c>
      <c r="X81" s="120">
        <f>'תקציב החברה לפיתוח 2024'!X84</f>
        <v>0</v>
      </c>
      <c r="Y81" s="120">
        <f>'תקציב החברה לפיתוח 2024'!Y84</f>
        <v>0</v>
      </c>
      <c r="Z81" s="120">
        <f>'תקציב החברה לפיתוח 2024'!Z84</f>
        <v>0</v>
      </c>
      <c r="AA81" s="120">
        <f>'תקציב החברה לפיתוח 2024'!AA84</f>
        <v>0</v>
      </c>
      <c r="AB81" s="235" t="str">
        <f>'תקציב החברה לפיתוח 2024'!AB84</f>
        <v>תכנון וביצוע תוספת 8 כיתות בי"ס ברנר ובניית אולם ספורט.</v>
      </c>
      <c r="AC81" s="135">
        <f>'תקציב החברה לפיתוח 2024'!AC84</f>
        <v>810000</v>
      </c>
      <c r="AD81" s="134"/>
      <c r="AE81" s="134"/>
      <c r="AF81" s="134"/>
      <c r="AG81" s="134"/>
      <c r="AH81" s="134"/>
      <c r="AI81" s="134"/>
    </row>
    <row r="82" spans="1:39" s="5" customFormat="1" ht="45" customHeight="1">
      <c r="A82" s="135">
        <f t="shared" si="4"/>
        <v>75</v>
      </c>
      <c r="B82" s="135">
        <f>'תקציב החברה לפיתוח 2024'!B91</f>
        <v>20010</v>
      </c>
      <c r="C82" s="235" t="str">
        <f>'תקציב החברה לפיתוח 2024'!C91</f>
        <v>גנ"י אחד העם</v>
      </c>
      <c r="D82" s="120">
        <f>'תקציב החברה לפיתוח 2024'!D91</f>
        <v>7000000</v>
      </c>
      <c r="E82" s="120">
        <f>'תקציב החברה לפיתוח 2024'!E91</f>
        <v>7000000</v>
      </c>
      <c r="F82" s="120">
        <f>'תקציב החברה לפיתוח 2024'!F91</f>
        <v>0</v>
      </c>
      <c r="G82" s="120">
        <f>'תקציב החברה לפיתוח 2024'!G91</f>
        <v>500000</v>
      </c>
      <c r="H82" s="120">
        <f>'תקציב החברה לפיתוח 2024'!H91</f>
        <v>39342</v>
      </c>
      <c r="I82" s="120">
        <f>'תקציב החברה לפיתוח 2024'!I91</f>
        <v>0</v>
      </c>
      <c r="J82" s="120">
        <f>'תקציב החברה לפיתוח 2024'!J91</f>
        <v>0</v>
      </c>
      <c r="K82" s="120">
        <f>'תקציב החברה לפיתוח 2024'!K91</f>
        <v>0</v>
      </c>
      <c r="L82" s="120">
        <f>'תקציב החברה לפיתוח 2024'!L91</f>
        <v>39342</v>
      </c>
      <c r="M82" s="120">
        <f>'תקציב החברה לפיתוח 2024'!M91</f>
        <v>0</v>
      </c>
      <c r="N82" s="120">
        <f>'תקציב החברה לפיתוח 2024'!N91</f>
        <v>0</v>
      </c>
      <c r="O82" s="120">
        <f>'תקציב החברה לפיתוח 2024'!O91</f>
        <v>6960658</v>
      </c>
      <c r="P82" s="120">
        <f>'תקציב החברה לפיתוח 2024'!P91</f>
        <v>460658</v>
      </c>
      <c r="Q82" s="120">
        <f>'תקציב החברה לפיתוח 2024'!Q91</f>
        <v>0</v>
      </c>
      <c r="R82" s="120">
        <f>'תקציב החברה לפיתוח 2024'!R91</f>
        <v>0</v>
      </c>
      <c r="S82" s="120">
        <f>'תקציב החברה לפיתוח 2024'!S91</f>
        <v>0</v>
      </c>
      <c r="T82" s="120">
        <f>'תקציב החברה לפיתוח 2024'!T91</f>
        <v>460658</v>
      </c>
      <c r="U82" s="120">
        <f>'תקציב החברה לפיתוח 2024'!U91</f>
        <v>-460658</v>
      </c>
      <c r="V82" s="120">
        <f>'תקציב החברה לפיתוח 2024'!V91</f>
        <v>-460658</v>
      </c>
      <c r="W82" s="120">
        <f>'תקציב החברה לפיתוח 2024'!W91</f>
        <v>0</v>
      </c>
      <c r="X82" s="120">
        <f>'תקציב החברה לפיתוח 2024'!X91</f>
        <v>0</v>
      </c>
      <c r="Y82" s="120">
        <f>'תקציב החברה לפיתוח 2024'!Y91</f>
        <v>0</v>
      </c>
      <c r="Z82" s="120">
        <f>'תקציב החברה לפיתוח 2024'!Z91</f>
        <v>0</v>
      </c>
      <c r="AA82" s="120">
        <f>'תקציב החברה לפיתוח 2024'!AA91</f>
        <v>0</v>
      </c>
      <c r="AB82" s="235" t="str">
        <f>'תקציב החברה לפיתוח 2024'!AB91</f>
        <v>תכנון וביצוע 2 גנ"י. סגירת תב"ר.</v>
      </c>
      <c r="AC82" s="135">
        <f>'תקציב החברה לפיתוח 2024'!AC91</f>
        <v>810000</v>
      </c>
      <c r="AD82" s="134"/>
      <c r="AE82" s="134"/>
      <c r="AF82" s="134"/>
      <c r="AG82" s="134"/>
      <c r="AH82" s="134"/>
      <c r="AI82" s="134"/>
    </row>
    <row r="83" spans="1:39" s="5" customFormat="1" ht="45" customHeight="1">
      <c r="A83" s="135">
        <f t="shared" si="4"/>
        <v>76</v>
      </c>
      <c r="B83" s="135">
        <f>'תקציב החברה לפיתוח 2024'!B92</f>
        <v>20011</v>
      </c>
      <c r="C83" s="235" t="str">
        <f>'תקציב החברה לפיתוח 2024'!C92</f>
        <v>גנ"י ומעון יום שיקומי  חנה רובינא (*) עדכון</v>
      </c>
      <c r="D83" s="120">
        <f>'תקציב החברה לפיתוח 2024'!D92</f>
        <v>21500000</v>
      </c>
      <c r="E83" s="120">
        <f>'תקציב החברה לפיתוח 2024'!E92</f>
        <v>18500000</v>
      </c>
      <c r="F83" s="120">
        <f>'תקציב החברה לפיתוח 2024'!F92</f>
        <v>3000000</v>
      </c>
      <c r="G83" s="120">
        <f>'תקציב החברה לפיתוח 2024'!G92</f>
        <v>600000</v>
      </c>
      <c r="H83" s="120">
        <f>'תקציב החברה לפיתוח 2024'!H92</f>
        <v>881319</v>
      </c>
      <c r="I83" s="120">
        <f>'תקציב החברה לפיתוח 2024'!I92</f>
        <v>0</v>
      </c>
      <c r="J83" s="120">
        <f>'תקציב החברה לפיתוח 2024'!J92</f>
        <v>0</v>
      </c>
      <c r="K83" s="120">
        <f>'תקציב החברה לפיתוח 2024'!K92</f>
        <v>0</v>
      </c>
      <c r="L83" s="120">
        <f>'תקציב החברה לפיתוח 2024'!L92</f>
        <v>881319</v>
      </c>
      <c r="M83" s="120">
        <f>'תקציב החברה לפיתוח 2024'!M92</f>
        <v>8681</v>
      </c>
      <c r="N83" s="120">
        <f>'תקציב החברה לפיתוח 2024'!N92</f>
        <v>6110000</v>
      </c>
      <c r="O83" s="120">
        <f>'תקציב החברה לפיתוח 2024'!O92</f>
        <v>14500000</v>
      </c>
      <c r="P83" s="120">
        <f>'תקציב החברה לפיתוח 2024'!P92</f>
        <v>-281319</v>
      </c>
      <c r="Q83" s="120">
        <f>'תקציב החברה לפיתוח 2024'!Q92</f>
        <v>400000</v>
      </c>
      <c r="R83" s="120">
        <f>'תקציב החברה לפיתוח 2024'!R92</f>
        <v>0</v>
      </c>
      <c r="S83" s="120">
        <f>'תקציב החברה לפיתוח 2024'!S92</f>
        <v>400000</v>
      </c>
      <c r="T83" s="120">
        <f>'תקציב החברה לפיתוח 2024'!T92</f>
        <v>110000</v>
      </c>
      <c r="U83" s="120">
        <f>'תקציב החברה לפיתוח 2024'!U92</f>
        <v>6000000</v>
      </c>
      <c r="V83" s="120">
        <f>'תקציב החברה לפיתוח 2024'!V92</f>
        <v>500490</v>
      </c>
      <c r="W83" s="120">
        <f>'תקציב החברה לפיתוח 2024'!W92</f>
        <v>0</v>
      </c>
      <c r="X83" s="120">
        <f>'תקציב החברה לפיתוח 2024'!X92</f>
        <v>0</v>
      </c>
      <c r="Y83" s="120">
        <f>'תקציב החברה לפיתוח 2024'!Y92</f>
        <v>0</v>
      </c>
      <c r="Z83" s="120">
        <f>'תקציב החברה לפיתוח 2024'!Z92</f>
        <v>0</v>
      </c>
      <c r="AA83" s="120">
        <f>'תקציב החברה לפיתוח 2024'!AA92</f>
        <v>5499510</v>
      </c>
      <c r="AB83" s="235" t="str">
        <f>'תקציב החברה לפיתוח 2024'!AB92</f>
        <v xml:space="preserve"> בניה 2 כיתות גנ"י ו3 כיתות  מעון יום שיקומי בחנה רובינא. מימון מ. החינוך, קרן שלם והמוסד לב.לאומי. הצטיידות גם בתב"ר 20044 בחינוך. עדכון שם.</v>
      </c>
      <c r="AC83" s="135">
        <f>'תקציב החברה לפיתוח 2024'!AC92</f>
        <v>810000</v>
      </c>
      <c r="AD83" s="134"/>
      <c r="AE83" s="134"/>
      <c r="AF83" s="134"/>
      <c r="AG83" s="134"/>
      <c r="AH83" s="134"/>
      <c r="AI83" s="134"/>
    </row>
    <row r="84" spans="1:39" s="5" customFormat="1" ht="45" customHeight="1">
      <c r="A84" s="135">
        <f t="shared" si="4"/>
        <v>77</v>
      </c>
      <c r="B84" s="135">
        <f>'תקציב החברה לפיתוח 2024'!B93</f>
        <v>20013</v>
      </c>
      <c r="C84" s="235" t="str">
        <f>'תקציב החברה לפיתוח 2024'!C93</f>
        <v>גנ"י ומעונות יום רח' הזמר העברי מתחם המסילה</v>
      </c>
      <c r="D84" s="120">
        <f>'תקציב החברה לפיתוח 2024'!D93</f>
        <v>1000000</v>
      </c>
      <c r="E84" s="120">
        <f>'תקציב החברה לפיתוח 2024'!E93</f>
        <v>1000000</v>
      </c>
      <c r="F84" s="120">
        <f>'תקציב החברה לפיתוח 2024'!F93</f>
        <v>0</v>
      </c>
      <c r="G84" s="120">
        <f>'תקציב החברה לפיתוח 2024'!G93</f>
        <v>550000</v>
      </c>
      <c r="H84" s="120">
        <f>'תקציב החברה לפיתוח 2024'!H93</f>
        <v>637852</v>
      </c>
      <c r="I84" s="120">
        <f>'תקציב החברה לפיתוח 2024'!I93</f>
        <v>0</v>
      </c>
      <c r="J84" s="120">
        <f>'תקציב החברה לפיתוח 2024'!J93</f>
        <v>0</v>
      </c>
      <c r="K84" s="120">
        <f>'תקציב החברה לפיתוח 2024'!K93</f>
        <v>0</v>
      </c>
      <c r="L84" s="120">
        <f>'תקציב החברה לפיתוח 2024'!L93</f>
        <v>637852</v>
      </c>
      <c r="M84" s="120">
        <f>'תקציב החברה לפיתוח 2024'!M93</f>
        <v>2148</v>
      </c>
      <c r="N84" s="120">
        <f>'תקציב החברה לפיתוח 2024'!N93</f>
        <v>360000</v>
      </c>
      <c r="O84" s="120">
        <f>'תקציב החברה לפיתוח 2024'!O93</f>
        <v>0</v>
      </c>
      <c r="P84" s="120">
        <f>'תקציב החברה לפיתוח 2024'!P93</f>
        <v>-87852</v>
      </c>
      <c r="Q84" s="120">
        <f>'תקציב החברה לפיתוח 2024'!Q93</f>
        <v>450000</v>
      </c>
      <c r="R84" s="120">
        <f>'תקציב החברה לפיתוח 2024'!R93</f>
        <v>0</v>
      </c>
      <c r="S84" s="120">
        <f>'תקציב החברה לפיתוח 2024'!S93</f>
        <v>450000</v>
      </c>
      <c r="T84" s="120">
        <f>'תקציב החברה לפיתוח 2024'!T93</f>
        <v>360000</v>
      </c>
      <c r="U84" s="120">
        <f>'תקציב החברה לפיתוח 2024'!U93</f>
        <v>0</v>
      </c>
      <c r="V84" s="120">
        <f>'תקציב החברה לפיתוח 2024'!V93</f>
        <v>0</v>
      </c>
      <c r="W84" s="120">
        <f>'תקציב החברה לפיתוח 2024'!W93</f>
        <v>0</v>
      </c>
      <c r="X84" s="120">
        <f>'תקציב החברה לפיתוח 2024'!X93</f>
        <v>0</v>
      </c>
      <c r="Y84" s="120">
        <f>'תקציב החברה לפיתוח 2024'!Y93</f>
        <v>0</v>
      </c>
      <c r="Z84" s="120">
        <f>'תקציב החברה לפיתוח 2024'!Z93</f>
        <v>0</v>
      </c>
      <c r="AA84" s="120">
        <f>'תקציב החברה לפיתוח 2024'!AA93</f>
        <v>0</v>
      </c>
      <c r="AB84" s="235" t="str">
        <f>'תקציב החברה לפיתוח 2024'!AB93</f>
        <v>תכנון 4 גנ"י ומעונות יום במתחם המסילה.</v>
      </c>
      <c r="AC84" s="135">
        <f>'תקציב החברה לפיתוח 2024'!AC93</f>
        <v>810000</v>
      </c>
      <c r="AD84" s="134"/>
      <c r="AE84" s="134"/>
      <c r="AF84" s="134"/>
      <c r="AG84" s="134"/>
      <c r="AH84" s="134"/>
      <c r="AI84" s="134"/>
    </row>
    <row r="85" spans="1:39" s="5" customFormat="1" ht="45" customHeight="1">
      <c r="A85" s="135">
        <f t="shared" si="4"/>
        <v>78</v>
      </c>
      <c r="B85" s="135">
        <f>'תקציב החברה לפיתוח 2024'!B123</f>
        <v>1908</v>
      </c>
      <c r="C85" s="235" t="str">
        <f>'תקציב החברה לפיתוח 2024'!C123</f>
        <v>כיתות מעון וגן שטח 303 גליל ים א'</v>
      </c>
      <c r="D85" s="120">
        <f>'תקציב החברה לפיתוח 2024'!D123</f>
        <v>19053647</v>
      </c>
      <c r="E85" s="120">
        <f>'תקציב החברה לפיתוח 2024'!E123</f>
        <v>19054496</v>
      </c>
      <c r="F85" s="120">
        <f>'תקציב החברה לפיתוח 2024'!F123</f>
        <v>-849</v>
      </c>
      <c r="G85" s="120">
        <f>'תקציב החברה לפיתוח 2024'!G123</f>
        <v>19054496</v>
      </c>
      <c r="H85" s="120">
        <f>'תקציב החברה לפיתוח 2024'!H123</f>
        <v>19053647</v>
      </c>
      <c r="I85" s="120">
        <f>'תקציב החברה לפיתוח 2024'!I123</f>
        <v>0</v>
      </c>
      <c r="J85" s="120">
        <f>'תקציב החברה לפיתוח 2024'!J123</f>
        <v>0</v>
      </c>
      <c r="K85" s="120">
        <f>'תקציב החברה לפיתוח 2024'!K123</f>
        <v>0</v>
      </c>
      <c r="L85" s="120">
        <f>'תקציב החברה לפיתוח 2024'!L123</f>
        <v>19053647</v>
      </c>
      <c r="M85" s="120">
        <f>'תקציב החברה לפיתוח 2024'!M123</f>
        <v>0</v>
      </c>
      <c r="N85" s="120">
        <f>'תקציב החברה לפיתוח 2024'!N123</f>
        <v>0</v>
      </c>
      <c r="O85" s="120">
        <f>'תקציב החברה לפיתוח 2024'!O123</f>
        <v>0</v>
      </c>
      <c r="P85" s="120">
        <f>'תקציב החברה לפיתוח 2024'!P123</f>
        <v>849</v>
      </c>
      <c r="Q85" s="120">
        <f>'תקציב החברה לפיתוח 2024'!Q123</f>
        <v>0</v>
      </c>
      <c r="R85" s="120">
        <f>'תקציב החברה לפיתוח 2024'!R123</f>
        <v>0</v>
      </c>
      <c r="S85" s="120">
        <f>'תקציב החברה לפיתוח 2024'!S123</f>
        <v>0</v>
      </c>
      <c r="T85" s="120">
        <f>'תקציב החברה לפיתוח 2024'!T123</f>
        <v>849</v>
      </c>
      <c r="U85" s="120">
        <f>'תקציב החברה לפיתוח 2024'!U123</f>
        <v>-849</v>
      </c>
      <c r="V85" s="120">
        <f>'תקציב החברה לפיתוח 2024'!V123</f>
        <v>-849</v>
      </c>
      <c r="W85" s="120">
        <f>'תקציב החברה לפיתוח 2024'!W123</f>
        <v>0</v>
      </c>
      <c r="X85" s="120">
        <f>'תקציב החברה לפיתוח 2024'!X123</f>
        <v>0</v>
      </c>
      <c r="Y85" s="120">
        <f>'תקציב החברה לפיתוח 2024'!Y123</f>
        <v>0</v>
      </c>
      <c r="Z85" s="120">
        <f>'תקציב החברה לפיתוח 2024'!Z123</f>
        <v>0</v>
      </c>
      <c r="AA85" s="120">
        <f>'תקציב החברה לפיתוח 2024'!AA123</f>
        <v>0</v>
      </c>
      <c r="AB85" s="235" t="str">
        <f>'תקציב החברה לפיתוח 2024'!AB123</f>
        <v xml:space="preserve"> כיתות גן (7) . הפרויקט הסתים . סגירת תב"ר.</v>
      </c>
      <c r="AC85" s="135">
        <f>'תקציב החברה לפיתוח 2024'!AC123</f>
        <v>810000</v>
      </c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</row>
    <row r="86" spans="1:39" s="5" customFormat="1" ht="55.2">
      <c r="A86" s="135">
        <f t="shared" si="4"/>
        <v>79</v>
      </c>
      <c r="B86" s="135">
        <f>'תקציב החברה לפיתוח 2024'!B124</f>
        <v>1909</v>
      </c>
      <c r="C86" s="235" t="str">
        <f>'תקציב החברה לפיתוח 2024'!C124</f>
        <v xml:space="preserve">שטח 408 גליל ים ב'-גנ"י, בי"ס, ספריה </v>
      </c>
      <c r="D86" s="120">
        <f>'תקציב החברה לפיתוח 2024'!D124</f>
        <v>184500000</v>
      </c>
      <c r="E86" s="120">
        <f>'תקציב החברה לפיתוח 2024'!E124</f>
        <v>184500000</v>
      </c>
      <c r="F86" s="120">
        <f>'תקציב החברה לפיתוח 2024'!F124</f>
        <v>0</v>
      </c>
      <c r="G86" s="120">
        <f>'תקציב החברה לפיתוח 2024'!G124</f>
        <v>169145785</v>
      </c>
      <c r="H86" s="120">
        <f>'תקציב החברה לפיתוח 2024'!H124</f>
        <v>169128282</v>
      </c>
      <c r="I86" s="120">
        <f>'תקציב החברה לפיתוח 2024'!I124</f>
        <v>0</v>
      </c>
      <c r="J86" s="120">
        <f>'תקציב החברה לפיתוח 2024'!J124</f>
        <v>0</v>
      </c>
      <c r="K86" s="120">
        <f>'תקציב החברה לפיתוח 2024'!K124</f>
        <v>0</v>
      </c>
      <c r="L86" s="120">
        <f>'תקציב החברה לפיתוח 2024'!L124</f>
        <v>169128282</v>
      </c>
      <c r="M86" s="120">
        <f>'תקציב החברה לפיתוח 2024'!M124</f>
        <v>2503</v>
      </c>
      <c r="N86" s="120">
        <f>'תקציב החברה לפיתוח 2024'!N124</f>
        <v>11369215</v>
      </c>
      <c r="O86" s="120">
        <f>'תקציב החברה לפיתוח 2024'!O124</f>
        <v>4000000</v>
      </c>
      <c r="P86" s="120">
        <f>'תקציב החברה לפיתוח 2024'!P124</f>
        <v>17503</v>
      </c>
      <c r="Q86" s="120">
        <f>'תקציב החברה לפיתוח 2024'!Q124</f>
        <v>0</v>
      </c>
      <c r="R86" s="120">
        <f>'תקציב החברה לפיתוח 2024'!R124</f>
        <v>0</v>
      </c>
      <c r="S86" s="120">
        <f>'תקציב החברה לפיתוח 2024'!S124</f>
        <v>0</v>
      </c>
      <c r="T86" s="120">
        <f>'תקציב החברה לפיתוח 2024'!T124</f>
        <v>15000</v>
      </c>
      <c r="U86" s="120">
        <f>'תקציב החברה לפיתוח 2024'!U124</f>
        <v>11354215</v>
      </c>
      <c r="V86" s="120">
        <f>'תקציב החברה לפיתוח 2024'!V124</f>
        <v>6147109</v>
      </c>
      <c r="W86" s="120">
        <f>'תקציב החברה לפיתוח 2024'!W124</f>
        <v>0</v>
      </c>
      <c r="X86" s="120">
        <f>'תקציב החברה לפיתוח 2024'!X124</f>
        <v>0</v>
      </c>
      <c r="Y86" s="120">
        <f>'תקציב החברה לפיתוח 2024'!Y124</f>
        <v>0</v>
      </c>
      <c r="Z86" s="120">
        <f>'תקציב החברה לפיתוח 2024'!Z124</f>
        <v>0</v>
      </c>
      <c r="AA86" s="120">
        <f>'תקציב החברה לפיתוח 2024'!AA124</f>
        <v>5207106</v>
      </c>
      <c r="AB86" s="235" t="str">
        <f>'תקציב החברה לפיתוח 2024'!AB124</f>
        <v>בניית בי"ס יסודי 18 כיתות , 5 כיתות גן , מועדון תנועת נוער, אולם ספורט בינוני , מגרש ספורט משולב, חניון תתקרקעי 2 מפלסים.  מימון מ. החינוך בי"ס,גנ"י.</v>
      </c>
      <c r="AC86" s="135">
        <f>'תקציב החברה לפיתוח 2024'!AC124</f>
        <v>810000</v>
      </c>
      <c r="AD86" s="134"/>
      <c r="AE86" s="134"/>
      <c r="AF86" s="134"/>
      <c r="AG86" s="134"/>
      <c r="AH86" s="134"/>
      <c r="AI86" s="134"/>
      <c r="AJ86" s="131"/>
      <c r="AK86" s="131"/>
      <c r="AL86" s="131"/>
      <c r="AM86" s="131"/>
    </row>
    <row r="87" spans="1:39" s="5" customFormat="1" ht="45" customHeight="1">
      <c r="A87" s="135">
        <f t="shared" si="4"/>
        <v>80</v>
      </c>
      <c r="B87" s="135">
        <f>'תקציב החברה לפיתוח 2024'!B125</f>
        <v>1911</v>
      </c>
      <c r="C87" s="235" t="str">
        <f>'תקציב החברה לפיתוח 2024'!C125</f>
        <v xml:space="preserve">כיתות מעון 5 יום 5 כיתות גן-. 404 גליל ים ב' </v>
      </c>
      <c r="D87" s="120">
        <f>'תקציב החברה לפיתוח 2024'!D125</f>
        <v>26936240</v>
      </c>
      <c r="E87" s="120">
        <f>'תקציב החברה לפיתוח 2024'!E125</f>
        <v>27236240</v>
      </c>
      <c r="F87" s="120">
        <f>'תקציב החברה לפיתוח 2024'!F125</f>
        <v>-300000</v>
      </c>
      <c r="G87" s="120">
        <f>'תקציב החברה לפיתוח 2024'!G125</f>
        <v>27236240</v>
      </c>
      <c r="H87" s="120">
        <f>'תקציב החברה לפיתוח 2024'!H125</f>
        <v>26634223</v>
      </c>
      <c r="I87" s="120">
        <f>'תקציב החברה לפיתוח 2024'!I125</f>
        <v>0</v>
      </c>
      <c r="J87" s="120">
        <f>'תקציב החברה לפיתוח 2024'!J125</f>
        <v>0</v>
      </c>
      <c r="K87" s="120">
        <f>'תקציב החברה לפיתוח 2024'!K125</f>
        <v>0</v>
      </c>
      <c r="L87" s="120">
        <f>'תקציב החברה לפיתוח 2024'!L125</f>
        <v>26634223</v>
      </c>
      <c r="M87" s="120">
        <f>'תקציב החברה לפיתוח 2024'!M125</f>
        <v>2017</v>
      </c>
      <c r="N87" s="120">
        <f>'תקציב החברה לפיתוח 2024'!N125</f>
        <v>300000</v>
      </c>
      <c r="O87" s="120">
        <f>'תקציב החברה לפיתוח 2024'!O125</f>
        <v>0</v>
      </c>
      <c r="P87" s="120">
        <f>'תקציב החברה לפיתוח 2024'!P125</f>
        <v>602017</v>
      </c>
      <c r="Q87" s="120">
        <f>'תקציב החברה לפיתוח 2024'!Q125</f>
        <v>0</v>
      </c>
      <c r="R87" s="120">
        <f>'תקציב החברה לפיתוח 2024'!R125</f>
        <v>0</v>
      </c>
      <c r="S87" s="120">
        <f>'תקציב החברה לפיתוח 2024'!S125</f>
        <v>0</v>
      </c>
      <c r="T87" s="120">
        <f>'תקציב החברה לפיתוח 2024'!T125</f>
        <v>600000</v>
      </c>
      <c r="U87" s="120">
        <f>'תקציב החברה לפיתוח 2024'!U125</f>
        <v>-300000</v>
      </c>
      <c r="V87" s="120">
        <f>'תקציב החברה לפיתוח 2024'!V125</f>
        <v>-300000</v>
      </c>
      <c r="W87" s="120">
        <f>'תקציב החברה לפיתוח 2024'!W125</f>
        <v>0</v>
      </c>
      <c r="X87" s="120">
        <f>'תקציב החברה לפיתוח 2024'!X125</f>
        <v>0</v>
      </c>
      <c r="Y87" s="120">
        <f>'תקציב החברה לפיתוח 2024'!Y125</f>
        <v>0</v>
      </c>
      <c r="Z87" s="120">
        <f>'תקציב החברה לפיתוח 2024'!Z125</f>
        <v>0</v>
      </c>
      <c r="AA87" s="120">
        <f>'תקציב החברה לפיתוח 2024'!AA125</f>
        <v>0</v>
      </c>
      <c r="AB87" s="235" t="str">
        <f>'תקציב החברה לפיתוח 2024'!AB125</f>
        <v>בניית 10 כיתות גן .   חן סופיים. התב"ר לסגירה.</v>
      </c>
      <c r="AC87" s="135">
        <f>'תקציב החברה לפיתוח 2024'!AC125</f>
        <v>810000</v>
      </c>
      <c r="AD87" s="134"/>
      <c r="AE87" s="134"/>
      <c r="AF87" s="134"/>
      <c r="AG87" s="134"/>
      <c r="AH87" s="134"/>
      <c r="AI87" s="134"/>
      <c r="AJ87" s="131"/>
      <c r="AK87" s="131"/>
      <c r="AL87" s="131"/>
      <c r="AM87" s="131"/>
    </row>
    <row r="88" spans="1:39" s="5" customFormat="1" ht="55.2">
      <c r="A88" s="135">
        <f t="shared" si="4"/>
        <v>81</v>
      </c>
      <c r="B88" s="135">
        <f>'תקציב החברה לפיתוח 2024'!B126</f>
        <v>1912</v>
      </c>
      <c r="C88" s="235" t="str">
        <f>'תקציב החברה לפיתוח 2024'!C126</f>
        <v xml:space="preserve">קיריית החינוך ( מגרש 406)-ספריה, מרכז קהילתי </v>
      </c>
      <c r="D88" s="120">
        <f>'תקציב החברה לפיתוח 2024'!D126</f>
        <v>430000000</v>
      </c>
      <c r="E88" s="120">
        <f>'תקציב החברה לפיתוח 2024'!E126</f>
        <v>430000000</v>
      </c>
      <c r="F88" s="120">
        <f>'תקציב החברה לפיתוח 2024'!F126</f>
        <v>0</v>
      </c>
      <c r="G88" s="120">
        <f>'תקציב החברה לפיתוח 2024'!G126</f>
        <v>299404251</v>
      </c>
      <c r="H88" s="120">
        <f>'תקציב החברה לפיתוח 2024'!H126</f>
        <v>299054983</v>
      </c>
      <c r="I88" s="120">
        <f>'תקציב החברה לפיתוח 2024'!I126</f>
        <v>0</v>
      </c>
      <c r="J88" s="120">
        <f>'תקציב החברה לפיתוח 2024'!J126</f>
        <v>0</v>
      </c>
      <c r="K88" s="120">
        <f>'תקציב החברה לפיתוח 2024'!K126</f>
        <v>0</v>
      </c>
      <c r="L88" s="120">
        <f>'תקציב החברה לפיתוח 2024'!L126</f>
        <v>299054983</v>
      </c>
      <c r="M88" s="120">
        <f>'תקציב החברה לפיתוח 2024'!M126</f>
        <v>4268</v>
      </c>
      <c r="N88" s="120">
        <f>'תקציב החברה לפיתוח 2024'!N126</f>
        <v>65345000</v>
      </c>
      <c r="O88" s="120">
        <f>'תקציב החברה לפיתוח 2024'!O126</f>
        <v>65595749</v>
      </c>
      <c r="P88" s="120">
        <f>'תקציב החברה לפיתוח 2024'!P126</f>
        <v>349268</v>
      </c>
      <c r="Q88" s="120">
        <f>'תקציב החברה לפיתוח 2024'!Q126</f>
        <v>0</v>
      </c>
      <c r="R88" s="120">
        <f>'תקציב החברה לפיתוח 2024'!R126</f>
        <v>0</v>
      </c>
      <c r="S88" s="120">
        <f>'תקציב החברה לפיתוח 2024'!S126</f>
        <v>0</v>
      </c>
      <c r="T88" s="120">
        <f>'תקציב החברה לפיתוח 2024'!T126</f>
        <v>345000</v>
      </c>
      <c r="U88" s="120">
        <f>'תקציב החברה לפיתוח 2024'!U126</f>
        <v>65000000</v>
      </c>
      <c r="V88" s="120">
        <f>'תקציב החברה לפיתוח 2024'!V126</f>
        <v>52872606</v>
      </c>
      <c r="W88" s="120">
        <f>'תקציב החברה לפיתוח 2024'!W126</f>
        <v>0</v>
      </c>
      <c r="X88" s="120">
        <f>'תקציב החברה לפיתוח 2024'!X126</f>
        <v>0</v>
      </c>
      <c r="Y88" s="120">
        <f>'תקציב החברה לפיתוח 2024'!Y126</f>
        <v>0</v>
      </c>
      <c r="Z88" s="120">
        <f>'תקציב החברה לפיתוח 2024'!Z126</f>
        <v>0</v>
      </c>
      <c r="AA88" s="120">
        <f>'תקציב החברה לפיתוח 2024'!AA126</f>
        <v>12127394</v>
      </c>
      <c r="AB88" s="235" t="str">
        <f>'תקציב החברה לפיתוח 2024'!AB126</f>
        <v xml:space="preserve">בניית בי"ס יסודי (18) , 24 כיתות חט"ב ותיכון ,א.ס בינוני , מגרש ספורט , חניון תתקרקעי 2 מפלסים, שצ"פ שבט צופים מימון מ. החינוך. </v>
      </c>
      <c r="AC88" s="135">
        <f>'תקציב החברה לפיתוח 2024'!AC126</f>
        <v>810000</v>
      </c>
      <c r="AD88" s="134"/>
      <c r="AE88" s="134"/>
      <c r="AF88" s="134"/>
      <c r="AG88" s="134"/>
      <c r="AH88" s="134"/>
      <c r="AI88" s="134"/>
      <c r="AJ88" s="131"/>
      <c r="AK88" s="131"/>
      <c r="AL88" s="131"/>
      <c r="AM88" s="131"/>
    </row>
    <row r="89" spans="1:39" s="5" customFormat="1" ht="45" customHeight="1">
      <c r="A89" s="135">
        <f t="shared" si="4"/>
        <v>82</v>
      </c>
      <c r="B89" s="135">
        <f>'תקציב החברה לפיתוח 2024'!B127</f>
        <v>1914</v>
      </c>
      <c r="C89" s="235" t="str">
        <f>'תקציב החברה לפיתוח 2024'!C127</f>
        <v>גן 3 כיתות 401 גליל ים ב'</v>
      </c>
      <c r="D89" s="120">
        <f>'תקציב החברה לפיתוח 2024'!D127</f>
        <v>8100000</v>
      </c>
      <c r="E89" s="120">
        <f>'תקציב החברה לפיתוח 2024'!E127</f>
        <v>8100000</v>
      </c>
      <c r="F89" s="120">
        <f>'תקציב החברה לפיתוח 2024'!F127</f>
        <v>0</v>
      </c>
      <c r="G89" s="120">
        <f>'תקציב החברה לפיתוח 2024'!G127</f>
        <v>8100000</v>
      </c>
      <c r="H89" s="120">
        <f>'תקציב החברה לפיתוח 2024'!H127</f>
        <v>7872635</v>
      </c>
      <c r="I89" s="120">
        <f>'תקציב החברה לפיתוח 2024'!I127</f>
        <v>0</v>
      </c>
      <c r="J89" s="120">
        <f>'תקציב החברה לפיתוח 2024'!J127</f>
        <v>0</v>
      </c>
      <c r="K89" s="120">
        <f>'תקציב החברה לפיתוח 2024'!K127</f>
        <v>0</v>
      </c>
      <c r="L89" s="120">
        <f>'תקציב החברה לפיתוח 2024'!L127</f>
        <v>7872635</v>
      </c>
      <c r="M89" s="120">
        <f>'תקציב החברה לפיתוח 2024'!M127</f>
        <v>2365</v>
      </c>
      <c r="N89" s="120">
        <f>'תקציב החברה לפיתוח 2024'!N127</f>
        <v>225000</v>
      </c>
      <c r="O89" s="120">
        <f>'תקציב החברה לפיתוח 2024'!O127</f>
        <v>0</v>
      </c>
      <c r="P89" s="120">
        <f>'תקציב החברה לפיתוח 2024'!P127</f>
        <v>227365</v>
      </c>
      <c r="Q89" s="120">
        <f>'תקציב החברה לפיתוח 2024'!Q127</f>
        <v>0</v>
      </c>
      <c r="R89" s="120">
        <f>'תקציב החברה לפיתוח 2024'!R127</f>
        <v>0</v>
      </c>
      <c r="S89" s="120">
        <f>'תקציב החברה לפיתוח 2024'!S127</f>
        <v>0</v>
      </c>
      <c r="T89" s="120">
        <f>'תקציב החברה לפיתוח 2024'!T127</f>
        <v>225000</v>
      </c>
      <c r="U89" s="120">
        <f>'תקציב החברה לפיתוח 2024'!U127</f>
        <v>0</v>
      </c>
      <c r="V89" s="120">
        <f>'תקציב החברה לפיתוח 2024'!V127</f>
        <v>0</v>
      </c>
      <c r="W89" s="120">
        <f>'תקציב החברה לפיתוח 2024'!W127</f>
        <v>0</v>
      </c>
      <c r="X89" s="120">
        <f>'תקציב החברה לפיתוח 2024'!X127</f>
        <v>0</v>
      </c>
      <c r="Y89" s="120">
        <f>'תקציב החברה לפיתוח 2024'!Y127</f>
        <v>0</v>
      </c>
      <c r="Z89" s="120">
        <f>'תקציב החברה לפיתוח 2024'!Z127</f>
        <v>0</v>
      </c>
      <c r="AA89" s="120">
        <f>'תקציב החברה לפיתוח 2024'!AA127</f>
        <v>0</v>
      </c>
      <c r="AB89" s="235" t="str">
        <f>'תקציב החברה לפיתוח 2024'!AB127</f>
        <v xml:space="preserve">במקביל, תבר הצטיידות בחינוך . חן סופיים התב"ר לסגירה. </v>
      </c>
      <c r="AC89" s="135">
        <f>'תקציב החברה לפיתוח 2024'!AC127</f>
        <v>810000</v>
      </c>
      <c r="AD89" s="134"/>
      <c r="AE89" s="134"/>
      <c r="AF89" s="134"/>
      <c r="AG89" s="134"/>
      <c r="AH89" s="134"/>
      <c r="AI89" s="134"/>
      <c r="AJ89" s="131"/>
      <c r="AK89" s="131"/>
      <c r="AL89" s="131"/>
      <c r="AM89" s="131"/>
    </row>
    <row r="90" spans="1:39" s="5" customFormat="1" ht="45" customHeight="1">
      <c r="A90" s="135">
        <f t="shared" si="4"/>
        <v>83</v>
      </c>
      <c r="B90" s="135">
        <f>'תקציב החברה לפיתוח 2024'!B129</f>
        <v>1960</v>
      </c>
      <c r="C90" s="235" t="str">
        <f>'תקציב החברה לפיתוח 2024'!C129</f>
        <v>גן 3 כיתות 402 גליל ים ב'(כולל חניון)</v>
      </c>
      <c r="D90" s="120">
        <f>'תקציב החברה לפיתוח 2024'!D129</f>
        <v>21480000</v>
      </c>
      <c r="E90" s="120">
        <f>'תקציב החברה לפיתוח 2024'!E129</f>
        <v>24710000</v>
      </c>
      <c r="F90" s="120">
        <f>'תקציב החברה לפיתוח 2024'!F129</f>
        <v>-3230000</v>
      </c>
      <c r="G90" s="120">
        <f>'תקציב החברה לפיתוח 2024'!G129</f>
        <v>22421744</v>
      </c>
      <c r="H90" s="120">
        <f>'תקציב החברה לפיתוח 2024'!H129</f>
        <v>20975550</v>
      </c>
      <c r="I90" s="120">
        <f>'תקציב החברה לפיתוח 2024'!I129</f>
        <v>0</v>
      </c>
      <c r="J90" s="120">
        <f>'תקציב החברה לפיתוח 2024'!J129</f>
        <v>0</v>
      </c>
      <c r="K90" s="120">
        <f>'תקציב החברה לפיתוח 2024'!K129</f>
        <v>0</v>
      </c>
      <c r="L90" s="120">
        <f>'תקציב החברה לפיתוח 2024'!L129</f>
        <v>20975550</v>
      </c>
      <c r="M90" s="120">
        <f>'תקציב החברה לפיתוח 2024'!M129</f>
        <v>4450</v>
      </c>
      <c r="N90" s="120">
        <f>'תקציב החברה לפיתוח 2024'!N129</f>
        <v>500000</v>
      </c>
      <c r="O90" s="120">
        <f>'תקציב החברה לפיתוח 2024'!O129</f>
        <v>0</v>
      </c>
      <c r="P90" s="120">
        <f>'תקציב החברה לפיתוח 2024'!P129</f>
        <v>1446194</v>
      </c>
      <c r="Q90" s="120">
        <f>'תקציב החברה לפיתוח 2024'!Q129</f>
        <v>2288256</v>
      </c>
      <c r="R90" s="120">
        <f>'תקציב החברה לפיתוח 2024'!R129</f>
        <v>0</v>
      </c>
      <c r="S90" s="120">
        <f>'תקציב החברה לפיתוח 2024'!S129</f>
        <v>2288256</v>
      </c>
      <c r="T90" s="120">
        <f>'תקציב החברה לפיתוח 2024'!T129</f>
        <v>3730000</v>
      </c>
      <c r="U90" s="120">
        <f>'תקציב החברה לפיתוח 2024'!U129</f>
        <v>-3230000</v>
      </c>
      <c r="V90" s="120">
        <f>'תקציב החברה לפיתוח 2024'!V129</f>
        <v>-3352590</v>
      </c>
      <c r="W90" s="120">
        <f>'תקציב החברה לפיתוח 2024'!W129</f>
        <v>0</v>
      </c>
      <c r="X90" s="120">
        <f>'תקציב החברה לפיתוח 2024'!X129</f>
        <v>0</v>
      </c>
      <c r="Y90" s="120">
        <f>'תקציב החברה לפיתוח 2024'!Y129</f>
        <v>0</v>
      </c>
      <c r="Z90" s="120">
        <f>'תקציב החברה לפיתוח 2024'!Z129</f>
        <v>0</v>
      </c>
      <c r="AA90" s="120">
        <f>'תקציב החברה לפיתוח 2024'!AA129</f>
        <v>122590</v>
      </c>
      <c r="AB90" s="235" t="str">
        <f>'תקציב החברה לפיתוח 2024'!AB129</f>
        <v>בניית 3 כיתות גן , בניית החניון במימון  חברת אפריקה ישראל. שינוי מימון מ. החינוך ואפ"י.</v>
      </c>
      <c r="AC90" s="135">
        <f>'תקציב החברה לפיתוח 2024'!AC129</f>
        <v>810000</v>
      </c>
      <c r="AD90" s="134"/>
      <c r="AE90" s="134"/>
      <c r="AF90" s="134"/>
      <c r="AG90" s="134"/>
      <c r="AH90" s="134"/>
      <c r="AI90" s="134"/>
      <c r="AJ90" s="131"/>
      <c r="AK90" s="131"/>
      <c r="AL90" s="131"/>
      <c r="AM90" s="131"/>
    </row>
    <row r="91" spans="1:39" s="5" customFormat="1" ht="45" customHeight="1">
      <c r="A91" s="135">
        <f t="shared" si="4"/>
        <v>84</v>
      </c>
      <c r="B91" s="135">
        <f>'תקציב החברה לפיתוח 2024'!B131</f>
        <v>1965</v>
      </c>
      <c r="C91" s="235" t="str">
        <f>'תקציב החברה לפיתוח 2024'!C131</f>
        <v>בית ספר יסודי 18 כיתות מגרש 304 גלילי ים א'</v>
      </c>
      <c r="D91" s="120">
        <f>'תקציב החברה לפיתוח 2024'!D131</f>
        <v>87000000</v>
      </c>
      <c r="E91" s="120">
        <f>'תקציב החברה לפיתוח 2024'!E131</f>
        <v>35000000</v>
      </c>
      <c r="F91" s="120">
        <f>'תקציב החברה לפיתוח 2024'!F131</f>
        <v>52000000</v>
      </c>
      <c r="G91" s="120">
        <f>'תקציב החברה לפיתוח 2024'!G131</f>
        <v>2100000</v>
      </c>
      <c r="H91" s="120">
        <f>'תקציב החברה לפיתוח 2024'!H131</f>
        <v>2066817</v>
      </c>
      <c r="I91" s="120">
        <f>'תקציב החברה לפיתוח 2024'!I131</f>
        <v>0</v>
      </c>
      <c r="J91" s="120">
        <f>'תקציב החברה לפיתוח 2024'!J131</f>
        <v>0</v>
      </c>
      <c r="K91" s="120">
        <f>'תקציב החברה לפיתוח 2024'!K131</f>
        <v>0</v>
      </c>
      <c r="L91" s="120">
        <f>'תקציב החברה לפיתוח 2024'!L131</f>
        <v>2066817</v>
      </c>
      <c r="M91" s="120">
        <f>'תקציב החברה לפיתוח 2024'!M131</f>
        <v>3183</v>
      </c>
      <c r="N91" s="120">
        <f>'תקציב החברה לפיתוח 2024'!N131</f>
        <v>18030000</v>
      </c>
      <c r="O91" s="120">
        <f>'תקציב החברה לפיתוח 2024'!O131</f>
        <v>66900000</v>
      </c>
      <c r="P91" s="120">
        <f>'תקציב החברה לפיתוח 2024'!P131</f>
        <v>33183</v>
      </c>
      <c r="Q91" s="120">
        <f>'תקציב החברה לפיתוח 2024'!Q131</f>
        <v>0</v>
      </c>
      <c r="R91" s="120">
        <f>'תקציב החברה לפיתוח 2024'!R131</f>
        <v>0</v>
      </c>
      <c r="S91" s="120">
        <f>'תקציב החברה לפיתוח 2024'!S131</f>
        <v>0</v>
      </c>
      <c r="T91" s="120">
        <f>'תקציב החברה לפיתוח 2024'!T131</f>
        <v>30000</v>
      </c>
      <c r="U91" s="120">
        <f>'תקציב החברה לפיתוח 2024'!U131</f>
        <v>18000000</v>
      </c>
      <c r="V91" s="120">
        <f>'תקציב החברה לפיתוח 2024'!V131</f>
        <v>6751594</v>
      </c>
      <c r="W91" s="120">
        <f>'תקציב החברה לפיתוח 2024'!W131</f>
        <v>0</v>
      </c>
      <c r="X91" s="120">
        <f>'תקציב החברה לפיתוח 2024'!X131</f>
        <v>0</v>
      </c>
      <c r="Y91" s="120">
        <f>'תקציב החברה לפיתוח 2024'!Y131</f>
        <v>0</v>
      </c>
      <c r="Z91" s="120">
        <f>'תקציב החברה לפיתוח 2024'!Z131</f>
        <v>0</v>
      </c>
      <c r="AA91" s="120">
        <f>'תקציב החברה לפיתוח 2024'!AA131</f>
        <v>11248406</v>
      </c>
      <c r="AB91" s="235" t="str">
        <f>'תקציב החברה לפיתוח 2024'!AB131</f>
        <v>בי"ס יסודי בשטח 304.תכנון וביצוע.  מימון מ. החינוך.</v>
      </c>
      <c r="AC91" s="135">
        <f>'תקציב החברה לפיתוח 2024'!AC131</f>
        <v>810000</v>
      </c>
      <c r="AD91" s="134"/>
      <c r="AE91" s="134"/>
      <c r="AF91" s="134"/>
      <c r="AG91" s="134"/>
      <c r="AH91" s="134"/>
      <c r="AI91" s="134"/>
      <c r="AJ91" s="131"/>
      <c r="AK91" s="131"/>
      <c r="AL91" s="131"/>
      <c r="AM91" s="131"/>
    </row>
    <row r="92" spans="1:39" s="157" customFormat="1" ht="45" customHeight="1">
      <c r="A92" s="135">
        <f t="shared" si="4"/>
        <v>85</v>
      </c>
      <c r="B92" s="135" t="e">
        <f>'תקציב החברה לפיתוח 2024'!#REF!</f>
        <v>#REF!</v>
      </c>
      <c r="C92" s="235" t="e">
        <f>'תקציב החברה לפיתוח 2024'!#REF!</f>
        <v>#REF!</v>
      </c>
      <c r="D92" s="120" t="e">
        <f>'תקציב החברה לפיתוח 2024'!#REF!</f>
        <v>#REF!</v>
      </c>
      <c r="E92" s="120" t="e">
        <f>'תקציב החברה לפיתוח 2024'!#REF!</f>
        <v>#REF!</v>
      </c>
      <c r="F92" s="120" t="e">
        <f>'תקציב החברה לפיתוח 2024'!#REF!</f>
        <v>#REF!</v>
      </c>
      <c r="G92" s="120" t="e">
        <f>'תקציב החברה לפיתוח 2024'!#REF!</f>
        <v>#REF!</v>
      </c>
      <c r="H92" s="120" t="e">
        <f>'תקציב החברה לפיתוח 2024'!#REF!</f>
        <v>#REF!</v>
      </c>
      <c r="I92" s="120" t="e">
        <f>'תקציב החברה לפיתוח 2024'!#REF!</f>
        <v>#REF!</v>
      </c>
      <c r="J92" s="120" t="e">
        <f>'תקציב החברה לפיתוח 2024'!#REF!</f>
        <v>#REF!</v>
      </c>
      <c r="K92" s="120" t="e">
        <f>'תקציב החברה לפיתוח 2024'!#REF!</f>
        <v>#REF!</v>
      </c>
      <c r="L92" s="120" t="e">
        <f>'תקציב החברה לפיתוח 2024'!#REF!</f>
        <v>#REF!</v>
      </c>
      <c r="M92" s="120" t="e">
        <f>'תקציב החברה לפיתוח 2024'!#REF!</f>
        <v>#REF!</v>
      </c>
      <c r="N92" s="120" t="e">
        <f>'תקציב החברה לפיתוח 2024'!#REF!</f>
        <v>#REF!</v>
      </c>
      <c r="O92" s="120" t="e">
        <f>'תקציב החברה לפיתוח 2024'!#REF!</f>
        <v>#REF!</v>
      </c>
      <c r="P92" s="120" t="e">
        <f>'תקציב החברה לפיתוח 2024'!#REF!</f>
        <v>#REF!</v>
      </c>
      <c r="Q92" s="120" t="e">
        <f>'תקציב החברה לפיתוח 2024'!#REF!</f>
        <v>#REF!</v>
      </c>
      <c r="R92" s="120" t="e">
        <f>'תקציב החברה לפיתוח 2024'!#REF!</f>
        <v>#REF!</v>
      </c>
      <c r="S92" s="120" t="e">
        <f>'תקציב החברה לפיתוח 2024'!#REF!</f>
        <v>#REF!</v>
      </c>
      <c r="T92" s="120" t="e">
        <f>'תקציב החברה לפיתוח 2024'!#REF!</f>
        <v>#REF!</v>
      </c>
      <c r="U92" s="120" t="e">
        <f>'תקציב החברה לפיתוח 2024'!#REF!</f>
        <v>#REF!</v>
      </c>
      <c r="V92" s="120" t="e">
        <f>'תקציב החברה לפיתוח 2024'!#REF!</f>
        <v>#REF!</v>
      </c>
      <c r="W92" s="120" t="e">
        <f>'תקציב החברה לפיתוח 2024'!#REF!</f>
        <v>#REF!</v>
      </c>
      <c r="X92" s="120" t="e">
        <f>'תקציב החברה לפיתוח 2024'!#REF!</f>
        <v>#REF!</v>
      </c>
      <c r="Y92" s="120" t="e">
        <f>'תקציב החברה לפיתוח 2024'!#REF!</f>
        <v>#REF!</v>
      </c>
      <c r="Z92" s="120" t="e">
        <f>'תקציב החברה לפיתוח 2024'!#REF!</f>
        <v>#REF!</v>
      </c>
      <c r="AA92" s="120" t="e">
        <f>'תקציב החברה לפיתוח 2024'!#REF!</f>
        <v>#REF!</v>
      </c>
      <c r="AB92" s="235" t="e">
        <f>'תקציב החברה לפיתוח 2024'!#REF!</f>
        <v>#REF!</v>
      </c>
      <c r="AC92" s="135" t="e">
        <f>'תקציב החברה לפיתוח 2024'!#REF!</f>
        <v>#REF!</v>
      </c>
      <c r="AD92" s="134"/>
      <c r="AE92" s="134"/>
      <c r="AF92" s="134"/>
      <c r="AG92" s="134"/>
      <c r="AH92" s="134"/>
      <c r="AI92" s="134"/>
      <c r="AJ92" s="5"/>
      <c r="AK92" s="5"/>
      <c r="AL92" s="5"/>
      <c r="AM92" s="5"/>
    </row>
    <row r="93" spans="1:39" customFormat="1" ht="40.200000000000003" customHeight="1">
      <c r="A93" s="135">
        <f t="shared" si="4"/>
        <v>86</v>
      </c>
      <c r="B93" s="19">
        <v>20028</v>
      </c>
      <c r="C93" s="3" t="s">
        <v>660</v>
      </c>
      <c r="D93" s="4">
        <v>620000</v>
      </c>
      <c r="E93" s="4">
        <v>620000</v>
      </c>
      <c r="F93" s="4">
        <f>D93-E93</f>
        <v>0</v>
      </c>
      <c r="G93" s="4">
        <v>620000</v>
      </c>
      <c r="H93" s="4">
        <v>20241</v>
      </c>
      <c r="I93" s="4">
        <v>0</v>
      </c>
      <c r="J93" s="4">
        <v>304014</v>
      </c>
      <c r="K93" s="4">
        <f>I93+J93</f>
        <v>304014</v>
      </c>
      <c r="L93" s="4">
        <f>H93+K93</f>
        <v>324255</v>
      </c>
      <c r="M93" s="4">
        <f>P93+S93</f>
        <v>295745</v>
      </c>
      <c r="N93" s="4">
        <v>0</v>
      </c>
      <c r="O93" s="4">
        <f>D93-L93-M93-N93</f>
        <v>0</v>
      </c>
      <c r="P93" s="4">
        <f>G93-L93</f>
        <v>295745</v>
      </c>
      <c r="Q93" s="4"/>
      <c r="R93" s="4"/>
      <c r="S93" s="4">
        <f>SUM(Q93:R93)</f>
        <v>0</v>
      </c>
      <c r="T93" s="4">
        <f>P93-M93+S93</f>
        <v>0</v>
      </c>
      <c r="U93" s="4">
        <f>N93-T93</f>
        <v>0</v>
      </c>
      <c r="V93" s="4"/>
      <c r="W93" s="4">
        <f>U93-V93-AA93</f>
        <v>0</v>
      </c>
      <c r="X93" s="4"/>
      <c r="Y93" s="4"/>
      <c r="Z93" s="4"/>
      <c r="AA93" s="4"/>
      <c r="AB93" s="3" t="s">
        <v>638</v>
      </c>
      <c r="AC93" s="3">
        <v>810000</v>
      </c>
    </row>
    <row r="94" spans="1:39" s="303" customFormat="1" ht="45" customHeight="1">
      <c r="A94" s="137"/>
      <c r="B94" s="137"/>
      <c r="C94" s="130" t="s">
        <v>529</v>
      </c>
      <c r="D94" s="138" t="e">
        <f>SUM(D64:D93)</f>
        <v>#REF!</v>
      </c>
      <c r="E94" s="138" t="e">
        <f t="shared" ref="E94:AA94" si="5">SUM(E64:E93)</f>
        <v>#REF!</v>
      </c>
      <c r="F94" s="138" t="e">
        <f t="shared" si="5"/>
        <v>#REF!</v>
      </c>
      <c r="G94" s="138" t="e">
        <f t="shared" si="5"/>
        <v>#REF!</v>
      </c>
      <c r="H94" s="138" t="e">
        <f t="shared" si="5"/>
        <v>#REF!</v>
      </c>
      <c r="I94" s="138" t="e">
        <f t="shared" si="5"/>
        <v>#REF!</v>
      </c>
      <c r="J94" s="138" t="e">
        <f t="shared" si="5"/>
        <v>#REF!</v>
      </c>
      <c r="K94" s="138" t="e">
        <f t="shared" si="5"/>
        <v>#REF!</v>
      </c>
      <c r="L94" s="138" t="e">
        <f t="shared" si="5"/>
        <v>#REF!</v>
      </c>
      <c r="M94" s="138" t="e">
        <f t="shared" si="5"/>
        <v>#REF!</v>
      </c>
      <c r="N94" s="138" t="e">
        <f t="shared" si="5"/>
        <v>#REF!</v>
      </c>
      <c r="O94" s="138" t="e">
        <f t="shared" si="5"/>
        <v>#REF!</v>
      </c>
      <c r="P94" s="138" t="e">
        <f t="shared" si="5"/>
        <v>#REF!</v>
      </c>
      <c r="Q94" s="138" t="e">
        <f t="shared" si="5"/>
        <v>#REF!</v>
      </c>
      <c r="R94" s="138" t="e">
        <f t="shared" si="5"/>
        <v>#REF!</v>
      </c>
      <c r="S94" s="138" t="e">
        <f t="shared" si="5"/>
        <v>#REF!</v>
      </c>
      <c r="T94" s="138" t="e">
        <f t="shared" si="5"/>
        <v>#REF!</v>
      </c>
      <c r="U94" s="138" t="e">
        <f t="shared" si="5"/>
        <v>#REF!</v>
      </c>
      <c r="V94" s="138" t="e">
        <f t="shared" si="5"/>
        <v>#REF!</v>
      </c>
      <c r="W94" s="138" t="e">
        <f t="shared" si="5"/>
        <v>#REF!</v>
      </c>
      <c r="X94" s="138" t="e">
        <f t="shared" si="5"/>
        <v>#REF!</v>
      </c>
      <c r="Y94" s="138" t="e">
        <f t="shared" si="5"/>
        <v>#REF!</v>
      </c>
      <c r="Z94" s="138" t="e">
        <f t="shared" si="5"/>
        <v>#REF!</v>
      </c>
      <c r="AA94" s="138" t="e">
        <f t="shared" si="5"/>
        <v>#REF!</v>
      </c>
      <c r="AB94" s="130"/>
      <c r="AC94" s="137"/>
      <c r="AD94" s="136"/>
      <c r="AE94" s="136"/>
      <c r="AF94" s="136"/>
      <c r="AG94" s="136"/>
      <c r="AH94" s="136"/>
      <c r="AI94" s="136"/>
      <c r="AJ94" s="6"/>
      <c r="AK94" s="6"/>
      <c r="AL94" s="6"/>
      <c r="AM94" s="6"/>
    </row>
    <row r="95" spans="1:39" s="5" customFormat="1" ht="69">
      <c r="A95" s="135">
        <f>A93+1</f>
        <v>87</v>
      </c>
      <c r="B95" s="135">
        <f>'תקציב החברה לפיתוח 2024'!B26</f>
        <v>1834</v>
      </c>
      <c r="C95" s="235" t="str">
        <f>'תקציב החברה לפיתוח 2024'!C26</f>
        <v>מתנ"ס נווה ישראל</v>
      </c>
      <c r="D95" s="120">
        <f>'תקציב החברה לפיתוח 2024'!D26</f>
        <v>65050000</v>
      </c>
      <c r="E95" s="120">
        <f>'תקציב החברה לפיתוח 2024'!E26</f>
        <v>62120000</v>
      </c>
      <c r="F95" s="120">
        <f>'תקציב החברה לפיתוח 2024'!F26</f>
        <v>2930000</v>
      </c>
      <c r="G95" s="120">
        <f>'תקציב החברה לפיתוח 2024'!G26</f>
        <v>62120000</v>
      </c>
      <c r="H95" s="120">
        <f>'תקציב החברה לפיתוח 2024'!H26</f>
        <v>61523822</v>
      </c>
      <c r="I95" s="120">
        <f>'תקציב החברה לפיתוח 2024'!I26</f>
        <v>0</v>
      </c>
      <c r="J95" s="120">
        <f>'תקציב החברה לפיתוח 2024'!J26</f>
        <v>31203</v>
      </c>
      <c r="K95" s="120">
        <f>'תקציב החברה לפיתוח 2024'!K26</f>
        <v>31203</v>
      </c>
      <c r="L95" s="120">
        <f>'תקציב החברה לפיתוח 2024'!L26</f>
        <v>61555025</v>
      </c>
      <c r="M95" s="120">
        <f>'תקציב החברה לפיתוח 2024'!M26</f>
        <v>4975</v>
      </c>
      <c r="N95" s="120">
        <f>'תקציב החברה לפיתוח 2024'!N26</f>
        <v>3490000</v>
      </c>
      <c r="O95" s="120">
        <f>'תקציב החברה לפיתוח 2024'!O26</f>
        <v>0</v>
      </c>
      <c r="P95" s="120">
        <f>'תקציב החברה לפיתוח 2024'!P26</f>
        <v>564975</v>
      </c>
      <c r="Q95" s="120">
        <f>'תקציב החברה לפיתוח 2024'!Q26</f>
        <v>0</v>
      </c>
      <c r="R95" s="120">
        <f>'תקציב החברה לפיתוח 2024'!R26</f>
        <v>0</v>
      </c>
      <c r="S95" s="120">
        <f>'תקציב החברה לפיתוח 2024'!S26</f>
        <v>0</v>
      </c>
      <c r="T95" s="120">
        <f>'תקציב החברה לפיתוח 2024'!T26</f>
        <v>560000</v>
      </c>
      <c r="U95" s="120">
        <f>'תקציב החברה לפיתוח 2024'!U26</f>
        <v>2930000</v>
      </c>
      <c r="V95" s="120">
        <f>'תקציב החברה לפיתוח 2024'!V26</f>
        <v>2746220</v>
      </c>
      <c r="W95" s="120">
        <f>'תקציב החברה לפיתוח 2024'!W26</f>
        <v>0</v>
      </c>
      <c r="X95" s="120">
        <f>'תקציב החברה לפיתוח 2024'!X26</f>
        <v>0</v>
      </c>
      <c r="Y95" s="120">
        <f>'תקציב החברה לפיתוח 2024'!Y26</f>
        <v>0</v>
      </c>
      <c r="Z95" s="120">
        <f>'תקציב החברה לפיתוח 2024'!Z26</f>
        <v>0</v>
      </c>
      <c r="AA95" s="120">
        <f>'תקציב החברה לפיתוח 2024'!AA26</f>
        <v>183780</v>
      </c>
      <c r="AB95" s="235" t="str">
        <f>'תקציב החברה לפיתוח 2024'!AB26</f>
        <v>מתנ"ס קהילתי  בשטח של כ-4000 מ"ר הכולל גלריה מקומית, ספרייה חדשה,  חדרי חוגים, מועדון גמלאים בית קפה כולל הצטיידות. חן סופיים. מימון רמ"י ( מוס"צ מכרז "הבריגדה")</v>
      </c>
      <c r="AC95" s="135">
        <f>'תקציב החברה לפיתוח 2024'!AC26</f>
        <v>824000</v>
      </c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</row>
    <row r="96" spans="1:39" s="5" customFormat="1" ht="45" customHeight="1">
      <c r="A96" s="135">
        <f t="shared" ref="A96:A111" si="6">A95+1</f>
        <v>88</v>
      </c>
      <c r="B96" s="135">
        <f>'תקציב החברה לפיתוח 2024'!B27</f>
        <v>1835</v>
      </c>
      <c r="C96" s="235" t="str">
        <f>'תקציב החברה לפיתוח 2024'!C27</f>
        <v>פיתוח מתחם מתנ"ס נווה עמל ומגרשי טניס</v>
      </c>
      <c r="D96" s="120">
        <f>'תקציב החברה לפיתוח 2024'!D27</f>
        <v>51500000</v>
      </c>
      <c r="E96" s="120">
        <f>'תקציב החברה לפיתוח 2024'!E27</f>
        <v>51500000</v>
      </c>
      <c r="F96" s="120">
        <f>'תקציב החברה לפיתוח 2024'!F27</f>
        <v>0</v>
      </c>
      <c r="G96" s="120">
        <f>'תקציב החברה לפיתוח 2024'!G27</f>
        <v>21900000</v>
      </c>
      <c r="H96" s="120">
        <f>'תקציב החברה לפיתוח 2024'!H27</f>
        <v>15533156</v>
      </c>
      <c r="I96" s="120">
        <f>'תקציב החברה לפיתוח 2024'!I27</f>
        <v>0</v>
      </c>
      <c r="J96" s="120">
        <f>'תקציב החברה לפיתוח 2024'!J27</f>
        <v>0</v>
      </c>
      <c r="K96" s="120">
        <f>'תקציב החברה לפיתוח 2024'!K27</f>
        <v>0</v>
      </c>
      <c r="L96" s="120">
        <f>'תקציב החברה לפיתוח 2024'!L27</f>
        <v>15533156</v>
      </c>
      <c r="M96" s="120">
        <f>'תקציב החברה לפיתוח 2024'!M27</f>
        <v>16844</v>
      </c>
      <c r="N96" s="120">
        <f>'תקציב החברה לפיתוח 2024'!N27</f>
        <v>10000000</v>
      </c>
      <c r="O96" s="120">
        <f>'תקציב החברה לפיתוח 2024'!O27</f>
        <v>25950000</v>
      </c>
      <c r="P96" s="120">
        <f>'תקציב החברה לפיתוח 2024'!P27</f>
        <v>6366844</v>
      </c>
      <c r="Q96" s="120">
        <f>'תקציב החברה לפיתוח 2024'!Q27</f>
        <v>0</v>
      </c>
      <c r="R96" s="120">
        <f>'תקציב החברה לפיתוח 2024'!R27</f>
        <v>0</v>
      </c>
      <c r="S96" s="120">
        <f>'תקציב החברה לפיתוח 2024'!S27</f>
        <v>0</v>
      </c>
      <c r="T96" s="120">
        <f>'תקציב החברה לפיתוח 2024'!T27</f>
        <v>6350000</v>
      </c>
      <c r="U96" s="120">
        <f>'תקציב החברה לפיתוח 2024'!U27</f>
        <v>3650000</v>
      </c>
      <c r="V96" s="120">
        <f>'תקציב החברה לפיתוח 2024'!V27</f>
        <v>-3852853</v>
      </c>
      <c r="W96" s="120">
        <f>'תקציב החברה לפיתוח 2024'!W27</f>
        <v>0</v>
      </c>
      <c r="X96" s="120">
        <f>'תקציב החברה לפיתוח 2024'!X27</f>
        <v>0</v>
      </c>
      <c r="Y96" s="120">
        <f>'תקציב החברה לפיתוח 2024'!Y27</f>
        <v>0</v>
      </c>
      <c r="Z96" s="120">
        <f>'תקציב החברה לפיתוח 2024'!Z27</f>
        <v>0</v>
      </c>
      <c r="AA96" s="120">
        <f>'תקציב החברה לפיתוח 2024'!AA27</f>
        <v>7502853</v>
      </c>
      <c r="AB96" s="235" t="str">
        <f>'תקציב החברה לפיתוח 2024'!AB27</f>
        <v xml:space="preserve"> הקמת מבנה טניס חדש, שיפוץ מבני מתנ"ס קיים קירוי 2 מגרשי טניס ופיתוח סביבתי למתחם .מימון רמ"י ( מוס"צ מכרז "ק. שחקים, גליל ים ג'")</v>
      </c>
      <c r="AC96" s="135">
        <f>'תקציב החברה לפיתוח 2024'!AC27</f>
        <v>824000</v>
      </c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</row>
    <row r="97" spans="1:39" s="5" customFormat="1" ht="45" customHeight="1">
      <c r="A97" s="135">
        <f t="shared" si="6"/>
        <v>89</v>
      </c>
      <c r="B97" s="135">
        <f>'תקציב החברה לפיתוח 2024'!B39</f>
        <v>2017</v>
      </c>
      <c r="C97" s="235" t="str">
        <f>'תקציב החברה לפיתוח 2024'!C39</f>
        <v xml:space="preserve">הקמת מתנ"ס (*) בית קהילה רחוב המסילה  </v>
      </c>
      <c r="D97" s="120">
        <f>'תקציב החברה לפיתוח 2024'!D39</f>
        <v>37100000</v>
      </c>
      <c r="E97" s="120">
        <f>'תקציב החברה לפיתוח 2024'!E39</f>
        <v>37100000</v>
      </c>
      <c r="F97" s="120">
        <f>'תקציב החברה לפיתוח 2024'!F39</f>
        <v>0</v>
      </c>
      <c r="G97" s="120">
        <f>'תקציב החברה לפיתוח 2024'!G39</f>
        <v>23100000</v>
      </c>
      <c r="H97" s="120">
        <f>'תקציב החברה לפיתוח 2024'!H39</f>
        <v>25401294</v>
      </c>
      <c r="I97" s="120">
        <f>'תקציב החברה לפיתוח 2024'!I39</f>
        <v>0</v>
      </c>
      <c r="J97" s="120">
        <f>'תקציב החברה לפיתוח 2024'!J39</f>
        <v>0</v>
      </c>
      <c r="K97" s="120">
        <f>'תקציב החברה לפיתוח 2024'!K39</f>
        <v>0</v>
      </c>
      <c r="L97" s="120">
        <f>'תקציב החברה לפיתוח 2024'!L39</f>
        <v>25401294</v>
      </c>
      <c r="M97" s="120">
        <f>'תקציב החברה לפיתוח 2024'!M39</f>
        <v>8706</v>
      </c>
      <c r="N97" s="120">
        <f>'תקציב החברה לפיתוח 2024'!N39</f>
        <v>6690000</v>
      </c>
      <c r="O97" s="120">
        <f>'תקציב החברה לפיתוח 2024'!O39</f>
        <v>5000000</v>
      </c>
      <c r="P97" s="120">
        <f>'תקציב החברה לפיתוח 2024'!P39</f>
        <v>-2301294</v>
      </c>
      <c r="Q97" s="120">
        <f>'תקציב החברה לפיתוח 2024'!Q39</f>
        <v>4000000</v>
      </c>
      <c r="R97" s="120">
        <f>'תקציב החברה לפיתוח 2024'!R39</f>
        <v>0</v>
      </c>
      <c r="S97" s="120">
        <f>'תקציב החברה לפיתוח 2024'!S39</f>
        <v>4000000</v>
      </c>
      <c r="T97" s="120">
        <f>'תקציב החברה לפיתוח 2024'!T39</f>
        <v>1690000</v>
      </c>
      <c r="U97" s="120">
        <f>'תקציב החברה לפיתוח 2024'!U39</f>
        <v>5000000</v>
      </c>
      <c r="V97" s="120">
        <f>'תקציב החברה לפיתוח 2024'!V39</f>
        <v>-981581</v>
      </c>
      <c r="W97" s="120">
        <f>'תקציב החברה לפיתוח 2024'!W39</f>
        <v>0</v>
      </c>
      <c r="X97" s="120">
        <f>'תקציב החברה לפיתוח 2024'!X39</f>
        <v>0</v>
      </c>
      <c r="Y97" s="120">
        <f>'תקציב החברה לפיתוח 2024'!Y39</f>
        <v>0</v>
      </c>
      <c r="Z97" s="120">
        <f>'תקציב החברה לפיתוח 2024'!Z39</f>
        <v>0</v>
      </c>
      <c r="AA97" s="120">
        <f>'תקציב החברה לפיתוח 2024'!AA39</f>
        <v>5981581</v>
      </c>
      <c r="AB97" s="235" t="str">
        <f>'תקציב החברה לפיתוח 2024'!AB39</f>
        <v>הקמת מתנ"ס ברחוב המסילה כולל הצטיידות. מימון רמ"י ( מוס"צ  מכרזי רמ"י ק. השחקים וג.ים ג'). עדכון שם.</v>
      </c>
      <c r="AC97" s="135">
        <f>'תקציב החברה לפיתוח 2024'!AC39</f>
        <v>824000</v>
      </c>
      <c r="AD97" s="134"/>
      <c r="AE97" s="134"/>
      <c r="AF97" s="134"/>
      <c r="AG97" s="134"/>
      <c r="AH97" s="134"/>
      <c r="AI97" s="134"/>
      <c r="AJ97" s="131"/>
      <c r="AK97" s="131"/>
      <c r="AL97" s="131"/>
      <c r="AM97" s="131"/>
    </row>
    <row r="98" spans="1:39" s="5" customFormat="1" ht="45" customHeight="1">
      <c r="A98" s="135">
        <f t="shared" si="6"/>
        <v>90</v>
      </c>
      <c r="B98" s="135">
        <f>'תקציב החברה לפיתוח 2024'!B49</f>
        <v>2099</v>
      </c>
      <c r="C98" s="235" t="str">
        <f>'תקציב החברה לפיתוח 2024'!C49</f>
        <v>סינמטק בבנין עיריה חדש</v>
      </c>
      <c r="D98" s="120">
        <f>'תקציב החברה לפיתוח 2024'!D49</f>
        <v>20860000</v>
      </c>
      <c r="E98" s="120">
        <f>'תקציב החברה לפיתוח 2024'!E49</f>
        <v>17650000</v>
      </c>
      <c r="F98" s="120">
        <f>'תקציב החברה לפיתוח 2024'!F49</f>
        <v>3210000</v>
      </c>
      <c r="G98" s="120">
        <f>'תקציב החברה לפיתוח 2024'!G49</f>
        <v>16500000</v>
      </c>
      <c r="H98" s="120">
        <f>'תקציב החברה לפיתוח 2024'!H49</f>
        <v>15906185</v>
      </c>
      <c r="I98" s="120">
        <f>'תקציב החברה לפיתוח 2024'!I49</f>
        <v>0</v>
      </c>
      <c r="J98" s="120">
        <f>'תקציב החברה לפיתוח 2024'!J49</f>
        <v>0</v>
      </c>
      <c r="K98" s="120">
        <f>'תקציב החברה לפיתוח 2024'!K49</f>
        <v>0</v>
      </c>
      <c r="L98" s="120">
        <f>'תקציב החברה לפיתוח 2024'!L49</f>
        <v>15906185</v>
      </c>
      <c r="M98" s="120">
        <f>'תקציב החברה לפיתוח 2024'!M49</f>
        <v>3815</v>
      </c>
      <c r="N98" s="120">
        <f>'תקציב החברה לפיתוח 2024'!N49</f>
        <v>4950000</v>
      </c>
      <c r="O98" s="120">
        <f>'תקציב החברה לפיתוח 2024'!O49</f>
        <v>0</v>
      </c>
      <c r="P98" s="120">
        <f>'תקציב החברה לפיתוח 2024'!P49</f>
        <v>593815</v>
      </c>
      <c r="Q98" s="120">
        <f>'תקציב החברה לפיתוח 2024'!Q49</f>
        <v>0</v>
      </c>
      <c r="R98" s="120">
        <f>'תקציב החברה לפיתוח 2024'!R49</f>
        <v>0</v>
      </c>
      <c r="S98" s="120">
        <f>'תקציב החברה לפיתוח 2024'!S49</f>
        <v>0</v>
      </c>
      <c r="T98" s="120">
        <f>'תקציב החברה לפיתוח 2024'!T49</f>
        <v>590000</v>
      </c>
      <c r="U98" s="120">
        <f>'תקציב החברה לפיתוח 2024'!U49</f>
        <v>4360000</v>
      </c>
      <c r="V98" s="120">
        <f>'תקציב החברה לפיתוח 2024'!V49</f>
        <v>4360000</v>
      </c>
      <c r="W98" s="120">
        <f>'תקציב החברה לפיתוח 2024'!W49</f>
        <v>0</v>
      </c>
      <c r="X98" s="120">
        <f>'תקציב החברה לפיתוח 2024'!X49</f>
        <v>0</v>
      </c>
      <c r="Y98" s="120">
        <f>'תקציב החברה לפיתוח 2024'!Y49</f>
        <v>0</v>
      </c>
      <c r="Z98" s="120">
        <f>'תקציב החברה לפיתוח 2024'!Z49</f>
        <v>0</v>
      </c>
      <c r="AA98" s="120">
        <f>'תקציב החברה לפיתוח 2024'!AA49</f>
        <v>0</v>
      </c>
      <c r="AB98" s="235" t="str">
        <f>'תקציב החברה לפיתוח 2024'!AB49</f>
        <v>הכשרת סינמטק בבניין העיריה החדש. מימון מ. הפיס.</v>
      </c>
      <c r="AC98" s="135">
        <f>'תקציב החברה לפיתוח 2024'!AC49</f>
        <v>826000</v>
      </c>
      <c r="AD98" s="134"/>
      <c r="AE98" s="134"/>
      <c r="AF98" s="134"/>
      <c r="AG98" s="134"/>
      <c r="AH98" s="134"/>
      <c r="AI98" s="134"/>
      <c r="AJ98" s="131"/>
      <c r="AK98" s="131"/>
      <c r="AL98" s="131"/>
      <c r="AM98" s="131"/>
    </row>
    <row r="99" spans="1:39" s="5" customFormat="1" ht="45" customHeight="1">
      <c r="A99" s="135">
        <f t="shared" si="6"/>
        <v>91</v>
      </c>
      <c r="B99" s="135">
        <f>'תקציב החברה לפיתוח 2024'!B96</f>
        <v>20016</v>
      </c>
      <c r="C99" s="235" t="str">
        <f>'תקציב החברה לפיתוח 2024'!C96</f>
        <v>מרכז תרבות בנושא האקלים ברחוב בן גוריון</v>
      </c>
      <c r="D99" s="120">
        <f>'תקציב החברה לפיתוח 2024'!D96</f>
        <v>2500000</v>
      </c>
      <c r="E99" s="120">
        <f>'תקציב החברה לפיתוח 2024'!E96</f>
        <v>1000000</v>
      </c>
      <c r="F99" s="120">
        <f>'תקציב החברה לפיתוח 2024'!F96</f>
        <v>1500000</v>
      </c>
      <c r="G99" s="120">
        <f>'תקציב החברה לפיתוח 2024'!G96</f>
        <v>700000</v>
      </c>
      <c r="H99" s="120">
        <f>'תקציב החברה לפיתוח 2024'!H96</f>
        <v>690530</v>
      </c>
      <c r="I99" s="120">
        <f>'תקציב החברה לפיתוח 2024'!I96</f>
        <v>0</v>
      </c>
      <c r="J99" s="120">
        <f>'תקציב החברה לפיתוח 2024'!J96</f>
        <v>0</v>
      </c>
      <c r="K99" s="120">
        <f>'תקציב החברה לפיתוח 2024'!K96</f>
        <v>0</v>
      </c>
      <c r="L99" s="120">
        <f>'תקציב החברה לפיתוח 2024'!L96</f>
        <v>690530</v>
      </c>
      <c r="M99" s="120">
        <f>'תקציב החברה לפיתוח 2024'!M96</f>
        <v>4470</v>
      </c>
      <c r="N99" s="120">
        <f>'תקציב החברה לפיתוח 2024'!N96</f>
        <v>1005000</v>
      </c>
      <c r="O99" s="120">
        <f>'תקציב החברה לפיתוח 2024'!O96</f>
        <v>800000</v>
      </c>
      <c r="P99" s="120">
        <f>'תקציב החברה לפיתוח 2024'!P96</f>
        <v>9470</v>
      </c>
      <c r="Q99" s="120">
        <f>'תקציב החברה לפיתוח 2024'!Q96</f>
        <v>300000</v>
      </c>
      <c r="R99" s="120">
        <f>'תקציב החברה לפיתוח 2024'!R96</f>
        <v>0</v>
      </c>
      <c r="S99" s="120">
        <f>'תקציב החברה לפיתוח 2024'!S96</f>
        <v>300000</v>
      </c>
      <c r="T99" s="120">
        <f>'תקציב החברה לפיתוח 2024'!T96</f>
        <v>305000</v>
      </c>
      <c r="U99" s="120">
        <f>'תקציב החברה לפיתוח 2024'!U96</f>
        <v>700000</v>
      </c>
      <c r="V99" s="120">
        <f>'תקציב החברה לפיתוח 2024'!V96</f>
        <v>700000</v>
      </c>
      <c r="W99" s="120">
        <f>'תקציב החברה לפיתוח 2024'!W96</f>
        <v>0</v>
      </c>
      <c r="X99" s="120">
        <f>'תקציב החברה לפיתוח 2024'!X96</f>
        <v>0</v>
      </c>
      <c r="Y99" s="120">
        <f>'תקציב החברה לפיתוח 2024'!Y96</f>
        <v>0</v>
      </c>
      <c r="Z99" s="120">
        <f>'תקציב החברה לפיתוח 2024'!Z96</f>
        <v>0</v>
      </c>
      <c r="AA99" s="120">
        <f>'תקציב החברה לפיתוח 2024'!AA96</f>
        <v>0</v>
      </c>
      <c r="AB99" s="235" t="str">
        <f>'תקציב החברה לפיתוח 2024'!AB96</f>
        <v xml:space="preserve">הקמת מרכז תרבות עם קונספט אקלימי חדשני בו יהיו גם פעילויות חינוכית, פיתוח עסקי, חברתי ותיירותי בתחום. </v>
      </c>
      <c r="AC99" s="135">
        <f>'תקציב החברה לפיתוח 2024'!AC96</f>
        <v>826000</v>
      </c>
      <c r="AD99" s="134"/>
      <c r="AE99" s="134"/>
      <c r="AF99" s="134"/>
      <c r="AG99" s="134"/>
      <c r="AH99" s="134"/>
      <c r="AI99" s="134"/>
    </row>
    <row r="100" spans="1:39" s="5" customFormat="1" ht="45" customHeight="1">
      <c r="A100" s="135">
        <f t="shared" si="6"/>
        <v>92</v>
      </c>
      <c r="B100" s="135">
        <f>'תקציב החברה לפיתוח 2024'!B98</f>
        <v>20018</v>
      </c>
      <c r="C100" s="235" t="str">
        <f>'תקציב החברה לפיתוח 2024'!C98</f>
        <v>מוזיאון הרצליה - הרחבה ושיפוץ</v>
      </c>
      <c r="D100" s="120">
        <f>'תקציב החברה לפיתוח 2024'!D98</f>
        <v>45000000</v>
      </c>
      <c r="E100" s="120">
        <f>'תקציב החברה לפיתוח 2024'!E98</f>
        <v>1000000</v>
      </c>
      <c r="F100" s="120">
        <f>'תקציב החברה לפיתוח 2024'!F98</f>
        <v>44000000</v>
      </c>
      <c r="G100" s="120">
        <f>'תקציב החברה לפיתוח 2024'!G98</f>
        <v>1000000</v>
      </c>
      <c r="H100" s="120">
        <f>'תקציב החברה לפיתוח 2024'!H98</f>
        <v>956644</v>
      </c>
      <c r="I100" s="120">
        <f>'תקציב החברה לפיתוח 2024'!I98</f>
        <v>0</v>
      </c>
      <c r="J100" s="120">
        <f>'תקציב החברה לפיתוח 2024'!J98</f>
        <v>0</v>
      </c>
      <c r="K100" s="120">
        <f>'תקציב החברה לפיתוח 2024'!K98</f>
        <v>0</v>
      </c>
      <c r="L100" s="120">
        <f>'תקציב החברה לפיתוח 2024'!L98</f>
        <v>956644</v>
      </c>
      <c r="M100" s="120">
        <f>'תקציב החברה לפיתוח 2024'!M98</f>
        <v>3356</v>
      </c>
      <c r="N100" s="120">
        <f>'תקציב החברה לפיתוח 2024'!N98</f>
        <v>11540000</v>
      </c>
      <c r="O100" s="120">
        <f>'תקציב החברה לפיתוח 2024'!O98</f>
        <v>32500000</v>
      </c>
      <c r="P100" s="120">
        <f>'תקציב החברה לפיתוח 2024'!P98</f>
        <v>43356</v>
      </c>
      <c r="Q100" s="120">
        <f>'תקציב החברה לפיתוח 2024'!Q98</f>
        <v>0</v>
      </c>
      <c r="R100" s="120">
        <f>'תקציב החברה לפיתוח 2024'!R98</f>
        <v>0</v>
      </c>
      <c r="S100" s="120">
        <f>'תקציב החברה לפיתוח 2024'!S98</f>
        <v>0</v>
      </c>
      <c r="T100" s="120">
        <f>'תקציב החברה לפיתוח 2024'!T98</f>
        <v>40000</v>
      </c>
      <c r="U100" s="120">
        <f>'תקציב החברה לפיתוח 2024'!U98</f>
        <v>11500000</v>
      </c>
      <c r="V100" s="120">
        <f>'תקציב החברה לפיתוח 2024'!V98</f>
        <v>0</v>
      </c>
      <c r="W100" s="120">
        <f>'תקציב החברה לפיתוח 2024'!W98</f>
        <v>0</v>
      </c>
      <c r="X100" s="120">
        <f>'תקציב החברה לפיתוח 2024'!X98</f>
        <v>0</v>
      </c>
      <c r="Y100" s="120">
        <f>'תקציב החברה לפיתוח 2024'!Y98</f>
        <v>0</v>
      </c>
      <c r="Z100" s="120">
        <f>'תקציב החברה לפיתוח 2024'!Z98</f>
        <v>0</v>
      </c>
      <c r="AA100" s="120">
        <f>'תקציב החברה לפיתוח 2024'!AA98</f>
        <v>11500000</v>
      </c>
      <c r="AB100" s="235" t="str">
        <f>'תקציב החברה לפיתוח 2024'!AB98</f>
        <v>תוספת קומה כ - 300 מ"ר , עבודות שיפוץ ופיתוח רחבת המוזיאון. מימון מ. התרבות ומ. הפיס.</v>
      </c>
      <c r="AC100" s="135">
        <f>'תקציב החברה לפיתוח 2024'!AC98</f>
        <v>826000</v>
      </c>
      <c r="AD100" s="134"/>
      <c r="AE100" s="134"/>
      <c r="AF100" s="134"/>
      <c r="AG100" s="134"/>
      <c r="AH100" s="134"/>
      <c r="AI100" s="134"/>
    </row>
    <row r="101" spans="1:39" s="5" customFormat="1" ht="45" customHeight="1">
      <c r="A101" s="135">
        <f t="shared" si="6"/>
        <v>93</v>
      </c>
      <c r="B101" s="135">
        <f>'תקציב החברה לפיתוח 2024'!B14</f>
        <v>1357</v>
      </c>
      <c r="C101" s="235" t="str">
        <f>'תקציב החברה לפיתוח 2024'!C14</f>
        <v>ספורטק שלב ג'</v>
      </c>
      <c r="D101" s="120">
        <f>'תקציב החברה לפיתוח 2024'!D14</f>
        <v>18812000</v>
      </c>
      <c r="E101" s="120">
        <f>'תקציב החברה לפיתוח 2024'!E14</f>
        <v>18812000</v>
      </c>
      <c r="F101" s="120">
        <f>'תקציב החברה לפיתוח 2024'!F14</f>
        <v>0</v>
      </c>
      <c r="G101" s="120">
        <f>'תקציב החברה לפיתוח 2024'!G14</f>
        <v>18812000</v>
      </c>
      <c r="H101" s="120">
        <f>'תקציב החברה לפיתוח 2024'!H14</f>
        <v>17954809</v>
      </c>
      <c r="I101" s="120">
        <f>'תקציב החברה לפיתוח 2024'!I14</f>
        <v>0</v>
      </c>
      <c r="J101" s="120">
        <f>'תקציב החברה לפיתוח 2024'!J14</f>
        <v>0</v>
      </c>
      <c r="K101" s="120">
        <f>'תקציב החברה לפיתוח 2024'!K14</f>
        <v>0</v>
      </c>
      <c r="L101" s="120">
        <f>'תקציב החברה לפיתוח 2024'!L14</f>
        <v>17954809</v>
      </c>
      <c r="M101" s="120">
        <f>'תקציב החברה לפיתוח 2024'!M14</f>
        <v>7191</v>
      </c>
      <c r="N101" s="120">
        <f>'תקציב החברה לפיתוח 2024'!N14</f>
        <v>850000</v>
      </c>
      <c r="O101" s="120">
        <f>'תקציב החברה לפיתוח 2024'!O14</f>
        <v>0</v>
      </c>
      <c r="P101" s="120">
        <f>'תקציב החברה לפיתוח 2024'!P14</f>
        <v>857191</v>
      </c>
      <c r="Q101" s="120">
        <f>'תקציב החברה לפיתוח 2024'!Q14</f>
        <v>0</v>
      </c>
      <c r="R101" s="120">
        <f>'תקציב החברה לפיתוח 2024'!R14</f>
        <v>0</v>
      </c>
      <c r="S101" s="120">
        <f>'תקציב החברה לפיתוח 2024'!S14</f>
        <v>0</v>
      </c>
      <c r="T101" s="120">
        <f>'תקציב החברה לפיתוח 2024'!T14</f>
        <v>850000</v>
      </c>
      <c r="U101" s="120">
        <f>'תקציב החברה לפיתוח 2024'!U14</f>
        <v>0</v>
      </c>
      <c r="V101" s="120">
        <f>'תקציב החברה לפיתוח 2024'!V14</f>
        <v>0</v>
      </c>
      <c r="W101" s="120">
        <f>'תקציב החברה לפיתוח 2024'!W14</f>
        <v>0</v>
      </c>
      <c r="X101" s="120">
        <f>'תקציב החברה לפיתוח 2024'!X14</f>
        <v>0</v>
      </c>
      <c r="Y101" s="120">
        <f>'תקציב החברה לפיתוח 2024'!Y14</f>
        <v>0</v>
      </c>
      <c r="Z101" s="120">
        <f>'תקציב החברה לפיתוח 2024'!Z14</f>
        <v>0</v>
      </c>
      <c r="AA101" s="120">
        <f>'תקציב החברה לפיתוח 2024'!AA14</f>
        <v>0</v>
      </c>
      <c r="AB101" s="235" t="str">
        <f>'תקציב החברה לפיתוח 2024'!AB14</f>
        <v>עבודות מבנה מועדון פטנג. בספורטק.</v>
      </c>
      <c r="AC101" s="135">
        <f>'תקציב החברה לפיתוח 2024'!AC14</f>
        <v>829000</v>
      </c>
      <c r="AD101" s="134"/>
      <c r="AE101" s="134"/>
      <c r="AF101" s="134"/>
      <c r="AG101" s="134"/>
      <c r="AH101" s="134"/>
      <c r="AI101" s="134"/>
    </row>
    <row r="102" spans="1:39" s="5" customFormat="1" ht="45" customHeight="1">
      <c r="A102" s="135">
        <f t="shared" si="6"/>
        <v>94</v>
      </c>
      <c r="B102" s="135">
        <f>'תקציב החברה לפיתוח 2024'!B25</f>
        <v>1833</v>
      </c>
      <c r="C102" s="235" t="str">
        <f>'תקציב החברה לפיתוח 2024'!C25</f>
        <v>אולם ספורט חטיבת זאב</v>
      </c>
      <c r="D102" s="120">
        <f>'תקציב החברה לפיתוח 2024'!D25</f>
        <v>29000000</v>
      </c>
      <c r="E102" s="120">
        <f>'תקציב החברה לפיתוח 2024'!E25</f>
        <v>29000000</v>
      </c>
      <c r="F102" s="120">
        <f>'תקציב החברה לפיתוח 2024'!F25</f>
        <v>0</v>
      </c>
      <c r="G102" s="120">
        <f>'תקציב החברה לפיתוח 2024'!G25</f>
        <v>29000000</v>
      </c>
      <c r="H102" s="120">
        <f>'תקציב החברה לפיתוח 2024'!H25</f>
        <v>28969915</v>
      </c>
      <c r="I102" s="120">
        <f>'תקציב החברה לפיתוח 2024'!I25</f>
        <v>0</v>
      </c>
      <c r="J102" s="120">
        <f>'תקציב החברה לפיתוח 2024'!J25</f>
        <v>0</v>
      </c>
      <c r="K102" s="120">
        <f>'תקציב החברה לפיתוח 2024'!K25</f>
        <v>0</v>
      </c>
      <c r="L102" s="120">
        <f>'תקציב החברה לפיתוח 2024'!L25</f>
        <v>28969915</v>
      </c>
      <c r="M102" s="120">
        <f>'תקציב החברה לפיתוח 2024'!M25</f>
        <v>85</v>
      </c>
      <c r="N102" s="120">
        <f>'תקציב החברה לפיתוח 2024'!N25</f>
        <v>30000</v>
      </c>
      <c r="O102" s="120">
        <f>'תקציב החברה לפיתוח 2024'!O25</f>
        <v>0</v>
      </c>
      <c r="P102" s="120">
        <f>'תקציב החברה לפיתוח 2024'!P25</f>
        <v>30085</v>
      </c>
      <c r="Q102" s="120">
        <f>'תקציב החברה לפיתוח 2024'!Q25</f>
        <v>0</v>
      </c>
      <c r="R102" s="120">
        <f>'תקציב החברה לפיתוח 2024'!R25</f>
        <v>0</v>
      </c>
      <c r="S102" s="120">
        <f>'תקציב החברה לפיתוח 2024'!S25</f>
        <v>0</v>
      </c>
      <c r="T102" s="120">
        <f>'תקציב החברה לפיתוח 2024'!T25</f>
        <v>30000</v>
      </c>
      <c r="U102" s="120">
        <f>'תקציב החברה לפיתוח 2024'!U25</f>
        <v>0</v>
      </c>
      <c r="V102" s="120">
        <f>'תקציב החברה לפיתוח 2024'!V25</f>
        <v>0</v>
      </c>
      <c r="W102" s="120">
        <f>'תקציב החברה לפיתוח 2024'!W25</f>
        <v>0</v>
      </c>
      <c r="X102" s="120">
        <f>'תקציב החברה לפיתוח 2024'!X25</f>
        <v>0</v>
      </c>
      <c r="Y102" s="120">
        <f>'תקציב החברה לפיתוח 2024'!Y25</f>
        <v>0</v>
      </c>
      <c r="Z102" s="120">
        <f>'תקציב החברה לפיתוח 2024'!Z25</f>
        <v>0</v>
      </c>
      <c r="AA102" s="120">
        <f>'תקציב החברה לפיתוח 2024'!AA25</f>
        <v>0</v>
      </c>
      <c r="AB102" s="235" t="str">
        <f>'תקציב החברה לפיתוח 2024'!AB25</f>
        <v>בניית אולם ספורט חדש בחטיבה. חן סופיים. התב"ר לסגירה.</v>
      </c>
      <c r="AC102" s="135">
        <f>'תקציב החברה לפיתוח 2024'!AC25</f>
        <v>829000</v>
      </c>
      <c r="AD102" s="134"/>
      <c r="AE102" s="134"/>
      <c r="AF102" s="134"/>
      <c r="AG102" s="134"/>
      <c r="AH102" s="134"/>
      <c r="AI102" s="134"/>
      <c r="AJ102" s="131"/>
      <c r="AK102" s="131"/>
      <c r="AL102" s="131"/>
      <c r="AM102" s="131"/>
    </row>
    <row r="103" spans="1:39" s="5" customFormat="1" ht="45" customHeight="1">
      <c r="A103" s="135">
        <f t="shared" si="6"/>
        <v>95</v>
      </c>
      <c r="B103" s="135">
        <f>'תקציב החברה לפיתוח 2024'!B29</f>
        <v>1896</v>
      </c>
      <c r="C103" s="235" t="str">
        <f>'תקציב החברה לפיתוח 2024'!C29</f>
        <v>קירוי והצללה מגרשי ספורט עירוניים</v>
      </c>
      <c r="D103" s="120">
        <f>'תקציב החברה לפיתוח 2024'!D29</f>
        <v>10300000</v>
      </c>
      <c r="E103" s="120">
        <f>'תקציב החברה לפיתוח 2024'!E29</f>
        <v>7800000</v>
      </c>
      <c r="F103" s="120">
        <f>'תקציב החברה לפיתוח 2024'!F29</f>
        <v>2500000</v>
      </c>
      <c r="G103" s="120">
        <f>'תקציב החברה לפיתוח 2024'!G29</f>
        <v>7800000</v>
      </c>
      <c r="H103" s="120">
        <f>'תקציב החברה לפיתוח 2024'!H29</f>
        <v>6432030</v>
      </c>
      <c r="I103" s="120">
        <f>'תקציב החברה לפיתוח 2024'!I29</f>
        <v>0</v>
      </c>
      <c r="J103" s="120">
        <f>'תקציב החברה לפיתוח 2024'!J29</f>
        <v>951442</v>
      </c>
      <c r="K103" s="120">
        <f>'תקציב החברה לפיתוח 2024'!K29</f>
        <v>951442</v>
      </c>
      <c r="L103" s="120">
        <f>'תקציב החברה לפיתוח 2024'!L29</f>
        <v>7383472</v>
      </c>
      <c r="M103" s="120">
        <f>'תקציב החברה לפיתוח 2024'!M29</f>
        <v>16528</v>
      </c>
      <c r="N103" s="120">
        <f>'תקציב החברה לפיתוח 2024'!N29</f>
        <v>2900000</v>
      </c>
      <c r="O103" s="120">
        <f>'תקציב החברה לפיתוח 2024'!O29</f>
        <v>0</v>
      </c>
      <c r="P103" s="120">
        <f>'תקציב החברה לפיתוח 2024'!P29</f>
        <v>416528</v>
      </c>
      <c r="Q103" s="120">
        <f>'תקציב החברה לפיתוח 2024'!Q29</f>
        <v>0</v>
      </c>
      <c r="R103" s="120">
        <f>'תקציב החברה לפיתוח 2024'!R29</f>
        <v>0</v>
      </c>
      <c r="S103" s="120">
        <f>'תקציב החברה לפיתוח 2024'!S29</f>
        <v>0</v>
      </c>
      <c r="T103" s="120">
        <f>'תקציב החברה לפיתוח 2024'!T29</f>
        <v>400000</v>
      </c>
      <c r="U103" s="120">
        <f>'תקציב החברה לפיתוח 2024'!U29</f>
        <v>2500000</v>
      </c>
      <c r="V103" s="120">
        <f>'תקציב החברה לפיתוח 2024'!V29</f>
        <v>2500000</v>
      </c>
      <c r="W103" s="120">
        <f>'תקציב החברה לפיתוח 2024'!W29</f>
        <v>0</v>
      </c>
      <c r="X103" s="120">
        <f>'תקציב החברה לפיתוח 2024'!X29</f>
        <v>0</v>
      </c>
      <c r="Y103" s="120">
        <f>'תקציב החברה לפיתוח 2024'!Y29</f>
        <v>0</v>
      </c>
      <c r="Z103" s="120">
        <f>'תקציב החברה לפיתוח 2024'!Z29</f>
        <v>0</v>
      </c>
      <c r="AA103" s="120">
        <f>'תקציב החברה לפיתוח 2024'!AA29</f>
        <v>0</v>
      </c>
      <c r="AB103" s="235" t="str">
        <f>'תקציב החברה לפיתוח 2024'!AB29</f>
        <v>התקנת קירוי קשיח ופוטוואלטי במגרשי ספורט. תיכון דור ותיכון חדש.</v>
      </c>
      <c r="AC103" s="135">
        <f>'תקציב החברה לפיתוח 2024'!AC29</f>
        <v>829000</v>
      </c>
      <c r="AD103" s="134"/>
      <c r="AE103" s="134"/>
      <c r="AF103" s="134"/>
      <c r="AG103" s="134"/>
      <c r="AH103" s="134"/>
      <c r="AI103" s="134"/>
      <c r="AJ103" s="131"/>
      <c r="AK103" s="131"/>
      <c r="AL103" s="131"/>
      <c r="AM103" s="131"/>
    </row>
    <row r="104" spans="1:39" s="5" customFormat="1" ht="41.4">
      <c r="A104" s="135">
        <f t="shared" si="6"/>
        <v>96</v>
      </c>
      <c r="B104" s="135">
        <f>'תקציב החברה לפיתוח 2024'!B30</f>
        <v>1921</v>
      </c>
      <c r="C104" s="235" t="str">
        <f>'תקציב החברה לפיתוח 2024'!C30</f>
        <v>עבודות הרחבה התאמה איצטדיון</v>
      </c>
      <c r="D104" s="120">
        <f>'תקציב החברה לפיתוח 2024'!D30</f>
        <v>45000000</v>
      </c>
      <c r="E104" s="120">
        <f>'תקציב החברה לפיתוח 2024'!E30</f>
        <v>29716000</v>
      </c>
      <c r="F104" s="120">
        <f>'תקציב החברה לפיתוח 2024'!F30</f>
        <v>15284000</v>
      </c>
      <c r="G104" s="120">
        <f>'תקציב החברה לפיתוח 2024'!G30</f>
        <v>10366000</v>
      </c>
      <c r="H104" s="120">
        <f>'תקציב החברה לפיתוח 2024'!H30</f>
        <v>10815733</v>
      </c>
      <c r="I104" s="120">
        <f>'תקציב החברה לפיתוח 2024'!I30</f>
        <v>0</v>
      </c>
      <c r="J104" s="120">
        <f>'תקציב החברה לפיתוח 2024'!J30</f>
        <v>38153</v>
      </c>
      <c r="K104" s="120">
        <f>'תקציב החברה לפיתוח 2024'!K30</f>
        <v>38153</v>
      </c>
      <c r="L104" s="120">
        <f>'תקציב החברה לפיתוח 2024'!L30</f>
        <v>10853886</v>
      </c>
      <c r="M104" s="120">
        <f>'תקציב החברה לפיתוח 2024'!M30</f>
        <v>2114</v>
      </c>
      <c r="N104" s="120">
        <f>'תקציב החברה לפיתוח 2024'!N30</f>
        <v>2860000</v>
      </c>
      <c r="O104" s="120">
        <f>'תקציב החברה לפיתוח 2024'!O30</f>
        <v>31284000</v>
      </c>
      <c r="P104" s="120">
        <f>'תקציב החברה לפיתוח 2024'!P30</f>
        <v>-487886</v>
      </c>
      <c r="Q104" s="120">
        <f>'תקציב החברה לפיתוח 2024'!Q30</f>
        <v>3350000</v>
      </c>
      <c r="R104" s="120">
        <f>'תקציב החברה לפיתוח 2024'!R30</f>
        <v>0</v>
      </c>
      <c r="S104" s="120">
        <f>'תקציב החברה לפיתוח 2024'!S30</f>
        <v>3350000</v>
      </c>
      <c r="T104" s="120">
        <f>'תקציב החברה לפיתוח 2024'!T30</f>
        <v>2860000</v>
      </c>
      <c r="U104" s="120">
        <f>'תקציב החברה לפיתוח 2024'!U30</f>
        <v>0</v>
      </c>
      <c r="V104" s="120">
        <f>'תקציב החברה לפיתוח 2024'!V30</f>
        <v>0</v>
      </c>
      <c r="W104" s="120">
        <f>'תקציב החברה לפיתוח 2024'!W30</f>
        <v>0</v>
      </c>
      <c r="X104" s="120">
        <f>'תקציב החברה לפיתוח 2024'!X30</f>
        <v>0</v>
      </c>
      <c r="Y104" s="120">
        <f>'תקציב החברה לפיתוח 2024'!Y30</f>
        <v>0</v>
      </c>
      <c r="Z104" s="120">
        <f>'תקציב החברה לפיתוח 2024'!Z30</f>
        <v>0</v>
      </c>
      <c r="AA104" s="120">
        <f>'תקציב החברה לפיתוח 2024'!AA30</f>
        <v>0</v>
      </c>
      <c r="AB104" s="235" t="str">
        <f>'תקציב החברה לפיתוח 2024'!AB30</f>
        <v>מבנה קבוצות הנוער  הריסת טריבונות , בניית מלתחות  בניית טריבונה וגג קל. יציע מזרחי.</v>
      </c>
      <c r="AC104" s="135">
        <f>'תקציב החברה לפיתוח 2024'!AC30</f>
        <v>829000</v>
      </c>
      <c r="AD104" s="134"/>
      <c r="AE104" s="134"/>
      <c r="AF104" s="134"/>
      <c r="AG104" s="134"/>
      <c r="AH104" s="134"/>
      <c r="AI104" s="134"/>
      <c r="AJ104" s="131"/>
      <c r="AK104" s="131"/>
      <c r="AL104" s="131"/>
      <c r="AM104" s="131"/>
    </row>
    <row r="105" spans="1:39" s="5" customFormat="1" ht="45" customHeight="1">
      <c r="A105" s="135">
        <f t="shared" si="6"/>
        <v>97</v>
      </c>
      <c r="B105" s="135">
        <f>'תקציב החברה לפיתוח 2024'!B41</f>
        <v>2022</v>
      </c>
      <c r="C105" s="235" t="str">
        <f>'תקציב החברה לפיתוח 2024'!C41</f>
        <v xml:space="preserve">הקמת אולם ספורט הנגיד </v>
      </c>
      <c r="D105" s="120">
        <f>'תקציב החברה לפיתוח 2024'!D41</f>
        <v>13950000</v>
      </c>
      <c r="E105" s="120">
        <f>'תקציב החברה לפיתוח 2024'!E41</f>
        <v>14000000</v>
      </c>
      <c r="F105" s="120">
        <f>'תקציב החברה לפיתוח 2024'!F41</f>
        <v>-50000</v>
      </c>
      <c r="G105" s="120">
        <f>'תקציב החברה לפיתוח 2024'!G41</f>
        <v>14000000</v>
      </c>
      <c r="H105" s="120">
        <f>'תקציב החברה לפיתוח 2024'!H41</f>
        <v>13897589</v>
      </c>
      <c r="I105" s="120">
        <f>'תקציב החברה לפיתוח 2024'!I41</f>
        <v>0</v>
      </c>
      <c r="J105" s="120">
        <f>'תקציב החברה לפיתוח 2024'!J41</f>
        <v>0</v>
      </c>
      <c r="K105" s="120">
        <f>'תקציב החברה לפיתוח 2024'!K41</f>
        <v>0</v>
      </c>
      <c r="L105" s="120">
        <f>'תקציב החברה לפיתוח 2024'!L41</f>
        <v>13897589</v>
      </c>
      <c r="M105" s="120">
        <f>'תקציב החברה לפיתוח 2024'!M41</f>
        <v>2411</v>
      </c>
      <c r="N105" s="120">
        <f>'תקציב החברה לפיתוח 2024'!N41</f>
        <v>50000</v>
      </c>
      <c r="O105" s="120">
        <f>'תקציב החברה לפיתוח 2024'!O41</f>
        <v>0</v>
      </c>
      <c r="P105" s="120">
        <f>'תקציב החברה לפיתוח 2024'!P41</f>
        <v>102411</v>
      </c>
      <c r="Q105" s="120">
        <f>'תקציב החברה לפיתוח 2024'!Q41</f>
        <v>0</v>
      </c>
      <c r="R105" s="120">
        <f>'תקציב החברה לפיתוח 2024'!R41</f>
        <v>0</v>
      </c>
      <c r="S105" s="120">
        <f>'תקציב החברה לפיתוח 2024'!S41</f>
        <v>0</v>
      </c>
      <c r="T105" s="120">
        <f>'תקציב החברה לפיתוח 2024'!T41</f>
        <v>100000</v>
      </c>
      <c r="U105" s="120">
        <f>'תקציב החברה לפיתוח 2024'!U41</f>
        <v>-50000</v>
      </c>
      <c r="V105" s="120">
        <f>'תקציב החברה לפיתוח 2024'!V41</f>
        <v>-50000</v>
      </c>
      <c r="W105" s="120">
        <f>'תקציב החברה לפיתוח 2024'!W41</f>
        <v>0</v>
      </c>
      <c r="X105" s="120">
        <f>'תקציב החברה לפיתוח 2024'!X41</f>
        <v>0</v>
      </c>
      <c r="Y105" s="120">
        <f>'תקציב החברה לפיתוח 2024'!Y41</f>
        <v>0</v>
      </c>
      <c r="Z105" s="120">
        <f>'תקציב החברה לפיתוח 2024'!Z41</f>
        <v>0</v>
      </c>
      <c r="AA105" s="120">
        <f>'תקציב החברה לפיתוח 2024'!AA41</f>
        <v>0</v>
      </c>
      <c r="AB105" s="235" t="str">
        <f>'תקציב החברה לפיתוח 2024'!AB41</f>
        <v>עבודות הקמת אולם ספורט בנגיד  כולל הריסת אולמות ומקלט קיימים. חן סופיים. התב"ר לסגירה.</v>
      </c>
      <c r="AC105" s="135">
        <f>'תקציב החברה לפיתוח 2024'!AC41</f>
        <v>829000</v>
      </c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</row>
    <row r="106" spans="1:39" s="5" customFormat="1" ht="45" customHeight="1">
      <c r="A106" s="135">
        <f t="shared" si="6"/>
        <v>98</v>
      </c>
      <c r="B106" s="135">
        <f>'תקציב החברה לפיתוח 2024'!B44</f>
        <v>2064</v>
      </c>
      <c r="C106" s="235" t="str">
        <f>'תקציב החברה לפיתוח 2024'!C44</f>
        <v>שיפוץ אולם ספורט היובל</v>
      </c>
      <c r="D106" s="120">
        <f>'תקציב החברה לפיתוח 2024'!D44</f>
        <v>2433705</v>
      </c>
      <c r="E106" s="120">
        <f>'תקציב החברה לפיתוח 2024'!E44</f>
        <v>2463705</v>
      </c>
      <c r="F106" s="120">
        <f>'תקציב החברה לפיתוח 2024'!F44</f>
        <v>-30000</v>
      </c>
      <c r="G106" s="120">
        <f>'תקציב החברה לפיתוח 2024'!G44</f>
        <v>2463705</v>
      </c>
      <c r="H106" s="120">
        <f>'תקציב החברה לפיתוח 2024'!H44</f>
        <v>2429685</v>
      </c>
      <c r="I106" s="120">
        <f>'תקציב החברה לפיתוח 2024'!I44</f>
        <v>0</v>
      </c>
      <c r="J106" s="120">
        <f>'תקציב החברה לפיתוח 2024'!J44</f>
        <v>0</v>
      </c>
      <c r="K106" s="120">
        <f>'תקציב החברה לפיתוח 2024'!K44</f>
        <v>0</v>
      </c>
      <c r="L106" s="120">
        <f>'תקציב החברה לפיתוח 2024'!L44</f>
        <v>2429685</v>
      </c>
      <c r="M106" s="120">
        <f>'תקציב החברה לפיתוח 2024'!M44</f>
        <v>4020</v>
      </c>
      <c r="N106" s="120">
        <f>'תקציב החברה לפיתוח 2024'!N44</f>
        <v>0</v>
      </c>
      <c r="O106" s="120">
        <f>'תקציב החברה לפיתוח 2024'!O44</f>
        <v>0</v>
      </c>
      <c r="P106" s="120">
        <f>'תקציב החברה לפיתוח 2024'!P44</f>
        <v>34020</v>
      </c>
      <c r="Q106" s="120">
        <f>'תקציב החברה לפיתוח 2024'!Q44</f>
        <v>0</v>
      </c>
      <c r="R106" s="120">
        <f>'תקציב החברה לפיתוח 2024'!R44</f>
        <v>0</v>
      </c>
      <c r="S106" s="120">
        <f>'תקציב החברה לפיתוח 2024'!S44</f>
        <v>0</v>
      </c>
      <c r="T106" s="120">
        <f>'תקציב החברה לפיתוח 2024'!T44</f>
        <v>30000</v>
      </c>
      <c r="U106" s="120">
        <f>'תקציב החברה לפיתוח 2024'!U44</f>
        <v>-30000</v>
      </c>
      <c r="V106" s="120">
        <f>'תקציב החברה לפיתוח 2024'!V44</f>
        <v>-30000</v>
      </c>
      <c r="W106" s="120">
        <f>'תקציב החברה לפיתוח 2024'!W44</f>
        <v>0</v>
      </c>
      <c r="X106" s="120">
        <f>'תקציב החברה לפיתוח 2024'!X44</f>
        <v>0</v>
      </c>
      <c r="Y106" s="120">
        <f>'תקציב החברה לפיתוח 2024'!Y44</f>
        <v>0</v>
      </c>
      <c r="Z106" s="120">
        <f>'תקציב החברה לפיתוח 2024'!Z44</f>
        <v>0</v>
      </c>
      <c r="AA106" s="120">
        <f>'תקציב החברה לפיתוח 2024'!AA44</f>
        <v>0</v>
      </c>
      <c r="AB106" s="235" t="str">
        <f>'תקציב החברה לפיתוח 2024'!AB44</f>
        <v>שיפוץ אולם ספורט היובל כולל פיתוח המבואה והמתחם. חן סופיים. ייסגר עם קבלת תקבול מ. הספורט.</v>
      </c>
      <c r="AC106" s="135">
        <f>'תקציב החברה לפיתוח 2024'!AC44</f>
        <v>829000</v>
      </c>
      <c r="AD106" s="134"/>
      <c r="AE106" s="134"/>
      <c r="AF106" s="134"/>
      <c r="AG106" s="134"/>
      <c r="AH106" s="134"/>
      <c r="AI106" s="134"/>
      <c r="AJ106" s="131"/>
      <c r="AK106" s="131"/>
      <c r="AL106" s="131"/>
      <c r="AM106" s="131"/>
    </row>
    <row r="107" spans="1:39" s="157" customFormat="1" ht="45" customHeight="1">
      <c r="A107" s="135">
        <f t="shared" si="6"/>
        <v>99</v>
      </c>
      <c r="B107" s="135">
        <f>'תקציב החברה לפיתוח 2024'!B45</f>
        <v>2073</v>
      </c>
      <c r="C107" s="235" t="str">
        <f>'תקציב החברה לפיתוח 2024'!C45</f>
        <v xml:space="preserve">בי"ס ואולם ספורט ויצמן  </v>
      </c>
      <c r="D107" s="120">
        <f>'תקציב החברה לפיתוח 2024'!D45</f>
        <v>11350000</v>
      </c>
      <c r="E107" s="120">
        <f>'תקציב החברה לפיתוח 2024'!E45</f>
        <v>11350000</v>
      </c>
      <c r="F107" s="120">
        <f>'תקציב החברה לפיתוח 2024'!F45</f>
        <v>0</v>
      </c>
      <c r="G107" s="120">
        <f>'תקציב החברה לפיתוח 2024'!G45</f>
        <v>1600000</v>
      </c>
      <c r="H107" s="120">
        <f>'תקציב החברה לפיתוח 2024'!H45</f>
        <v>501947</v>
      </c>
      <c r="I107" s="120">
        <f>'תקציב החברה לפיתוח 2024'!I45</f>
        <v>0</v>
      </c>
      <c r="J107" s="120">
        <f>'תקציב החברה לפיתוח 2024'!J45</f>
        <v>0</v>
      </c>
      <c r="K107" s="120">
        <f>'תקציב החברה לפיתוח 2024'!K45</f>
        <v>0</v>
      </c>
      <c r="L107" s="120">
        <f>'תקציב החברה לפיתוח 2024'!L45</f>
        <v>501947</v>
      </c>
      <c r="M107" s="120">
        <f>'תקציב החברה לפיתוח 2024'!M45</f>
        <v>8053</v>
      </c>
      <c r="N107" s="120">
        <f>'תקציב החברה לפיתוח 2024'!N45</f>
        <v>790000</v>
      </c>
      <c r="O107" s="120">
        <f>'תקציב החברה לפיתוח 2024'!O45</f>
        <v>10050000</v>
      </c>
      <c r="P107" s="120">
        <f>'תקציב החברה לפיתוח 2024'!P45</f>
        <v>1098053</v>
      </c>
      <c r="Q107" s="120">
        <f>'תקציב החברה לפיתוח 2024'!Q45</f>
        <v>0</v>
      </c>
      <c r="R107" s="120">
        <f>'תקציב החברה לפיתוח 2024'!R45</f>
        <v>0</v>
      </c>
      <c r="S107" s="120">
        <f>'תקציב החברה לפיתוח 2024'!S45</f>
        <v>0</v>
      </c>
      <c r="T107" s="120">
        <f>'תקציב החברה לפיתוח 2024'!T45</f>
        <v>1090000</v>
      </c>
      <c r="U107" s="120">
        <f>'תקציב החברה לפיתוח 2024'!U45</f>
        <v>-300000</v>
      </c>
      <c r="V107" s="120">
        <f>'תקציב החברה לפיתוח 2024'!V45</f>
        <v>-300000</v>
      </c>
      <c r="W107" s="120">
        <f>'תקציב החברה לפיתוח 2024'!W45</f>
        <v>0</v>
      </c>
      <c r="X107" s="120">
        <f>'תקציב החברה לפיתוח 2024'!X45</f>
        <v>0</v>
      </c>
      <c r="Y107" s="120">
        <f>'תקציב החברה לפיתוח 2024'!Y45</f>
        <v>0</v>
      </c>
      <c r="Z107" s="120">
        <f>'תקציב החברה לפיתוח 2024'!Z45</f>
        <v>0</v>
      </c>
      <c r="AA107" s="120">
        <f>'תקציב החברה לפיתוח 2024'!AA45</f>
        <v>0</v>
      </c>
      <c r="AB107" s="235" t="str">
        <f>'תקציב החברה לפיתוח 2024'!AB45</f>
        <v xml:space="preserve">תוספת מבנה של 6 כיתות    ואולם ספורט חדש בבי"ס ויצמן. </v>
      </c>
      <c r="AC107" s="135">
        <f>'תקציב החברה לפיתוח 2024'!AC45</f>
        <v>829000</v>
      </c>
      <c r="AD107" s="134"/>
      <c r="AE107" s="134"/>
      <c r="AF107" s="134"/>
      <c r="AG107" s="134"/>
      <c r="AH107" s="134"/>
      <c r="AI107" s="134"/>
      <c r="AJ107" s="131"/>
      <c r="AK107" s="131"/>
      <c r="AL107" s="131"/>
      <c r="AM107" s="131"/>
    </row>
    <row r="108" spans="1:39" s="5" customFormat="1" ht="45" customHeight="1">
      <c r="A108" s="135">
        <f t="shared" si="6"/>
        <v>100</v>
      </c>
      <c r="B108" s="135">
        <f>'תקציב החברה לפיתוח 2024'!B66</f>
        <v>2153</v>
      </c>
      <c r="C108" s="235" t="str">
        <f>'תקציב החברה לפיתוח 2024'!C66</f>
        <v>הקמת ארנה</v>
      </c>
      <c r="D108" s="120">
        <f>'תקציב החברה לפיתוח 2024'!D66</f>
        <v>225000000</v>
      </c>
      <c r="E108" s="120">
        <f>'תקציב החברה לפיתוח 2024'!E66</f>
        <v>225000000</v>
      </c>
      <c r="F108" s="120">
        <f>'תקציב החברה לפיתוח 2024'!F66</f>
        <v>0</v>
      </c>
      <c r="G108" s="120">
        <f>'תקציב החברה לפיתוח 2024'!G66</f>
        <v>1000000</v>
      </c>
      <c r="H108" s="120">
        <f>'תקציב החברה לפיתוח 2024'!H66</f>
        <v>1999954</v>
      </c>
      <c r="I108" s="120">
        <f>'תקציב החברה לפיתוח 2024'!I66</f>
        <v>0</v>
      </c>
      <c r="J108" s="120">
        <f>'תקציב החברה לפיתוח 2024'!J66</f>
        <v>45</v>
      </c>
      <c r="K108" s="120">
        <f>'תקציב החברה לפיתוח 2024'!K66</f>
        <v>45</v>
      </c>
      <c r="L108" s="120">
        <f>'תקציב החברה לפיתוח 2024'!L66</f>
        <v>1999999</v>
      </c>
      <c r="M108" s="120">
        <f>'תקציב החברה לפיתוח 2024'!M66</f>
        <v>1</v>
      </c>
      <c r="N108" s="120">
        <f>'תקציב החברה לפיתוח 2024'!N66</f>
        <v>1300000</v>
      </c>
      <c r="O108" s="120">
        <f>'תקציב החברה לפיתוח 2024'!O66</f>
        <v>221700000</v>
      </c>
      <c r="P108" s="120">
        <f>'תקציב החברה לפיתוח 2024'!P66</f>
        <v>-999999</v>
      </c>
      <c r="Q108" s="120">
        <f>'תקציב החברה לפיתוח 2024'!Q66</f>
        <v>1000000</v>
      </c>
      <c r="R108" s="120">
        <f>'תקציב החברה לפיתוח 2024'!R66</f>
        <v>0</v>
      </c>
      <c r="S108" s="120">
        <f>'תקציב החברה לפיתוח 2024'!S66</f>
        <v>1000000</v>
      </c>
      <c r="T108" s="120">
        <f>'תקציב החברה לפיתוח 2024'!T66</f>
        <v>0</v>
      </c>
      <c r="U108" s="120">
        <f>'תקציב החברה לפיתוח 2024'!U66</f>
        <v>1300000</v>
      </c>
      <c r="V108" s="120">
        <f>'תקציב החברה לפיתוח 2024'!V66</f>
        <v>1300000</v>
      </c>
      <c r="W108" s="120">
        <f>'תקציב החברה לפיתוח 2024'!W66</f>
        <v>0</v>
      </c>
      <c r="X108" s="120">
        <f>'תקציב החברה לפיתוח 2024'!X66</f>
        <v>0</v>
      </c>
      <c r="Y108" s="120">
        <f>'תקציב החברה לפיתוח 2024'!Y66</f>
        <v>0</v>
      </c>
      <c r="Z108" s="120">
        <f>'תקציב החברה לפיתוח 2024'!Z66</f>
        <v>0</v>
      </c>
      <c r="AA108" s="120">
        <f>'תקציב החברה לפיתוח 2024'!AA66</f>
        <v>0</v>
      </c>
      <c r="AB108" s="235" t="str">
        <f>'תקציב החברה לפיתוח 2024'!AB66</f>
        <v>המשך תכנון ראשוני הקמת ארנה באיזור האיצטדיון.</v>
      </c>
      <c r="AC108" s="135">
        <f>'תקציב החברה לפיתוח 2024'!AC66</f>
        <v>829000</v>
      </c>
      <c r="AD108" s="134"/>
      <c r="AE108" s="134"/>
      <c r="AF108" s="134"/>
      <c r="AG108" s="134"/>
      <c r="AH108" s="134"/>
      <c r="AI108" s="134"/>
    </row>
    <row r="109" spans="1:39" s="5" customFormat="1" ht="45" customHeight="1">
      <c r="A109" s="135">
        <f t="shared" si="6"/>
        <v>101</v>
      </c>
      <c r="B109" s="135">
        <f>'תקציב החברה לפיתוח 2024'!B80</f>
        <v>2203</v>
      </c>
      <c r="C109" s="235" t="str">
        <f>'תקציב החברה לפיתוח 2024'!C80</f>
        <v>אולם ספורט בי"ס יוחנני  ובניית כיתות וגנ"י</v>
      </c>
      <c r="D109" s="120">
        <f>'תקציב החברה לפיתוח 2024'!D80</f>
        <v>1700000</v>
      </c>
      <c r="E109" s="120">
        <f>'תקציב החברה לפיתוח 2024'!E80</f>
        <v>1000000</v>
      </c>
      <c r="F109" s="120">
        <f>'תקציב החברה לפיתוח 2024'!F80</f>
        <v>700000</v>
      </c>
      <c r="G109" s="120">
        <f>'תקציב החברה לפיתוח 2024'!G80</f>
        <v>1000000</v>
      </c>
      <c r="H109" s="120">
        <f>'תקציב החברה לפיתוח 2024'!H80</f>
        <v>743174</v>
      </c>
      <c r="I109" s="120">
        <f>'תקציב החברה לפיתוח 2024'!I80</f>
        <v>0</v>
      </c>
      <c r="J109" s="120">
        <f>'תקציב החברה לפיתוח 2024'!J80</f>
        <v>0</v>
      </c>
      <c r="K109" s="120">
        <f>'תקציב החברה לפיתוח 2024'!K80</f>
        <v>0</v>
      </c>
      <c r="L109" s="120">
        <f>'תקציב החברה לפיתוח 2024'!L80</f>
        <v>743174</v>
      </c>
      <c r="M109" s="120">
        <f>'תקציב החברה לפיתוח 2024'!M80</f>
        <v>6826</v>
      </c>
      <c r="N109" s="120">
        <f>'תקציב החברה לפיתוח 2024'!N80</f>
        <v>750000</v>
      </c>
      <c r="O109" s="120">
        <f>'תקציב החברה לפיתוח 2024'!O80</f>
        <v>200000</v>
      </c>
      <c r="P109" s="120">
        <f>'תקציב החברה לפיתוח 2024'!P80</f>
        <v>256826</v>
      </c>
      <c r="Q109" s="120">
        <f>'תקציב החברה לפיתוח 2024'!Q80</f>
        <v>0</v>
      </c>
      <c r="R109" s="120">
        <f>'תקציב החברה לפיתוח 2024'!R80</f>
        <v>0</v>
      </c>
      <c r="S109" s="120">
        <f>'תקציב החברה לפיתוח 2024'!S80</f>
        <v>0</v>
      </c>
      <c r="T109" s="120">
        <f>'תקציב החברה לפיתוח 2024'!T80</f>
        <v>250000</v>
      </c>
      <c r="U109" s="120">
        <f>'תקציב החברה לפיתוח 2024'!U80</f>
        <v>500000</v>
      </c>
      <c r="V109" s="120">
        <f>'תקציב החברה לפיתוח 2024'!V80</f>
        <v>500000</v>
      </c>
      <c r="W109" s="120">
        <f>'תקציב החברה לפיתוח 2024'!W80</f>
        <v>0</v>
      </c>
      <c r="X109" s="120">
        <f>'תקציב החברה לפיתוח 2024'!X80</f>
        <v>0</v>
      </c>
      <c r="Y109" s="120">
        <f>'תקציב החברה לפיתוח 2024'!Y80</f>
        <v>0</v>
      </c>
      <c r="Z109" s="120">
        <f>'תקציב החברה לפיתוח 2024'!Z80</f>
        <v>0</v>
      </c>
      <c r="AA109" s="120">
        <f>'תקציב החברה לפיתוח 2024'!AA80</f>
        <v>0</v>
      </c>
      <c r="AB109" s="235" t="str">
        <f>'תקציב החברה לפיתוח 2024'!AB80</f>
        <v xml:space="preserve">הריסת א. ספורט קיים, בנית חדש, בניית 6  כיתות לימוד ובניית 3 גנ"י במקום גן קיים אלה. </v>
      </c>
      <c r="AC109" s="135">
        <f>'תקציב החברה לפיתוח 2024'!AC80</f>
        <v>829000</v>
      </c>
      <c r="AD109" s="134"/>
      <c r="AE109" s="134"/>
      <c r="AF109" s="134"/>
      <c r="AG109" s="134"/>
      <c r="AH109" s="134"/>
      <c r="AI109" s="134"/>
    </row>
    <row r="110" spans="1:39" s="223" customFormat="1" ht="45" customHeight="1">
      <c r="A110" s="135">
        <f t="shared" si="6"/>
        <v>102</v>
      </c>
      <c r="B110" s="135">
        <f>'תקציב החברה לפיתוח 2024'!B94</f>
        <v>20014</v>
      </c>
      <c r="C110" s="235" t="str">
        <f>'תקציב החברה לפיתוח 2024'!C94</f>
        <v xml:space="preserve">מתחם ספורט משותף במתחם אלתרמן אפולוניה </v>
      </c>
      <c r="D110" s="120">
        <f>'תקציב החברה לפיתוח 2024'!D94</f>
        <v>1500000</v>
      </c>
      <c r="E110" s="120">
        <f>'תקציב החברה לפיתוח 2024'!E94</f>
        <v>800000</v>
      </c>
      <c r="F110" s="120">
        <f>'תקציב החברה לפיתוח 2024'!F94</f>
        <v>700000</v>
      </c>
      <c r="G110" s="120">
        <f>'תקציב החברה לפיתוח 2024'!G94</f>
        <v>300000</v>
      </c>
      <c r="H110" s="120">
        <f>'תקציב החברה לפיתוח 2024'!H94</f>
        <v>300000</v>
      </c>
      <c r="I110" s="120">
        <f>'תקציב החברה לפיתוח 2024'!I94</f>
        <v>0</v>
      </c>
      <c r="J110" s="120">
        <f>'תקציב החברה לפיתוח 2024'!J94</f>
        <v>0</v>
      </c>
      <c r="K110" s="120">
        <f>'תקציב החברה לפיתוח 2024'!K94</f>
        <v>0</v>
      </c>
      <c r="L110" s="120">
        <f>'תקציב החברה לפיתוח 2024'!L94</f>
        <v>300000</v>
      </c>
      <c r="M110" s="120">
        <f>'תקציב החברה לפיתוח 2024'!M94</f>
        <v>0</v>
      </c>
      <c r="N110" s="120">
        <f>'תקציב החברה לפיתוח 2024'!N94</f>
        <v>150000</v>
      </c>
      <c r="O110" s="120">
        <f>'תקציב החברה לפיתוח 2024'!O94</f>
        <v>1050000</v>
      </c>
      <c r="P110" s="120">
        <f>'תקציב החברה לפיתוח 2024'!P94</f>
        <v>0</v>
      </c>
      <c r="Q110" s="120">
        <f>'תקציב החברה לפיתוח 2024'!Q94</f>
        <v>0</v>
      </c>
      <c r="R110" s="120">
        <f>'תקציב החברה לפיתוח 2024'!R94</f>
        <v>0</v>
      </c>
      <c r="S110" s="120">
        <f>'תקציב החברה לפיתוח 2024'!S94</f>
        <v>0</v>
      </c>
      <c r="T110" s="120">
        <f>'תקציב החברה לפיתוח 2024'!T94</f>
        <v>0</v>
      </c>
      <c r="U110" s="120">
        <f>'תקציב החברה לפיתוח 2024'!U94</f>
        <v>150000</v>
      </c>
      <c r="V110" s="120">
        <f>'תקציב החברה לפיתוח 2024'!V94</f>
        <v>150000</v>
      </c>
      <c r="W110" s="120">
        <f>'תקציב החברה לפיתוח 2024'!W94</f>
        <v>0</v>
      </c>
      <c r="X110" s="120">
        <f>'תקציב החברה לפיתוח 2024'!X94</f>
        <v>0</v>
      </c>
      <c r="Y110" s="120">
        <f>'תקציב החברה לפיתוח 2024'!Y94</f>
        <v>0</v>
      </c>
      <c r="Z110" s="120">
        <f>'תקציב החברה לפיתוח 2024'!Z94</f>
        <v>0</v>
      </c>
      <c r="AA110" s="120">
        <f>'תקציב החברה לפיתוח 2024'!AA94</f>
        <v>0</v>
      </c>
      <c r="AB110" s="235" t="str">
        <f>'תקציב החברה לפיתוח 2024'!AB94</f>
        <v>מתחם ספורט משותף: הרחבת הבריכה אולם ומגרש ספורט לתיכון היובל, אולם ספורט לבי״ס נבון ואולם התעמלות מכשירים. תכנון</v>
      </c>
      <c r="AC110" s="135">
        <f>'תקציב החברה לפיתוח 2024'!AC94</f>
        <v>829000</v>
      </c>
      <c r="AD110" s="134"/>
      <c r="AE110" s="134"/>
      <c r="AF110" s="134"/>
      <c r="AG110" s="134"/>
      <c r="AH110" s="134"/>
      <c r="AI110" s="134"/>
      <c r="AJ110" s="5"/>
      <c r="AK110" s="5"/>
      <c r="AL110" s="5"/>
      <c r="AM110" s="5"/>
    </row>
    <row r="111" spans="1:39" s="223" customFormat="1" ht="45" customHeight="1">
      <c r="A111" s="135">
        <f t="shared" si="6"/>
        <v>103</v>
      </c>
      <c r="B111" s="135">
        <f>'תקציב החברה לפיתוח 2024'!B95</f>
        <v>20015</v>
      </c>
      <c r="C111" s="235" t="str">
        <f>'תקציב החברה לפיתוח 2024'!C95</f>
        <v>מועדון קרמבו ים</v>
      </c>
      <c r="D111" s="120">
        <f>'תקציב החברה לפיתוח 2024'!D95</f>
        <v>2139077</v>
      </c>
      <c r="E111" s="120">
        <f>'תקציב החברה לפיתוח 2024'!E95</f>
        <v>2500000</v>
      </c>
      <c r="F111" s="120">
        <f>'תקציב החברה לפיתוח 2024'!F95</f>
        <v>-360923</v>
      </c>
      <c r="G111" s="120">
        <f>'תקציב החברה לפיתוח 2024'!G95</f>
        <v>2100000</v>
      </c>
      <c r="H111" s="120">
        <f>'תקציב החברה לפיתוח 2024'!H95</f>
        <v>2139077</v>
      </c>
      <c r="I111" s="120">
        <f>'תקציב החברה לפיתוח 2024'!I95</f>
        <v>0</v>
      </c>
      <c r="J111" s="120">
        <f>'תקציב החברה לפיתוח 2024'!J95</f>
        <v>0</v>
      </c>
      <c r="K111" s="120">
        <f>'תקציב החברה לפיתוח 2024'!K95</f>
        <v>0</v>
      </c>
      <c r="L111" s="120">
        <f>'תקציב החברה לפיתוח 2024'!L95</f>
        <v>2139077</v>
      </c>
      <c r="M111" s="120">
        <f>'תקציב החברה לפיתוח 2024'!M95</f>
        <v>0</v>
      </c>
      <c r="N111" s="120">
        <f>'תקציב החברה לפיתוח 2024'!N95</f>
        <v>0</v>
      </c>
      <c r="O111" s="120">
        <f>'תקציב החברה לפיתוח 2024'!O95</f>
        <v>0</v>
      </c>
      <c r="P111" s="120">
        <f>'תקציב החברה לפיתוח 2024'!P95</f>
        <v>-39077</v>
      </c>
      <c r="Q111" s="120">
        <f>'תקציב החברה לפיתוח 2024'!Q95</f>
        <v>400000</v>
      </c>
      <c r="R111" s="120">
        <f>'תקציב החברה לפיתוח 2024'!R95</f>
        <v>0</v>
      </c>
      <c r="S111" s="120">
        <f>'תקציב החברה לפיתוח 2024'!S95</f>
        <v>400000</v>
      </c>
      <c r="T111" s="120">
        <f>'תקציב החברה לפיתוח 2024'!T95</f>
        <v>360923</v>
      </c>
      <c r="U111" s="120">
        <f>'תקציב החברה לפיתוח 2024'!U95</f>
        <v>-360923</v>
      </c>
      <c r="V111" s="120">
        <f>'תקציב החברה לפיתוח 2024'!V95</f>
        <v>-360923</v>
      </c>
      <c r="W111" s="120">
        <f>'תקציב החברה לפיתוח 2024'!W95</f>
        <v>0</v>
      </c>
      <c r="X111" s="120">
        <f>'תקציב החברה לפיתוח 2024'!X95</f>
        <v>0</v>
      </c>
      <c r="Y111" s="120">
        <f>'תקציב החברה לפיתוח 2024'!Y95</f>
        <v>0</v>
      </c>
      <c r="Z111" s="120">
        <f>'תקציב החברה לפיתוח 2024'!Z95</f>
        <v>0</v>
      </c>
      <c r="AA111" s="120">
        <f>'תקציב החברה לפיתוח 2024'!AA95</f>
        <v>0</v>
      </c>
      <c r="AB111" s="235" t="str">
        <f>'תקציב החברה לפיתוח 2024'!AB95</f>
        <v>הריסה ובניה  חדשה של מועדון צופי ים. הפרויקט הסתיים סגירת תב"ר.</v>
      </c>
      <c r="AC111" s="135">
        <f>'תקציב החברה לפיתוח 2024'!AC95</f>
        <v>829000</v>
      </c>
      <c r="AD111" s="134"/>
      <c r="AE111" s="134"/>
      <c r="AF111" s="134"/>
      <c r="AG111" s="134"/>
      <c r="AH111" s="134"/>
      <c r="AI111" s="134"/>
      <c r="AJ111" s="5"/>
      <c r="AK111" s="5"/>
      <c r="AL111" s="5"/>
      <c r="AM111" s="5"/>
    </row>
    <row r="112" spans="1:39" s="245" customFormat="1" ht="45" customHeight="1">
      <c r="A112" s="219"/>
      <c r="B112" s="219"/>
      <c r="C112" s="286" t="s">
        <v>530</v>
      </c>
      <c r="D112" s="249">
        <f>SUM(D95:D111)</f>
        <v>583194782</v>
      </c>
      <c r="E112" s="249">
        <f t="shared" ref="E112:AA112" si="7">SUM(E95:E111)</f>
        <v>512811705</v>
      </c>
      <c r="F112" s="249">
        <f t="shared" si="7"/>
        <v>70383077</v>
      </c>
      <c r="G112" s="249">
        <f t="shared" si="7"/>
        <v>213761705</v>
      </c>
      <c r="H112" s="249">
        <f t="shared" si="7"/>
        <v>206195544</v>
      </c>
      <c r="I112" s="249">
        <f t="shared" si="7"/>
        <v>0</v>
      </c>
      <c r="J112" s="249">
        <f t="shared" si="7"/>
        <v>1020843</v>
      </c>
      <c r="K112" s="249">
        <f t="shared" si="7"/>
        <v>1020843</v>
      </c>
      <c r="L112" s="249">
        <f t="shared" si="7"/>
        <v>207216387</v>
      </c>
      <c r="M112" s="249">
        <f t="shared" si="7"/>
        <v>89395</v>
      </c>
      <c r="N112" s="249">
        <f t="shared" si="7"/>
        <v>47355000</v>
      </c>
      <c r="O112" s="249">
        <f t="shared" si="7"/>
        <v>328534000</v>
      </c>
      <c r="P112" s="249">
        <f t="shared" si="7"/>
        <v>6545318</v>
      </c>
      <c r="Q112" s="249">
        <f t="shared" si="7"/>
        <v>9050000</v>
      </c>
      <c r="R112" s="249">
        <f t="shared" si="7"/>
        <v>0</v>
      </c>
      <c r="S112" s="249">
        <f t="shared" si="7"/>
        <v>9050000</v>
      </c>
      <c r="T112" s="249">
        <f t="shared" si="7"/>
        <v>15505923</v>
      </c>
      <c r="U112" s="249">
        <f t="shared" si="7"/>
        <v>31849077</v>
      </c>
      <c r="V112" s="249">
        <f t="shared" si="7"/>
        <v>6680863</v>
      </c>
      <c r="W112" s="249">
        <f t="shared" si="7"/>
        <v>0</v>
      </c>
      <c r="X112" s="249">
        <f t="shared" si="7"/>
        <v>0</v>
      </c>
      <c r="Y112" s="249">
        <f t="shared" si="7"/>
        <v>0</v>
      </c>
      <c r="Z112" s="249">
        <f t="shared" si="7"/>
        <v>0</v>
      </c>
      <c r="AA112" s="249">
        <f t="shared" si="7"/>
        <v>25168214</v>
      </c>
      <c r="AB112" s="286"/>
      <c r="AC112" s="219"/>
      <c r="AD112" s="238"/>
      <c r="AE112" s="238"/>
      <c r="AF112" s="238"/>
      <c r="AG112" s="238"/>
      <c r="AH112" s="238"/>
      <c r="AI112" s="238"/>
      <c r="AJ112" s="48"/>
      <c r="AK112" s="48"/>
      <c r="AL112" s="48"/>
      <c r="AM112" s="48"/>
    </row>
    <row r="113" spans="1:39" s="223" customFormat="1" ht="45" customHeight="1">
      <c r="A113" s="135">
        <f>A111+1</f>
        <v>104</v>
      </c>
      <c r="B113" s="135" t="e">
        <f>'תקציב החברה לפיתוח 2024'!#REF!</f>
        <v>#REF!</v>
      </c>
      <c r="C113" s="235" t="e">
        <f>'תקציב החברה לפיתוח 2024'!#REF!</f>
        <v>#REF!</v>
      </c>
      <c r="D113" s="120" t="e">
        <f>'תקציב החברה לפיתוח 2024'!#REF!</f>
        <v>#REF!</v>
      </c>
      <c r="E113" s="120" t="e">
        <f>'תקציב החברה לפיתוח 2024'!#REF!</f>
        <v>#REF!</v>
      </c>
      <c r="F113" s="120" t="e">
        <f>'תקציב החברה לפיתוח 2024'!#REF!</f>
        <v>#REF!</v>
      </c>
      <c r="G113" s="120" t="e">
        <f>'תקציב החברה לפיתוח 2024'!#REF!</f>
        <v>#REF!</v>
      </c>
      <c r="H113" s="120" t="e">
        <f>'תקציב החברה לפיתוח 2024'!#REF!</f>
        <v>#REF!</v>
      </c>
      <c r="I113" s="120" t="e">
        <f>'תקציב החברה לפיתוח 2024'!#REF!</f>
        <v>#REF!</v>
      </c>
      <c r="J113" s="120" t="e">
        <f>'תקציב החברה לפיתוח 2024'!#REF!</f>
        <v>#REF!</v>
      </c>
      <c r="K113" s="120" t="e">
        <f>'תקציב החברה לפיתוח 2024'!#REF!</f>
        <v>#REF!</v>
      </c>
      <c r="L113" s="120" t="e">
        <f>'תקציב החברה לפיתוח 2024'!#REF!</f>
        <v>#REF!</v>
      </c>
      <c r="M113" s="120" t="e">
        <f>'תקציב החברה לפיתוח 2024'!#REF!</f>
        <v>#REF!</v>
      </c>
      <c r="N113" s="120" t="e">
        <f>'תקציב החברה לפיתוח 2024'!#REF!</f>
        <v>#REF!</v>
      </c>
      <c r="O113" s="120" t="e">
        <f>'תקציב החברה לפיתוח 2024'!#REF!</f>
        <v>#REF!</v>
      </c>
      <c r="P113" s="120" t="e">
        <f>'תקציב החברה לפיתוח 2024'!#REF!</f>
        <v>#REF!</v>
      </c>
      <c r="Q113" s="120" t="e">
        <f>'תקציב החברה לפיתוח 2024'!#REF!</f>
        <v>#REF!</v>
      </c>
      <c r="R113" s="120" t="e">
        <f>'תקציב החברה לפיתוח 2024'!#REF!</f>
        <v>#REF!</v>
      </c>
      <c r="S113" s="120" t="e">
        <f>'תקציב החברה לפיתוח 2024'!#REF!</f>
        <v>#REF!</v>
      </c>
      <c r="T113" s="120" t="e">
        <f>'תקציב החברה לפיתוח 2024'!#REF!</f>
        <v>#REF!</v>
      </c>
      <c r="U113" s="120" t="e">
        <f>'תקציב החברה לפיתוח 2024'!#REF!</f>
        <v>#REF!</v>
      </c>
      <c r="V113" s="120" t="e">
        <f>'תקציב החברה לפיתוח 2024'!#REF!</f>
        <v>#REF!</v>
      </c>
      <c r="W113" s="120" t="e">
        <f>'תקציב החברה לפיתוח 2024'!#REF!</f>
        <v>#REF!</v>
      </c>
      <c r="X113" s="120" t="e">
        <f>'תקציב החברה לפיתוח 2024'!#REF!</f>
        <v>#REF!</v>
      </c>
      <c r="Y113" s="120" t="e">
        <f>'תקציב החברה לפיתוח 2024'!#REF!</f>
        <v>#REF!</v>
      </c>
      <c r="Z113" s="120" t="e">
        <f>'תקציב החברה לפיתוח 2024'!#REF!</f>
        <v>#REF!</v>
      </c>
      <c r="AA113" s="120" t="e">
        <f>'תקציב החברה לפיתוח 2024'!#REF!</f>
        <v>#REF!</v>
      </c>
      <c r="AB113" s="235" t="e">
        <f>'תקציב החברה לפיתוח 2024'!#REF!</f>
        <v>#REF!</v>
      </c>
      <c r="AC113" s="135" t="e">
        <f>'תקציב החברה לפיתוח 2024'!#REF!</f>
        <v>#REF!</v>
      </c>
      <c r="AD113" s="134"/>
      <c r="AE113" s="134"/>
      <c r="AF113" s="134"/>
      <c r="AG113" s="134"/>
      <c r="AH113" s="134"/>
      <c r="AI113" s="134"/>
      <c r="AJ113" s="131"/>
      <c r="AK113" s="131"/>
      <c r="AL113" s="131"/>
      <c r="AM113" s="131"/>
    </row>
    <row r="114" spans="1:39" s="134" customFormat="1" ht="41.4">
      <c r="A114" s="135">
        <f>A113+1</f>
        <v>105</v>
      </c>
      <c r="B114" s="135">
        <f>'תקציב החברה לפיתוח 2024'!B50</f>
        <v>2101</v>
      </c>
      <c r="C114" s="235" t="str">
        <f>'תקציב החברה לפיתוח 2024'!C50</f>
        <v xml:space="preserve">מעון לאנשים עם מוגבלויות -  ביד התשעה </v>
      </c>
      <c r="D114" s="120">
        <f>'תקציב החברה לפיתוח 2024'!D50</f>
        <v>24200000</v>
      </c>
      <c r="E114" s="120">
        <f>'תקציב החברה לפיתוח 2024'!E50</f>
        <v>24200000</v>
      </c>
      <c r="F114" s="120">
        <f>'תקציב החברה לפיתוח 2024'!F50</f>
        <v>0</v>
      </c>
      <c r="G114" s="120">
        <f>'תקציב החברה לפיתוח 2024'!G50</f>
        <v>3000000</v>
      </c>
      <c r="H114" s="120">
        <f>'תקציב החברה לפיתוח 2024'!H50</f>
        <v>4730972</v>
      </c>
      <c r="I114" s="120">
        <f>'תקציב החברה לפיתוח 2024'!I50</f>
        <v>0</v>
      </c>
      <c r="J114" s="120">
        <f>'תקציב החברה לפיתוח 2024'!J50</f>
        <v>0</v>
      </c>
      <c r="K114" s="120">
        <f>'תקציב החברה לפיתוח 2024'!K50</f>
        <v>0</v>
      </c>
      <c r="L114" s="120">
        <f>'תקציב החברה לפיתוח 2024'!L50</f>
        <v>4730972</v>
      </c>
      <c r="M114" s="120">
        <f>'תקציב החברה לפיתוח 2024'!M50</f>
        <v>19028</v>
      </c>
      <c r="N114" s="120">
        <f>'תקציב החברה לפיתוח 2024'!N50</f>
        <v>10450000</v>
      </c>
      <c r="O114" s="120">
        <f>'תקציב החברה לפיתוח 2024'!O50</f>
        <v>9000000</v>
      </c>
      <c r="P114" s="120">
        <f>'תקציב החברה לפיתוח 2024'!P50</f>
        <v>-1730972</v>
      </c>
      <c r="Q114" s="120">
        <f>'תקציב החברה לפיתוח 2024'!Q50</f>
        <v>4500000</v>
      </c>
      <c r="R114" s="120">
        <f>'תקציב החברה לפיתוח 2024'!R50</f>
        <v>0</v>
      </c>
      <c r="S114" s="120">
        <f>'תקציב החברה לפיתוח 2024'!S50</f>
        <v>4500000</v>
      </c>
      <c r="T114" s="120">
        <f>'תקציב החברה לפיתוח 2024'!T50</f>
        <v>2750000</v>
      </c>
      <c r="U114" s="120">
        <f>'תקציב החברה לפיתוח 2024'!U50</f>
        <v>7700000</v>
      </c>
      <c r="V114" s="120">
        <f>'תקציב החברה לפיתוח 2024'!V50</f>
        <v>7700000</v>
      </c>
      <c r="W114" s="120">
        <f>'תקציב החברה לפיתוח 2024'!W50</f>
        <v>0</v>
      </c>
      <c r="X114" s="120">
        <f>'תקציב החברה לפיתוח 2024'!X50</f>
        <v>0</v>
      </c>
      <c r="Y114" s="120">
        <f>'תקציב החברה לפיתוח 2024'!Y50</f>
        <v>0</v>
      </c>
      <c r="Z114" s="120">
        <f>'תקציב החברה לפיתוח 2024'!Z50</f>
        <v>0</v>
      </c>
      <c r="AA114" s="120">
        <f>'תקציב החברה לפיתוח 2024'!AA50</f>
        <v>0</v>
      </c>
      <c r="AB114" s="235" t="str">
        <f>'תקציב החברה לפיתוח 2024'!AB50</f>
        <v>הקמת מעון לאנשים עם מוגבלויות ברחוב הר סיני שכונת יד התשעה. כולל הצטיידות . מימון קרן שלם והמוסד לביטוח לאומי.</v>
      </c>
      <c r="AC114" s="135">
        <f>'תקציב החברה לפיתוח 2024'!AC50</f>
        <v>840000</v>
      </c>
      <c r="AJ114" s="131"/>
      <c r="AK114" s="131"/>
      <c r="AL114" s="131"/>
      <c r="AM114" s="131"/>
    </row>
    <row r="115" spans="1:39" s="238" customFormat="1" ht="45" customHeight="1">
      <c r="A115" s="219"/>
      <c r="B115" s="219"/>
      <c r="C115" s="286" t="s">
        <v>531</v>
      </c>
      <c r="D115" s="249" t="e">
        <f>SUM(D113:D114)</f>
        <v>#REF!</v>
      </c>
      <c r="E115" s="249" t="e">
        <f t="shared" ref="E115:AA115" si="8">SUM(E113:E114)</f>
        <v>#REF!</v>
      </c>
      <c r="F115" s="249" t="e">
        <f t="shared" si="8"/>
        <v>#REF!</v>
      </c>
      <c r="G115" s="249" t="e">
        <f t="shared" si="8"/>
        <v>#REF!</v>
      </c>
      <c r="H115" s="249" t="e">
        <f t="shared" si="8"/>
        <v>#REF!</v>
      </c>
      <c r="I115" s="249" t="e">
        <f t="shared" si="8"/>
        <v>#REF!</v>
      </c>
      <c r="J115" s="249" t="e">
        <f t="shared" si="8"/>
        <v>#REF!</v>
      </c>
      <c r="K115" s="249" t="e">
        <f t="shared" si="8"/>
        <v>#REF!</v>
      </c>
      <c r="L115" s="249" t="e">
        <f t="shared" si="8"/>
        <v>#REF!</v>
      </c>
      <c r="M115" s="249" t="e">
        <f t="shared" si="8"/>
        <v>#REF!</v>
      </c>
      <c r="N115" s="249" t="e">
        <f t="shared" si="8"/>
        <v>#REF!</v>
      </c>
      <c r="O115" s="249" t="e">
        <f t="shared" si="8"/>
        <v>#REF!</v>
      </c>
      <c r="P115" s="249" t="e">
        <f t="shared" si="8"/>
        <v>#REF!</v>
      </c>
      <c r="Q115" s="249" t="e">
        <f t="shared" si="8"/>
        <v>#REF!</v>
      </c>
      <c r="R115" s="249" t="e">
        <f t="shared" si="8"/>
        <v>#REF!</v>
      </c>
      <c r="S115" s="249" t="e">
        <f t="shared" si="8"/>
        <v>#REF!</v>
      </c>
      <c r="T115" s="249" t="e">
        <f t="shared" si="8"/>
        <v>#REF!</v>
      </c>
      <c r="U115" s="249" t="e">
        <f t="shared" si="8"/>
        <v>#REF!</v>
      </c>
      <c r="V115" s="249" t="e">
        <f t="shared" si="8"/>
        <v>#REF!</v>
      </c>
      <c r="W115" s="249" t="e">
        <f t="shared" si="8"/>
        <v>#REF!</v>
      </c>
      <c r="X115" s="249" t="e">
        <f t="shared" si="8"/>
        <v>#REF!</v>
      </c>
      <c r="Y115" s="249" t="e">
        <f t="shared" si="8"/>
        <v>#REF!</v>
      </c>
      <c r="Z115" s="249" t="e">
        <f t="shared" si="8"/>
        <v>#REF!</v>
      </c>
      <c r="AA115" s="249" t="e">
        <f t="shared" si="8"/>
        <v>#REF!</v>
      </c>
      <c r="AB115" s="286"/>
      <c r="AC115" s="219"/>
      <c r="AJ115" s="245"/>
      <c r="AK115" s="245"/>
      <c r="AL115" s="245"/>
      <c r="AM115" s="245"/>
    </row>
    <row r="116" spans="1:39" ht="45" customHeight="1">
      <c r="A116" s="135">
        <f>A114+1</f>
        <v>106</v>
      </c>
      <c r="B116" s="135">
        <f>'תקציב החברה לפיתוח 2024'!B51</f>
        <v>2103</v>
      </c>
      <c r="C116" s="235" t="str">
        <f>'תקציב החברה לפיתוח 2024'!C51</f>
        <v xml:space="preserve">שדרוג המרחב הציבורי באיזור התעשיה </v>
      </c>
      <c r="D116" s="120">
        <f>'תקציב החברה לפיתוח 2024'!D51</f>
        <v>4200000</v>
      </c>
      <c r="E116" s="120">
        <f>'תקציב החברה לפיתוח 2024'!E51</f>
        <v>4200000</v>
      </c>
      <c r="F116" s="120">
        <f>'תקציב החברה לפיתוח 2024'!F51</f>
        <v>0</v>
      </c>
      <c r="G116" s="120">
        <f>'תקציב החברה לפיתוח 2024'!G51</f>
        <v>1000000</v>
      </c>
      <c r="H116" s="120">
        <f>'תקציב החברה לפיתוח 2024'!H51</f>
        <v>875595</v>
      </c>
      <c r="I116" s="120">
        <f>'תקציב החברה לפיתוח 2024'!I51</f>
        <v>0</v>
      </c>
      <c r="J116" s="120">
        <f>'תקציב החברה לפיתוח 2024'!J51</f>
        <v>0</v>
      </c>
      <c r="K116" s="120">
        <f>'תקציב החברה לפיתוח 2024'!K51</f>
        <v>0</v>
      </c>
      <c r="L116" s="120">
        <f>'תקציב החברה לפיתוח 2024'!L51</f>
        <v>875595</v>
      </c>
      <c r="M116" s="120">
        <f>'תקציב החברה לפיתוח 2024'!M51</f>
        <v>4405</v>
      </c>
      <c r="N116" s="120">
        <f>'תקציב החברה לפיתוח 2024'!N51</f>
        <v>120000</v>
      </c>
      <c r="O116" s="120">
        <f>'תקציב החברה לפיתוח 2024'!O51</f>
        <v>3200000</v>
      </c>
      <c r="P116" s="120">
        <f>'תקציב החברה לפיתוח 2024'!P51</f>
        <v>124405</v>
      </c>
      <c r="Q116" s="120">
        <f>'תקציב החברה לפיתוח 2024'!Q51</f>
        <v>700000</v>
      </c>
      <c r="R116" s="120">
        <f>'תקציב החברה לפיתוח 2024'!R51</f>
        <v>0</v>
      </c>
      <c r="S116" s="120">
        <f>'תקציב החברה לפיתוח 2024'!S51</f>
        <v>700000</v>
      </c>
      <c r="T116" s="120">
        <f>'תקציב החברה לפיתוח 2024'!T51</f>
        <v>820000</v>
      </c>
      <c r="U116" s="120">
        <f>'תקציב החברה לפיתוח 2024'!U51</f>
        <v>-700000</v>
      </c>
      <c r="V116" s="120">
        <f>'תקציב החברה לפיתוח 2024'!V51</f>
        <v>-700000</v>
      </c>
      <c r="W116" s="120">
        <f>'תקציב החברה לפיתוח 2024'!W51</f>
        <v>0</v>
      </c>
      <c r="X116" s="120">
        <f>'תקציב החברה לפיתוח 2024'!X51</f>
        <v>0</v>
      </c>
      <c r="Y116" s="120">
        <f>'תקציב החברה לפיתוח 2024'!Y51</f>
        <v>0</v>
      </c>
      <c r="Z116" s="120">
        <f>'תקציב החברה לפיתוח 2024'!Z51</f>
        <v>0</v>
      </c>
      <c r="AA116" s="120">
        <f>'תקציב החברה לפיתוח 2024'!AA51</f>
        <v>0</v>
      </c>
      <c r="AB116" s="235" t="str">
        <f>'תקציב החברה לפיתוח 2024'!AB51</f>
        <v>סל עבודות לשדרוג במרחב הציבורי קירצוף וריבוד באיזור התעשיה.</v>
      </c>
      <c r="AC116" s="135">
        <f>'תקציב החברה לפיתוח 2024'!AC51</f>
        <v>848000</v>
      </c>
    </row>
    <row r="117" spans="1:39" ht="45" customHeight="1">
      <c r="A117" s="135"/>
      <c r="B117" s="135"/>
      <c r="C117" s="286" t="s">
        <v>537</v>
      </c>
      <c r="D117" s="249">
        <f>SUM(D116)</f>
        <v>4200000</v>
      </c>
      <c r="E117" s="249">
        <f t="shared" ref="E117:AA117" si="9">SUM(E116)</f>
        <v>4200000</v>
      </c>
      <c r="F117" s="249">
        <f t="shared" si="9"/>
        <v>0</v>
      </c>
      <c r="G117" s="249">
        <f t="shared" si="9"/>
        <v>1000000</v>
      </c>
      <c r="H117" s="249">
        <f t="shared" si="9"/>
        <v>875595</v>
      </c>
      <c r="I117" s="249">
        <f t="shared" si="9"/>
        <v>0</v>
      </c>
      <c r="J117" s="249">
        <f t="shared" si="9"/>
        <v>0</v>
      </c>
      <c r="K117" s="249">
        <f t="shared" si="9"/>
        <v>0</v>
      </c>
      <c r="L117" s="249">
        <f t="shared" si="9"/>
        <v>875595</v>
      </c>
      <c r="M117" s="249">
        <f t="shared" si="9"/>
        <v>4405</v>
      </c>
      <c r="N117" s="249">
        <f t="shared" si="9"/>
        <v>120000</v>
      </c>
      <c r="O117" s="249">
        <f t="shared" si="9"/>
        <v>3200000</v>
      </c>
      <c r="P117" s="249">
        <f t="shared" si="9"/>
        <v>124405</v>
      </c>
      <c r="Q117" s="249">
        <f t="shared" si="9"/>
        <v>700000</v>
      </c>
      <c r="R117" s="249">
        <f t="shared" si="9"/>
        <v>0</v>
      </c>
      <c r="S117" s="249">
        <f t="shared" si="9"/>
        <v>700000</v>
      </c>
      <c r="T117" s="249">
        <f t="shared" si="9"/>
        <v>820000</v>
      </c>
      <c r="U117" s="249">
        <f t="shared" si="9"/>
        <v>-700000</v>
      </c>
      <c r="V117" s="249">
        <f t="shared" si="9"/>
        <v>-700000</v>
      </c>
      <c r="W117" s="249">
        <f t="shared" si="9"/>
        <v>0</v>
      </c>
      <c r="X117" s="249">
        <f t="shared" si="9"/>
        <v>0</v>
      </c>
      <c r="Y117" s="249">
        <f t="shared" si="9"/>
        <v>0</v>
      </c>
      <c r="Z117" s="249">
        <f t="shared" si="9"/>
        <v>0</v>
      </c>
      <c r="AA117" s="249">
        <f t="shared" si="9"/>
        <v>0</v>
      </c>
      <c r="AB117" s="235"/>
      <c r="AC117" s="135"/>
    </row>
    <row r="118" spans="1:39" s="134" customFormat="1" ht="45" customHeight="1">
      <c r="A118" s="135">
        <f>A116+1</f>
        <v>107</v>
      </c>
      <c r="B118" s="135">
        <f>'תקציב החברה לפיתוח 2024'!B46</f>
        <v>2076</v>
      </c>
      <c r="C118" s="235" t="str">
        <f>'תקציב החברה לפיתוח 2024'!C46</f>
        <v>עבודות פיתוח בכנ"ס אברהם אבינו</v>
      </c>
      <c r="D118" s="120">
        <f>'תקציב החברה לפיתוח 2024'!D46</f>
        <v>2350000</v>
      </c>
      <c r="E118" s="120">
        <f>'תקציב החברה לפיתוח 2024'!E46</f>
        <v>2350000</v>
      </c>
      <c r="F118" s="120">
        <f>'תקציב החברה לפיתוח 2024'!F46</f>
        <v>0</v>
      </c>
      <c r="G118" s="120">
        <f>'תקציב החברה לפיתוח 2024'!G46</f>
        <v>1450000</v>
      </c>
      <c r="H118" s="120">
        <f>'תקציב החברה לפיתוח 2024'!H46</f>
        <v>231641</v>
      </c>
      <c r="I118" s="120">
        <f>'תקציב החברה לפיתוח 2024'!I46</f>
        <v>0</v>
      </c>
      <c r="J118" s="120">
        <f>'תקציב החברה לפיתוח 2024'!J46</f>
        <v>0</v>
      </c>
      <c r="K118" s="120">
        <f>'תקציב החברה לפיתוח 2024'!K46</f>
        <v>0</v>
      </c>
      <c r="L118" s="120">
        <f>'תקציב החברה לפיתוח 2024'!L46</f>
        <v>231641</v>
      </c>
      <c r="M118" s="120">
        <f>'תקציב החברה לפיתוח 2024'!M46</f>
        <v>18359</v>
      </c>
      <c r="N118" s="120">
        <f>'תקציב החברה לפיתוח 2024'!N46</f>
        <v>1700000</v>
      </c>
      <c r="O118" s="120">
        <f>'תקציב החברה לפיתוח 2024'!O46</f>
        <v>400000</v>
      </c>
      <c r="P118" s="120">
        <f>'תקציב החברה לפיתוח 2024'!P46</f>
        <v>1218359</v>
      </c>
      <c r="Q118" s="120">
        <f>'תקציב החברה לפיתוח 2024'!Q46</f>
        <v>900000</v>
      </c>
      <c r="R118" s="120">
        <f>'תקציב החברה לפיתוח 2024'!R46</f>
        <v>0</v>
      </c>
      <c r="S118" s="120">
        <f>'תקציב החברה לפיתוח 2024'!S46</f>
        <v>900000</v>
      </c>
      <c r="T118" s="120">
        <f>'תקציב החברה לפיתוח 2024'!T46</f>
        <v>2100000</v>
      </c>
      <c r="U118" s="120">
        <f>'תקציב החברה לפיתוח 2024'!U46</f>
        <v>-400000</v>
      </c>
      <c r="V118" s="120">
        <f>'תקציב החברה לפיתוח 2024'!V46</f>
        <v>-400000</v>
      </c>
      <c r="W118" s="120">
        <f>'תקציב החברה לפיתוח 2024'!W46</f>
        <v>0</v>
      </c>
      <c r="X118" s="120">
        <f>'תקציב החברה לפיתוח 2024'!X46</f>
        <v>0</v>
      </c>
      <c r="Y118" s="120">
        <f>'תקציב החברה לפיתוח 2024'!Y46</f>
        <v>0</v>
      </c>
      <c r="Z118" s="120">
        <f>'תקציב החברה לפיתוח 2024'!Z46</f>
        <v>0</v>
      </c>
      <c r="AA118" s="120">
        <f>'תקציב החברה לפיתוח 2024'!AA46</f>
        <v>0</v>
      </c>
      <c r="AB118" s="235" t="str">
        <f>'תקציב החברה לפיתוח 2024'!AB46</f>
        <v>עבודות פיתוח ביכנ"ס "אברהם אבינו" בשכונת יד התשעה.</v>
      </c>
      <c r="AC118" s="135">
        <f>'תקציב החברה לפיתוח 2024'!AC46</f>
        <v>850000</v>
      </c>
      <c r="AJ118" s="131"/>
      <c r="AK118" s="131"/>
      <c r="AL118" s="131"/>
      <c r="AM118" s="131"/>
    </row>
    <row r="119" spans="1:39" s="134" customFormat="1" ht="45" customHeight="1">
      <c r="A119" s="135">
        <f>A118+1</f>
        <v>108</v>
      </c>
      <c r="B119" s="135" t="e">
        <f>'תקציב החברה לפיתוח 2024'!#REF!</f>
        <v>#REF!</v>
      </c>
      <c r="C119" s="235" t="e">
        <f>'תקציב החברה לפיתוח 2024'!#REF!</f>
        <v>#REF!</v>
      </c>
      <c r="D119" s="120" t="e">
        <f>'תקציב החברה לפיתוח 2024'!#REF!</f>
        <v>#REF!</v>
      </c>
      <c r="E119" s="120" t="e">
        <f>'תקציב החברה לפיתוח 2024'!#REF!</f>
        <v>#REF!</v>
      </c>
      <c r="F119" s="120" t="e">
        <f>'תקציב החברה לפיתוח 2024'!#REF!</f>
        <v>#REF!</v>
      </c>
      <c r="G119" s="120" t="e">
        <f>'תקציב החברה לפיתוח 2024'!#REF!</f>
        <v>#REF!</v>
      </c>
      <c r="H119" s="120" t="e">
        <f>'תקציב החברה לפיתוח 2024'!#REF!</f>
        <v>#REF!</v>
      </c>
      <c r="I119" s="120" t="e">
        <f>'תקציב החברה לפיתוח 2024'!#REF!</f>
        <v>#REF!</v>
      </c>
      <c r="J119" s="120" t="e">
        <f>'תקציב החברה לפיתוח 2024'!#REF!</f>
        <v>#REF!</v>
      </c>
      <c r="K119" s="120" t="e">
        <f>'תקציב החברה לפיתוח 2024'!#REF!</f>
        <v>#REF!</v>
      </c>
      <c r="L119" s="120" t="e">
        <f>'תקציב החברה לפיתוח 2024'!#REF!</f>
        <v>#REF!</v>
      </c>
      <c r="M119" s="120" t="e">
        <f>'תקציב החברה לפיתוח 2024'!#REF!</f>
        <v>#REF!</v>
      </c>
      <c r="N119" s="120" t="e">
        <f>'תקציב החברה לפיתוח 2024'!#REF!</f>
        <v>#REF!</v>
      </c>
      <c r="O119" s="120" t="e">
        <f>'תקציב החברה לפיתוח 2024'!#REF!</f>
        <v>#REF!</v>
      </c>
      <c r="P119" s="120" t="e">
        <f>'תקציב החברה לפיתוח 2024'!#REF!</f>
        <v>#REF!</v>
      </c>
      <c r="Q119" s="120" t="e">
        <f>'תקציב החברה לפיתוח 2024'!#REF!</f>
        <v>#REF!</v>
      </c>
      <c r="R119" s="120" t="e">
        <f>'תקציב החברה לפיתוח 2024'!#REF!</f>
        <v>#REF!</v>
      </c>
      <c r="S119" s="120" t="e">
        <f>'תקציב החברה לפיתוח 2024'!#REF!</f>
        <v>#REF!</v>
      </c>
      <c r="T119" s="120" t="e">
        <f>'תקציב החברה לפיתוח 2024'!#REF!</f>
        <v>#REF!</v>
      </c>
      <c r="U119" s="120" t="e">
        <f>'תקציב החברה לפיתוח 2024'!#REF!</f>
        <v>#REF!</v>
      </c>
      <c r="V119" s="120" t="e">
        <f>'תקציב החברה לפיתוח 2024'!#REF!</f>
        <v>#REF!</v>
      </c>
      <c r="W119" s="120" t="e">
        <f>'תקציב החברה לפיתוח 2024'!#REF!</f>
        <v>#REF!</v>
      </c>
      <c r="X119" s="120" t="e">
        <f>'תקציב החברה לפיתוח 2024'!#REF!</f>
        <v>#REF!</v>
      </c>
      <c r="Y119" s="120" t="e">
        <f>'תקציב החברה לפיתוח 2024'!#REF!</f>
        <v>#REF!</v>
      </c>
      <c r="Z119" s="120" t="e">
        <f>'תקציב החברה לפיתוח 2024'!#REF!</f>
        <v>#REF!</v>
      </c>
      <c r="AA119" s="120" t="e">
        <f>'תקציב החברה לפיתוח 2024'!#REF!</f>
        <v>#REF!</v>
      </c>
      <c r="AB119" s="235" t="e">
        <f>'תקציב החברה לפיתוח 2024'!#REF!</f>
        <v>#REF!</v>
      </c>
      <c r="AC119" s="135" t="e">
        <f>'תקציב החברה לפיתוח 2024'!#REF!</f>
        <v>#REF!</v>
      </c>
      <c r="AJ119" s="5"/>
      <c r="AK119" s="5"/>
      <c r="AL119" s="5"/>
      <c r="AM119" s="5"/>
    </row>
    <row r="120" spans="1:39" ht="45" customHeight="1">
      <c r="A120" s="135">
        <f>A119+1</f>
        <v>109</v>
      </c>
      <c r="B120" s="135">
        <f>'תקציב החברה לפיתוח 2024'!B83</f>
        <v>2208</v>
      </c>
      <c r="C120" s="235" t="str">
        <f>'תקציב החברה לפיתוח 2024'!C83</f>
        <v>מקווה גליל ים</v>
      </c>
      <c r="D120" s="120">
        <f>'תקציב החברה לפיתוח 2024'!D83</f>
        <v>201609</v>
      </c>
      <c r="E120" s="120">
        <f>'תקציב החברה לפיתוח 2024'!E83</f>
        <v>12750000</v>
      </c>
      <c r="F120" s="120">
        <f>'תקציב החברה לפיתוח 2024'!F83</f>
        <v>-12548391</v>
      </c>
      <c r="G120" s="120">
        <f>'תקציב החברה לפיתוח 2024'!G83</f>
        <v>500000</v>
      </c>
      <c r="H120" s="120">
        <f>'תקציב החברה לפיתוח 2024'!H83</f>
        <v>201609</v>
      </c>
      <c r="I120" s="120">
        <f>'תקציב החברה לפיתוח 2024'!I83</f>
        <v>0</v>
      </c>
      <c r="J120" s="120">
        <f>'תקציב החברה לפיתוח 2024'!J83</f>
        <v>0</v>
      </c>
      <c r="K120" s="120">
        <f>'תקציב החברה לפיתוח 2024'!K83</f>
        <v>0</v>
      </c>
      <c r="L120" s="120">
        <f>'תקציב החברה לפיתוח 2024'!L83</f>
        <v>201609</v>
      </c>
      <c r="M120" s="120">
        <f>'תקציב החברה לפיתוח 2024'!M83</f>
        <v>0</v>
      </c>
      <c r="N120" s="120">
        <f>'תקציב החברה לפיתוח 2024'!N83</f>
        <v>0</v>
      </c>
      <c r="O120" s="120">
        <f>'תקציב החברה לפיתוח 2024'!O83</f>
        <v>0</v>
      </c>
      <c r="P120" s="120">
        <f>'תקציב החברה לפיתוח 2024'!P83</f>
        <v>298391</v>
      </c>
      <c r="Q120" s="120">
        <f>'תקציב החברה לפיתוח 2024'!Q83</f>
        <v>250000</v>
      </c>
      <c r="R120" s="120">
        <f>'תקציב החברה לפיתוח 2024'!R83</f>
        <v>0</v>
      </c>
      <c r="S120" s="120">
        <f>'תקציב החברה לפיתוח 2024'!S83</f>
        <v>250000</v>
      </c>
      <c r="T120" s="120">
        <f>'תקציב החברה לפיתוח 2024'!T83</f>
        <v>548391</v>
      </c>
      <c r="U120" s="120">
        <f>'תקציב החברה לפיתוח 2024'!U83</f>
        <v>-548391</v>
      </c>
      <c r="V120" s="120">
        <f>'תקציב החברה לפיתוח 2024'!V83</f>
        <v>-548391</v>
      </c>
      <c r="W120" s="120">
        <f>'תקציב החברה לפיתוח 2024'!W83</f>
        <v>0</v>
      </c>
      <c r="X120" s="120">
        <f>'תקציב החברה לפיתוח 2024'!X83</f>
        <v>0</v>
      </c>
      <c r="Y120" s="120">
        <f>'תקציב החברה לפיתוח 2024'!Y83</f>
        <v>0</v>
      </c>
      <c r="Z120" s="120">
        <f>'תקציב החברה לפיתוח 2024'!Z83</f>
        <v>0</v>
      </c>
      <c r="AA120" s="120">
        <f>'תקציב החברה לפיתוח 2024'!AA83</f>
        <v>0</v>
      </c>
      <c r="AB120" s="235" t="str">
        <f>'תקציב החברה לפיתוח 2024'!AB83</f>
        <v>תכנון מקווה במתחם גליל ים. חן סופיים.</v>
      </c>
      <c r="AC120" s="135">
        <f>'תקציב החברה לפיתוח 2024'!AC83</f>
        <v>850000</v>
      </c>
      <c r="AJ120" s="5"/>
      <c r="AK120" s="5"/>
      <c r="AL120" s="5"/>
      <c r="AM120" s="5"/>
    </row>
    <row r="121" spans="1:39" ht="45" customHeight="1">
      <c r="A121" s="135">
        <f>A120+1</f>
        <v>110</v>
      </c>
      <c r="B121" s="135">
        <f>'תקציב החברה לפיתוח 2024'!B97</f>
        <v>20017</v>
      </c>
      <c r="C121" s="235" t="str">
        <f>'תקציב החברה לפיתוח 2024'!C97</f>
        <v>ביכנ"ס  הרצליה הירוקה</v>
      </c>
      <c r="D121" s="120">
        <f>'תקציב החברה לפיתוח 2024'!D97</f>
        <v>10000000</v>
      </c>
      <c r="E121" s="120">
        <f>'תקציב החברה לפיתוח 2024'!E97</f>
        <v>10000000</v>
      </c>
      <c r="F121" s="120">
        <f>'תקציב החברה לפיתוח 2024'!F97</f>
        <v>0</v>
      </c>
      <c r="G121" s="120">
        <f>'תקציב החברה לפיתוח 2024'!G97</f>
        <v>350000</v>
      </c>
      <c r="H121" s="120">
        <f>'תקציב החברה לפיתוח 2024'!H97</f>
        <v>303035</v>
      </c>
      <c r="I121" s="120">
        <f>'תקציב החברה לפיתוח 2024'!I97</f>
        <v>0</v>
      </c>
      <c r="J121" s="120">
        <f>'תקציב החברה לפיתוח 2024'!J97</f>
        <v>0</v>
      </c>
      <c r="K121" s="120">
        <f>'תקציב החברה לפיתוח 2024'!K97</f>
        <v>0</v>
      </c>
      <c r="L121" s="120">
        <f>'תקציב החברה לפיתוח 2024'!L97</f>
        <v>303035</v>
      </c>
      <c r="M121" s="120">
        <f>'תקציב החברה לפיתוח 2024'!M97</f>
        <v>1965</v>
      </c>
      <c r="N121" s="120">
        <f>'תקציב החברה לפיתוח 2024'!N97</f>
        <v>2545000</v>
      </c>
      <c r="O121" s="120">
        <f>'תקציב החברה לפיתוח 2024'!O97</f>
        <v>7150000</v>
      </c>
      <c r="P121" s="120">
        <f>'תקציב החברה לפיתוח 2024'!P97</f>
        <v>46965</v>
      </c>
      <c r="Q121" s="120">
        <f>'תקציב החברה לפיתוח 2024'!Q97</f>
        <v>2000000</v>
      </c>
      <c r="R121" s="120">
        <f>'תקציב החברה לפיתוח 2024'!R97</f>
        <v>0</v>
      </c>
      <c r="S121" s="120">
        <f>'תקציב החברה לפיתוח 2024'!S97</f>
        <v>2000000</v>
      </c>
      <c r="T121" s="120">
        <f>'תקציב החברה לפיתוח 2024'!T97</f>
        <v>2045000</v>
      </c>
      <c r="U121" s="120">
        <f>'תקציב החברה לפיתוח 2024'!U97</f>
        <v>500000</v>
      </c>
      <c r="V121" s="120">
        <f>'תקציב החברה לפיתוח 2024'!V97</f>
        <v>500000</v>
      </c>
      <c r="W121" s="120">
        <f>'תקציב החברה לפיתוח 2024'!W97</f>
        <v>0</v>
      </c>
      <c r="X121" s="120">
        <f>'תקציב החברה לפיתוח 2024'!X97</f>
        <v>0</v>
      </c>
      <c r="Y121" s="120">
        <f>'תקציב החברה לפיתוח 2024'!Y97</f>
        <v>0</v>
      </c>
      <c r="Z121" s="120">
        <f>'תקציב החברה לפיתוח 2024'!Z97</f>
        <v>0</v>
      </c>
      <c r="AA121" s="120">
        <f>'תקציב החברה לפיתוח 2024'!AA97</f>
        <v>0</v>
      </c>
      <c r="AB121" s="235" t="str">
        <f>'תקציב החברה לפיתוח 2024'!AB97</f>
        <v>תכנון וביצוע ביכנ"ס גוש 6526 חלקה 46 בדויד השמעוני בהרצליה הירוקה.</v>
      </c>
      <c r="AC121" s="135">
        <f>'תקציב החברה לפיתוח 2024'!AC97</f>
        <v>850000</v>
      </c>
      <c r="AJ121" s="5"/>
      <c r="AK121" s="5"/>
      <c r="AL121" s="5"/>
      <c r="AM121" s="5"/>
    </row>
    <row r="122" spans="1:39" ht="45" customHeight="1">
      <c r="A122" s="135">
        <f>A121+1</f>
        <v>111</v>
      </c>
      <c r="B122" s="135">
        <f>'תקציב החברה לפיתוח 2024'!B101</f>
        <v>20063</v>
      </c>
      <c r="C122" s="235" t="str">
        <f>'תקציב החברה לפיתוח 2024'!C101</f>
        <v>ביכנ"ס ע"ש הרב שלמה קוממי זצ"ל ומרכז לטיפול בגיל הרך מגרש 301 גליל ים</v>
      </c>
      <c r="D122" s="120">
        <f>'תקציב החברה לפיתוח 2024'!D101</f>
        <v>1750000</v>
      </c>
      <c r="E122" s="120">
        <f>'תקציב החברה לפיתוח 2024'!E101</f>
        <v>1000000</v>
      </c>
      <c r="F122" s="120">
        <f>'תקציב החברה לפיתוח 2024'!F101</f>
        <v>750000</v>
      </c>
      <c r="G122" s="120">
        <f>'תקציב החברה לפיתוח 2024'!G101</f>
        <v>150000</v>
      </c>
      <c r="H122" s="120">
        <f>'תקציב החברה לפיתוח 2024'!H101</f>
        <v>379788</v>
      </c>
      <c r="I122" s="120">
        <f>'תקציב החברה לפיתוח 2024'!I101</f>
        <v>0</v>
      </c>
      <c r="J122" s="120">
        <f>'תקציב החברה לפיתוח 2024'!J101</f>
        <v>0</v>
      </c>
      <c r="K122" s="120">
        <f>'תקציב החברה לפיתוח 2024'!K101</f>
        <v>0</v>
      </c>
      <c r="L122" s="120">
        <f>'תקציב החברה לפיתוח 2024'!L101</f>
        <v>379788</v>
      </c>
      <c r="M122" s="120">
        <f>'תקציב החברה לפיתוח 2024'!M101</f>
        <v>212</v>
      </c>
      <c r="N122" s="120">
        <f>'תקציב החברה לפיתוח 2024'!N101</f>
        <v>870000</v>
      </c>
      <c r="O122" s="120">
        <f>'תקציב החברה לפיתוח 2024'!O101</f>
        <v>500000</v>
      </c>
      <c r="P122" s="120">
        <f>'תקציב החברה לפיתוח 2024'!P101</f>
        <v>-229788</v>
      </c>
      <c r="Q122" s="120">
        <f>'תקציב החברה לפיתוח 2024'!Q101</f>
        <v>350000</v>
      </c>
      <c r="R122" s="120">
        <f>'תקציב החברה לפיתוח 2024'!R101</f>
        <v>0</v>
      </c>
      <c r="S122" s="120">
        <f>'תקציב החברה לפיתוח 2024'!S101</f>
        <v>350000</v>
      </c>
      <c r="T122" s="120">
        <f>'תקציב החברה לפיתוח 2024'!T101</f>
        <v>120000</v>
      </c>
      <c r="U122" s="120">
        <f>'תקציב החברה לפיתוח 2024'!U101</f>
        <v>750000</v>
      </c>
      <c r="V122" s="120">
        <f>'תקציב החברה לפיתוח 2024'!V101</f>
        <v>750000</v>
      </c>
      <c r="W122" s="120">
        <f>'תקציב החברה לפיתוח 2024'!W101</f>
        <v>0</v>
      </c>
      <c r="X122" s="120">
        <f>'תקציב החברה לפיתוח 2024'!X101</f>
        <v>0</v>
      </c>
      <c r="Y122" s="120">
        <f>'תקציב החברה לפיתוח 2024'!Y101</f>
        <v>0</v>
      </c>
      <c r="Z122" s="120">
        <f>'תקציב החברה לפיתוח 2024'!Z101</f>
        <v>0</v>
      </c>
      <c r="AA122" s="120">
        <f>'תקציב החברה לפיתוח 2024'!AA101</f>
        <v>0</v>
      </c>
      <c r="AB122" s="235" t="str">
        <f>'תקציב החברה לפיתוח 2024'!AB101</f>
        <v>ביכנ"ס ומרכז טיפול לגיל הרך מגרש 301.</v>
      </c>
      <c r="AC122" s="135">
        <f>'תקציב החברה לפיתוח 2024'!AC101</f>
        <v>850000</v>
      </c>
      <c r="AJ122" s="5"/>
      <c r="AK122" s="5"/>
      <c r="AL122" s="5"/>
      <c r="AM122" s="5"/>
    </row>
    <row r="123" spans="1:39" s="245" customFormat="1" ht="45" customHeight="1">
      <c r="A123" s="219"/>
      <c r="B123" s="219"/>
      <c r="C123" s="286" t="s">
        <v>532</v>
      </c>
      <c r="D123" s="249" t="e">
        <f>SUM(D118:D122)</f>
        <v>#REF!</v>
      </c>
      <c r="E123" s="249" t="e">
        <f t="shared" ref="E123:AA123" si="10">SUM(E118:E122)</f>
        <v>#REF!</v>
      </c>
      <c r="F123" s="249" t="e">
        <f t="shared" si="10"/>
        <v>#REF!</v>
      </c>
      <c r="G123" s="249" t="e">
        <f t="shared" si="10"/>
        <v>#REF!</v>
      </c>
      <c r="H123" s="249" t="e">
        <f t="shared" si="10"/>
        <v>#REF!</v>
      </c>
      <c r="I123" s="249" t="e">
        <f t="shared" si="10"/>
        <v>#REF!</v>
      </c>
      <c r="J123" s="249" t="e">
        <f t="shared" si="10"/>
        <v>#REF!</v>
      </c>
      <c r="K123" s="249" t="e">
        <f t="shared" si="10"/>
        <v>#REF!</v>
      </c>
      <c r="L123" s="249" t="e">
        <f t="shared" si="10"/>
        <v>#REF!</v>
      </c>
      <c r="M123" s="249" t="e">
        <f t="shared" si="10"/>
        <v>#REF!</v>
      </c>
      <c r="N123" s="249" t="e">
        <f t="shared" si="10"/>
        <v>#REF!</v>
      </c>
      <c r="O123" s="249" t="e">
        <f t="shared" si="10"/>
        <v>#REF!</v>
      </c>
      <c r="P123" s="249" t="e">
        <f t="shared" si="10"/>
        <v>#REF!</v>
      </c>
      <c r="Q123" s="249" t="e">
        <f t="shared" si="10"/>
        <v>#REF!</v>
      </c>
      <c r="R123" s="249" t="e">
        <f t="shared" si="10"/>
        <v>#REF!</v>
      </c>
      <c r="S123" s="249" t="e">
        <f t="shared" si="10"/>
        <v>#REF!</v>
      </c>
      <c r="T123" s="249" t="e">
        <f t="shared" si="10"/>
        <v>#REF!</v>
      </c>
      <c r="U123" s="249" t="e">
        <f t="shared" si="10"/>
        <v>#REF!</v>
      </c>
      <c r="V123" s="249" t="e">
        <f t="shared" si="10"/>
        <v>#REF!</v>
      </c>
      <c r="W123" s="249" t="e">
        <f t="shared" si="10"/>
        <v>#REF!</v>
      </c>
      <c r="X123" s="249" t="e">
        <f t="shared" si="10"/>
        <v>#REF!</v>
      </c>
      <c r="Y123" s="249" t="e">
        <f t="shared" si="10"/>
        <v>#REF!</v>
      </c>
      <c r="Z123" s="249" t="e">
        <f t="shared" si="10"/>
        <v>#REF!</v>
      </c>
      <c r="AA123" s="249" t="e">
        <f t="shared" si="10"/>
        <v>#REF!</v>
      </c>
      <c r="AB123" s="286"/>
      <c r="AC123" s="219"/>
      <c r="AD123" s="238"/>
      <c r="AE123" s="238"/>
      <c r="AF123" s="238"/>
      <c r="AG123" s="238"/>
      <c r="AH123" s="238"/>
      <c r="AI123" s="238"/>
      <c r="AJ123" s="48"/>
      <c r="AK123" s="48"/>
      <c r="AL123" s="48"/>
      <c r="AM123" s="48"/>
    </row>
    <row r="124" spans="1:39" ht="41.4">
      <c r="A124" s="135">
        <f>A122+1</f>
        <v>112</v>
      </c>
      <c r="B124" s="135">
        <f>'תקציב החברה לפיתוח 2024'!B85</f>
        <v>2213</v>
      </c>
      <c r="C124" s="235" t="str">
        <f>'תקציב החברה לפיתוח 2024'!C85</f>
        <v>הקמת מערכות pv מעל גגות מבני ציבור בהרצליה</v>
      </c>
      <c r="D124" s="120">
        <f>'תקציב החברה לפיתוח 2024'!D85</f>
        <v>7100000</v>
      </c>
      <c r="E124" s="120">
        <f>'תקציב החברה לפיתוח 2024'!E85</f>
        <v>7100000</v>
      </c>
      <c r="F124" s="120">
        <f>'תקציב החברה לפיתוח 2024'!F85</f>
        <v>0</v>
      </c>
      <c r="G124" s="120">
        <f>'תקציב החברה לפיתוח 2024'!G85</f>
        <v>7100000</v>
      </c>
      <c r="H124" s="120">
        <f>'תקציב החברה לפיתוח 2024'!H85</f>
        <v>5524946</v>
      </c>
      <c r="I124" s="120">
        <f>'תקציב החברה לפיתוח 2024'!I85</f>
        <v>0</v>
      </c>
      <c r="J124" s="120">
        <f>'תקציב החברה לפיתוח 2024'!J85</f>
        <v>0</v>
      </c>
      <c r="K124" s="120">
        <f>'תקציב החברה לפיתוח 2024'!K85</f>
        <v>0</v>
      </c>
      <c r="L124" s="120">
        <f>'תקציב החברה לפיתוח 2024'!L85</f>
        <v>5524946</v>
      </c>
      <c r="M124" s="120">
        <f>'תקציב החברה לפיתוח 2024'!M85</f>
        <v>5054</v>
      </c>
      <c r="N124" s="120">
        <f>'תקציב החברה לפיתוח 2024'!N85</f>
        <v>1570000</v>
      </c>
      <c r="O124" s="120">
        <f>'תקציב החברה לפיתוח 2024'!O85</f>
        <v>0</v>
      </c>
      <c r="P124" s="120">
        <f>'תקציב החברה לפיתוח 2024'!P85</f>
        <v>1575054</v>
      </c>
      <c r="Q124" s="120">
        <f>'תקציב החברה לפיתוח 2024'!Q85</f>
        <v>0</v>
      </c>
      <c r="R124" s="120">
        <f>'תקציב החברה לפיתוח 2024'!R85</f>
        <v>0</v>
      </c>
      <c r="S124" s="120">
        <f>'תקציב החברה לפיתוח 2024'!S85</f>
        <v>0</v>
      </c>
      <c r="T124" s="120">
        <f>'תקציב החברה לפיתוח 2024'!T85</f>
        <v>1570000</v>
      </c>
      <c r="U124" s="120">
        <f>'תקציב החברה לפיתוח 2024'!U85</f>
        <v>0</v>
      </c>
      <c r="V124" s="120">
        <f>'תקציב החברה לפיתוח 2024'!V85</f>
        <v>0</v>
      </c>
      <c r="W124" s="120">
        <f>'תקציב החברה לפיתוח 2024'!W85</f>
        <v>0</v>
      </c>
      <c r="X124" s="120">
        <f>'תקציב החברה לפיתוח 2024'!X85</f>
        <v>0</v>
      </c>
      <c r="Y124" s="120">
        <f>'תקציב החברה לפיתוח 2024'!Y85</f>
        <v>0</v>
      </c>
      <c r="Z124" s="120">
        <f>'תקציב החברה לפיתוח 2024'!Z85</f>
        <v>0</v>
      </c>
      <c r="AA124" s="120">
        <f>'תקציב החברה לפיתוח 2024'!AA85</f>
        <v>0</v>
      </c>
      <c r="AB124" s="235" t="str">
        <f>'תקציב החברה לפיתוח 2024'!AB85</f>
        <v>הקמת מערכות סולאריות על גגות אולמות ספורט ומתנ"סים 14 במספר עפ"י רשימה.  מימון הלוואה.</v>
      </c>
      <c r="AC124" s="135">
        <f>'תקציב החברה לפיתוח 2024'!AC85</f>
        <v>870000</v>
      </c>
      <c r="AJ124" s="157"/>
      <c r="AK124" s="157"/>
      <c r="AL124" s="157"/>
      <c r="AM124" s="157"/>
    </row>
    <row r="125" spans="1:39" s="223" customFormat="1" ht="45" customHeight="1">
      <c r="A125" s="137"/>
      <c r="B125" s="137"/>
      <c r="C125" s="130" t="s">
        <v>533</v>
      </c>
      <c r="D125" s="138">
        <f>SUM(D124)</f>
        <v>7100000</v>
      </c>
      <c r="E125" s="138">
        <f t="shared" ref="E125:AA125" si="11">SUM(E124)</f>
        <v>7100000</v>
      </c>
      <c r="F125" s="138">
        <f t="shared" si="11"/>
        <v>0</v>
      </c>
      <c r="G125" s="138">
        <f t="shared" si="11"/>
        <v>7100000</v>
      </c>
      <c r="H125" s="138">
        <f t="shared" si="11"/>
        <v>5524946</v>
      </c>
      <c r="I125" s="138">
        <f t="shared" si="11"/>
        <v>0</v>
      </c>
      <c r="J125" s="138">
        <f t="shared" si="11"/>
        <v>0</v>
      </c>
      <c r="K125" s="138">
        <f t="shared" si="11"/>
        <v>0</v>
      </c>
      <c r="L125" s="138">
        <f t="shared" si="11"/>
        <v>5524946</v>
      </c>
      <c r="M125" s="138">
        <f t="shared" si="11"/>
        <v>5054</v>
      </c>
      <c r="N125" s="138">
        <f t="shared" si="11"/>
        <v>1570000</v>
      </c>
      <c r="O125" s="138">
        <f t="shared" si="11"/>
        <v>0</v>
      </c>
      <c r="P125" s="138">
        <f t="shared" si="11"/>
        <v>1575054</v>
      </c>
      <c r="Q125" s="138">
        <f t="shared" si="11"/>
        <v>0</v>
      </c>
      <c r="R125" s="138">
        <f t="shared" si="11"/>
        <v>0</v>
      </c>
      <c r="S125" s="138">
        <f t="shared" si="11"/>
        <v>0</v>
      </c>
      <c r="T125" s="138">
        <f t="shared" si="11"/>
        <v>1570000</v>
      </c>
      <c r="U125" s="138">
        <f t="shared" si="11"/>
        <v>0</v>
      </c>
      <c r="V125" s="138">
        <f t="shared" si="11"/>
        <v>0</v>
      </c>
      <c r="W125" s="138">
        <f t="shared" si="11"/>
        <v>0</v>
      </c>
      <c r="X125" s="138">
        <f t="shared" si="11"/>
        <v>0</v>
      </c>
      <c r="Y125" s="138">
        <f t="shared" si="11"/>
        <v>0</v>
      </c>
      <c r="Z125" s="138">
        <f t="shared" si="11"/>
        <v>0</v>
      </c>
      <c r="AA125" s="138">
        <f t="shared" si="11"/>
        <v>0</v>
      </c>
      <c r="AB125" s="130"/>
      <c r="AC125" s="137"/>
      <c r="AD125" s="136"/>
      <c r="AE125" s="136"/>
      <c r="AF125" s="136"/>
      <c r="AG125" s="136"/>
      <c r="AH125" s="136"/>
      <c r="AI125" s="136"/>
      <c r="AJ125" s="303"/>
      <c r="AK125" s="303"/>
      <c r="AL125" s="303"/>
      <c r="AM125" s="303"/>
    </row>
    <row r="126" spans="1:39" ht="45" customHeight="1">
      <c r="A126" s="135">
        <f>A124+1</f>
        <v>113</v>
      </c>
      <c r="B126" s="135" t="e">
        <f>'תקציב החברה לפיתוח 2024'!#REF!</f>
        <v>#REF!</v>
      </c>
      <c r="C126" s="235" t="e">
        <f>'תקציב החברה לפיתוח 2024'!#REF!</f>
        <v>#REF!</v>
      </c>
      <c r="D126" s="120" t="e">
        <f>'תקציב החברה לפיתוח 2024'!#REF!</f>
        <v>#REF!</v>
      </c>
      <c r="E126" s="120" t="e">
        <f>'תקציב החברה לפיתוח 2024'!#REF!</f>
        <v>#REF!</v>
      </c>
      <c r="F126" s="120" t="e">
        <f>'תקציב החברה לפיתוח 2024'!#REF!</f>
        <v>#REF!</v>
      </c>
      <c r="G126" s="120" t="e">
        <f>'תקציב החברה לפיתוח 2024'!#REF!</f>
        <v>#REF!</v>
      </c>
      <c r="H126" s="120" t="e">
        <f>'תקציב החברה לפיתוח 2024'!#REF!</f>
        <v>#REF!</v>
      </c>
      <c r="I126" s="120" t="e">
        <f>'תקציב החברה לפיתוח 2024'!#REF!</f>
        <v>#REF!</v>
      </c>
      <c r="J126" s="120" t="e">
        <f>'תקציב החברה לפיתוח 2024'!#REF!</f>
        <v>#REF!</v>
      </c>
      <c r="K126" s="120" t="e">
        <f>'תקציב החברה לפיתוח 2024'!#REF!</f>
        <v>#REF!</v>
      </c>
      <c r="L126" s="120" t="e">
        <f>'תקציב החברה לפיתוח 2024'!#REF!</f>
        <v>#REF!</v>
      </c>
      <c r="M126" s="120" t="e">
        <f>'תקציב החברה לפיתוח 2024'!#REF!</f>
        <v>#REF!</v>
      </c>
      <c r="N126" s="120" t="e">
        <f>'תקציב החברה לפיתוח 2024'!#REF!</f>
        <v>#REF!</v>
      </c>
      <c r="O126" s="120" t="e">
        <f>'תקציב החברה לפיתוח 2024'!#REF!</f>
        <v>#REF!</v>
      </c>
      <c r="P126" s="120" t="e">
        <f>'תקציב החברה לפיתוח 2024'!#REF!</f>
        <v>#REF!</v>
      </c>
      <c r="Q126" s="120" t="e">
        <f>'תקציב החברה לפיתוח 2024'!#REF!</f>
        <v>#REF!</v>
      </c>
      <c r="R126" s="120" t="e">
        <f>'תקציב החברה לפיתוח 2024'!#REF!</f>
        <v>#REF!</v>
      </c>
      <c r="S126" s="120" t="e">
        <f>'תקציב החברה לפיתוח 2024'!#REF!</f>
        <v>#REF!</v>
      </c>
      <c r="T126" s="120" t="e">
        <f>'תקציב החברה לפיתוח 2024'!#REF!</f>
        <v>#REF!</v>
      </c>
      <c r="U126" s="120" t="e">
        <f>'תקציב החברה לפיתוח 2024'!#REF!</f>
        <v>#REF!</v>
      </c>
      <c r="V126" s="120" t="e">
        <f>'תקציב החברה לפיתוח 2024'!#REF!</f>
        <v>#REF!</v>
      </c>
      <c r="W126" s="120" t="e">
        <f>'תקציב החברה לפיתוח 2024'!#REF!</f>
        <v>#REF!</v>
      </c>
      <c r="X126" s="120" t="e">
        <f>'תקציב החברה לפיתוח 2024'!#REF!</f>
        <v>#REF!</v>
      </c>
      <c r="Y126" s="120" t="e">
        <f>'תקציב החברה לפיתוח 2024'!#REF!</f>
        <v>#REF!</v>
      </c>
      <c r="Z126" s="120" t="e">
        <f>'תקציב החברה לפיתוח 2024'!#REF!</f>
        <v>#REF!</v>
      </c>
      <c r="AA126" s="120" t="e">
        <f>'תקציב החברה לפיתוח 2024'!#REF!</f>
        <v>#REF!</v>
      </c>
      <c r="AB126" s="235" t="e">
        <f>'תקציב החברה לפיתוח 2024'!#REF!</f>
        <v>#REF!</v>
      </c>
      <c r="AC126" s="135" t="e">
        <f>'תקציב החברה לפיתוח 2024'!#REF!</f>
        <v>#REF!</v>
      </c>
      <c r="AJ126" s="134"/>
      <c r="AK126" s="134"/>
      <c r="AL126" s="134"/>
      <c r="AM126" s="134"/>
    </row>
    <row r="127" spans="1:39" ht="45" customHeight="1">
      <c r="A127" s="135">
        <f>A126+1</f>
        <v>114</v>
      </c>
      <c r="B127" s="135" t="e">
        <f>'תקציב החברה לפיתוח 2024'!#REF!</f>
        <v>#REF!</v>
      </c>
      <c r="C127" s="235" t="e">
        <f>'תקציב החברה לפיתוח 2024'!#REF!</f>
        <v>#REF!</v>
      </c>
      <c r="D127" s="120" t="e">
        <f>'תקציב החברה לפיתוח 2024'!#REF!</f>
        <v>#REF!</v>
      </c>
      <c r="E127" s="120" t="e">
        <f>'תקציב החברה לפיתוח 2024'!#REF!</f>
        <v>#REF!</v>
      </c>
      <c r="F127" s="120" t="e">
        <f>'תקציב החברה לפיתוח 2024'!#REF!</f>
        <v>#REF!</v>
      </c>
      <c r="G127" s="120" t="e">
        <f>'תקציב החברה לפיתוח 2024'!#REF!</f>
        <v>#REF!</v>
      </c>
      <c r="H127" s="120" t="e">
        <f>'תקציב החברה לפיתוח 2024'!#REF!</f>
        <v>#REF!</v>
      </c>
      <c r="I127" s="120" t="e">
        <f>'תקציב החברה לפיתוח 2024'!#REF!</f>
        <v>#REF!</v>
      </c>
      <c r="J127" s="120" t="e">
        <f>'תקציב החברה לפיתוח 2024'!#REF!</f>
        <v>#REF!</v>
      </c>
      <c r="K127" s="120" t="e">
        <f>'תקציב החברה לפיתוח 2024'!#REF!</f>
        <v>#REF!</v>
      </c>
      <c r="L127" s="120" t="e">
        <f>'תקציב החברה לפיתוח 2024'!#REF!</f>
        <v>#REF!</v>
      </c>
      <c r="M127" s="120" t="e">
        <f>'תקציב החברה לפיתוח 2024'!#REF!</f>
        <v>#REF!</v>
      </c>
      <c r="N127" s="120" t="e">
        <f>'תקציב החברה לפיתוח 2024'!#REF!</f>
        <v>#REF!</v>
      </c>
      <c r="O127" s="120" t="e">
        <f>'תקציב החברה לפיתוח 2024'!#REF!</f>
        <v>#REF!</v>
      </c>
      <c r="P127" s="120" t="e">
        <f>'תקציב החברה לפיתוח 2024'!#REF!</f>
        <v>#REF!</v>
      </c>
      <c r="Q127" s="120" t="e">
        <f>'תקציב החברה לפיתוח 2024'!#REF!</f>
        <v>#REF!</v>
      </c>
      <c r="R127" s="120" t="e">
        <f>'תקציב החברה לפיתוח 2024'!#REF!</f>
        <v>#REF!</v>
      </c>
      <c r="S127" s="120" t="e">
        <f>'תקציב החברה לפיתוח 2024'!#REF!</f>
        <v>#REF!</v>
      </c>
      <c r="T127" s="120" t="e">
        <f>'תקציב החברה לפיתוח 2024'!#REF!</f>
        <v>#REF!</v>
      </c>
      <c r="U127" s="120" t="e">
        <f>'תקציב החברה לפיתוח 2024'!#REF!</f>
        <v>#REF!</v>
      </c>
      <c r="V127" s="120" t="e">
        <f>'תקציב החברה לפיתוח 2024'!#REF!</f>
        <v>#REF!</v>
      </c>
      <c r="W127" s="120" t="e">
        <f>'תקציב החברה לפיתוח 2024'!#REF!</f>
        <v>#REF!</v>
      </c>
      <c r="X127" s="120" t="e">
        <f>'תקציב החברה לפיתוח 2024'!#REF!</f>
        <v>#REF!</v>
      </c>
      <c r="Y127" s="120" t="e">
        <f>'תקציב החברה לפיתוח 2024'!#REF!</f>
        <v>#REF!</v>
      </c>
      <c r="Z127" s="120" t="e">
        <f>'תקציב החברה לפיתוח 2024'!#REF!</f>
        <v>#REF!</v>
      </c>
      <c r="AA127" s="120" t="e">
        <f>'תקציב החברה לפיתוח 2024'!#REF!</f>
        <v>#REF!</v>
      </c>
      <c r="AB127" s="235" t="e">
        <f>'תקציב החברה לפיתוח 2024'!#REF!</f>
        <v>#REF!</v>
      </c>
      <c r="AC127" s="135" t="e">
        <f>'תקציב החברה לפיתוח 2024'!#REF!</f>
        <v>#REF!</v>
      </c>
      <c r="AH127"/>
      <c r="AI127"/>
      <c r="AJ127"/>
      <c r="AK127"/>
      <c r="AL127"/>
      <c r="AM127"/>
    </row>
    <row r="128" spans="1:39" ht="45" customHeight="1">
      <c r="A128" s="137"/>
      <c r="B128" s="222"/>
      <c r="C128" s="137" t="s">
        <v>534</v>
      </c>
      <c r="D128" s="138" t="e">
        <f>SUM(D126:D127)</f>
        <v>#REF!</v>
      </c>
      <c r="E128" s="138" t="e">
        <f t="shared" ref="E128:AA128" si="12">SUM(E126:E127)</f>
        <v>#REF!</v>
      </c>
      <c r="F128" s="138" t="e">
        <f t="shared" si="12"/>
        <v>#REF!</v>
      </c>
      <c r="G128" s="138" t="e">
        <f t="shared" si="12"/>
        <v>#REF!</v>
      </c>
      <c r="H128" s="138" t="e">
        <f t="shared" si="12"/>
        <v>#REF!</v>
      </c>
      <c r="I128" s="138" t="e">
        <f t="shared" si="12"/>
        <v>#REF!</v>
      </c>
      <c r="J128" s="138" t="e">
        <f t="shared" si="12"/>
        <v>#REF!</v>
      </c>
      <c r="K128" s="138" t="e">
        <f t="shared" si="12"/>
        <v>#REF!</v>
      </c>
      <c r="L128" s="138" t="e">
        <f t="shared" si="12"/>
        <v>#REF!</v>
      </c>
      <c r="M128" s="138" t="e">
        <f t="shared" si="12"/>
        <v>#REF!</v>
      </c>
      <c r="N128" s="138" t="e">
        <f t="shared" si="12"/>
        <v>#REF!</v>
      </c>
      <c r="O128" s="138" t="e">
        <f t="shared" si="12"/>
        <v>#REF!</v>
      </c>
      <c r="P128" s="138" t="e">
        <f t="shared" si="12"/>
        <v>#REF!</v>
      </c>
      <c r="Q128" s="138" t="e">
        <f t="shared" si="12"/>
        <v>#REF!</v>
      </c>
      <c r="R128" s="138" t="e">
        <f t="shared" si="12"/>
        <v>#REF!</v>
      </c>
      <c r="S128" s="138" t="e">
        <f t="shared" si="12"/>
        <v>#REF!</v>
      </c>
      <c r="T128" s="138" t="e">
        <f t="shared" si="12"/>
        <v>#REF!</v>
      </c>
      <c r="U128" s="138" t="e">
        <f t="shared" si="12"/>
        <v>#REF!</v>
      </c>
      <c r="V128" s="138" t="e">
        <f t="shared" si="12"/>
        <v>#REF!</v>
      </c>
      <c r="W128" s="138" t="e">
        <f t="shared" si="12"/>
        <v>#REF!</v>
      </c>
      <c r="X128" s="138" t="e">
        <f t="shared" si="12"/>
        <v>#REF!</v>
      </c>
      <c r="Y128" s="138" t="e">
        <f t="shared" si="12"/>
        <v>#REF!</v>
      </c>
      <c r="Z128" s="138" t="e">
        <f t="shared" si="12"/>
        <v>#REF!</v>
      </c>
      <c r="AA128" s="138" t="e">
        <f t="shared" si="12"/>
        <v>#REF!</v>
      </c>
      <c r="AB128" s="138"/>
      <c r="AC128" s="138"/>
      <c r="AJ128" s="223"/>
      <c r="AK128" s="223"/>
      <c r="AL128" s="223"/>
      <c r="AM128" s="223"/>
    </row>
    <row r="129" spans="1:35" s="288" customFormat="1" ht="45" customHeight="1">
      <c r="A129" s="246">
        <f>A127</f>
        <v>114</v>
      </c>
      <c r="B129" s="246"/>
      <c r="C129" s="20" t="s">
        <v>435</v>
      </c>
      <c r="D129" s="287" t="e">
        <f>D128+D125+D123+D117+D115+D112+D94+D63+D61+D10</f>
        <v>#REF!</v>
      </c>
      <c r="E129" s="287" t="e">
        <f t="shared" ref="E129:AA129" si="13">E128+E125+E123+E117+E115+E112+E94+E63+E61+E10</f>
        <v>#REF!</v>
      </c>
      <c r="F129" s="287" t="e">
        <f t="shared" si="13"/>
        <v>#REF!</v>
      </c>
      <c r="G129" s="287" t="e">
        <f t="shared" si="13"/>
        <v>#REF!</v>
      </c>
      <c r="H129" s="287" t="e">
        <f t="shared" si="13"/>
        <v>#REF!</v>
      </c>
      <c r="I129" s="287" t="e">
        <f t="shared" si="13"/>
        <v>#REF!</v>
      </c>
      <c r="J129" s="287" t="e">
        <f t="shared" si="13"/>
        <v>#REF!</v>
      </c>
      <c r="K129" s="287" t="e">
        <f t="shared" si="13"/>
        <v>#REF!</v>
      </c>
      <c r="L129" s="287" t="e">
        <f t="shared" si="13"/>
        <v>#REF!</v>
      </c>
      <c r="M129" s="287" t="e">
        <f t="shared" si="13"/>
        <v>#REF!</v>
      </c>
      <c r="N129" s="287" t="e">
        <f t="shared" si="13"/>
        <v>#REF!</v>
      </c>
      <c r="O129" s="287" t="e">
        <f t="shared" si="13"/>
        <v>#REF!</v>
      </c>
      <c r="P129" s="287" t="e">
        <f t="shared" si="13"/>
        <v>#REF!</v>
      </c>
      <c r="Q129" s="287" t="e">
        <f t="shared" si="13"/>
        <v>#REF!</v>
      </c>
      <c r="R129" s="287" t="e">
        <f t="shared" si="13"/>
        <v>#REF!</v>
      </c>
      <c r="S129" s="287" t="e">
        <f t="shared" si="13"/>
        <v>#REF!</v>
      </c>
      <c r="T129" s="287" t="e">
        <f t="shared" si="13"/>
        <v>#REF!</v>
      </c>
      <c r="U129" s="287" t="e">
        <f t="shared" si="13"/>
        <v>#REF!</v>
      </c>
      <c r="V129" s="287" t="e">
        <f t="shared" si="13"/>
        <v>#REF!</v>
      </c>
      <c r="W129" s="287" t="e">
        <f t="shared" si="13"/>
        <v>#REF!</v>
      </c>
      <c r="X129" s="287" t="e">
        <f t="shared" si="13"/>
        <v>#REF!</v>
      </c>
      <c r="Y129" s="287" t="e">
        <f t="shared" si="13"/>
        <v>#REF!</v>
      </c>
      <c r="Z129" s="287" t="e">
        <f t="shared" si="13"/>
        <v>#REF!</v>
      </c>
      <c r="AA129" s="287" t="e">
        <f t="shared" si="13"/>
        <v>#REF!</v>
      </c>
      <c r="AB129" s="287"/>
      <c r="AC129" s="246"/>
      <c r="AD129" s="134"/>
      <c r="AE129" s="134"/>
      <c r="AF129" s="134"/>
      <c r="AG129" s="134"/>
      <c r="AH129" s="134"/>
      <c r="AI129" s="134"/>
    </row>
    <row r="130" spans="1:35" s="288" customFormat="1" ht="15" hidden="1" customHeight="1">
      <c r="C130" s="48"/>
      <c r="D130" s="358"/>
      <c r="E130" s="358"/>
      <c r="F130" s="358"/>
      <c r="G130" s="358"/>
      <c r="H130" s="358"/>
      <c r="I130" s="358"/>
      <c r="J130" s="358"/>
      <c r="K130" s="358"/>
      <c r="L130" s="358" t="e">
        <f>H129+K129</f>
        <v>#REF!</v>
      </c>
      <c r="M130" s="358"/>
      <c r="N130" s="358"/>
      <c r="O130" s="358"/>
      <c r="P130" s="358" t="e">
        <f>G129-L130</f>
        <v>#REF!</v>
      </c>
      <c r="Q130" s="358">
        <f>'[1]תקציב החברה לפיתוח 2022'!$AL$135</f>
        <v>83905023</v>
      </c>
      <c r="R130" s="358"/>
      <c r="S130" s="358"/>
      <c r="T130" s="358" t="e">
        <f>P130+S129-M129</f>
        <v>#REF!</v>
      </c>
      <c r="U130" s="358"/>
      <c r="V130" s="358"/>
      <c r="W130" s="358"/>
      <c r="X130" s="358"/>
      <c r="Y130" s="358"/>
      <c r="Z130" s="358"/>
      <c r="AA130" s="358"/>
      <c r="AB130" s="358"/>
      <c r="AD130" s="134"/>
      <c r="AE130" s="134"/>
      <c r="AF130" s="134"/>
      <c r="AG130" s="134"/>
      <c r="AH130" s="134"/>
      <c r="AI130" s="134"/>
    </row>
    <row r="131" spans="1:35">
      <c r="U131" s="132"/>
      <c r="V131" s="132"/>
      <c r="W131" s="132"/>
      <c r="X131" s="132"/>
      <c r="Y131" s="132"/>
      <c r="Z131" s="132"/>
      <c r="AA131" s="132"/>
    </row>
    <row r="132" spans="1:35">
      <c r="U132" s="132"/>
      <c r="V132" s="132"/>
      <c r="W132" s="132"/>
      <c r="X132" s="132"/>
      <c r="Y132" s="132"/>
      <c r="Z132" s="132"/>
      <c r="AA132" s="132"/>
    </row>
    <row r="133" spans="1:35">
      <c r="U133" s="317"/>
    </row>
    <row r="134" spans="1:35">
      <c r="U134" s="317"/>
    </row>
    <row r="135" spans="1:35">
      <c r="U135" s="317"/>
    </row>
    <row r="136" spans="1:35">
      <c r="U136" s="317"/>
    </row>
    <row r="137" spans="1:35">
      <c r="U137" s="317"/>
    </row>
    <row r="139" spans="1:35">
      <c r="U139" s="335"/>
    </row>
    <row r="141" spans="1:35">
      <c r="U141" s="335"/>
    </row>
    <row r="142" spans="1:35">
      <c r="U142" s="335"/>
    </row>
  </sheetData>
  <sheetProtection formatCells="0" formatColumns="0" formatRows="0" insertColumns="0" insertRows="0" insertHyperlinks="0" deleteColumns="0" deleteRows="0" sort="0" autoFilter="0" pivotTables="0"/>
  <sortState ref="A5:AM120">
    <sortCondition ref="AC5:AC120"/>
  </sortState>
  <conditionalFormatting sqref="AB4">
    <cfRule type="cellIs" dxfId="434" priority="3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58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5" style="131" customWidth="1"/>
    <col min="2" max="2" width="5.33203125" style="216" customWidth="1"/>
    <col min="3" max="3" width="17.6640625" style="139" customWidth="1"/>
    <col min="4" max="4" width="11.5546875" style="132" customWidth="1"/>
    <col min="5" max="5" width="12.6640625" style="132" hidden="1" customWidth="1"/>
    <col min="6" max="6" width="11.6640625" style="132" hidden="1" customWidth="1"/>
    <col min="7" max="7" width="13" style="132" hidden="1" customWidth="1"/>
    <col min="8" max="8" width="14.33203125" style="132" hidden="1" customWidth="1"/>
    <col min="9" max="11" width="10.6640625" style="132" hidden="1" customWidth="1"/>
    <col min="12" max="12" width="11.6640625" style="132" customWidth="1"/>
    <col min="13" max="13" width="9.6640625" style="132" customWidth="1"/>
    <col min="14" max="14" width="10.6640625" style="132" customWidth="1"/>
    <col min="15" max="15" width="11.5546875" style="132" customWidth="1"/>
    <col min="16" max="17" width="11.109375" style="132" hidden="1" customWidth="1"/>
    <col min="18" max="18" width="11.88671875" style="132" hidden="1" customWidth="1"/>
    <col min="19" max="19" width="13" style="132" hidden="1" customWidth="1"/>
    <col min="20" max="20" width="10" style="132" customWidth="1"/>
    <col min="21" max="21" width="10.5546875" style="131" customWidth="1"/>
    <col min="22" max="22" width="11.5546875" style="131" customWidth="1"/>
    <col min="23" max="23" width="10.109375" style="131" customWidth="1"/>
    <col min="24" max="24" width="10.6640625" style="131" hidden="1" customWidth="1"/>
    <col min="25" max="25" width="9.6640625" style="131" customWidth="1"/>
    <col min="26" max="26" width="8.33203125" style="131" hidden="1" customWidth="1"/>
    <col min="27" max="27" width="9.33203125" style="131" customWidth="1"/>
    <col min="28" max="28" width="26.5546875" style="234" customWidth="1"/>
    <col min="29" max="29" width="10.6640625" style="131" hidden="1" customWidth="1"/>
    <col min="30" max="30" width="24.6640625" style="131" customWidth="1"/>
    <col min="31" max="31" width="27.6640625" style="131" customWidth="1"/>
    <col min="32" max="32" width="12" style="131" customWidth="1"/>
    <col min="33" max="33" width="10.6640625" style="131" customWidth="1"/>
    <col min="34" max="34" width="28.109375" style="131" customWidth="1"/>
    <col min="35" max="35" width="6.6640625" style="131" customWidth="1"/>
    <col min="36" max="36" width="12" style="131" customWidth="1"/>
    <col min="37" max="37" width="16.109375" style="131" customWidth="1"/>
    <col min="38" max="38" width="23.88671875" style="131" customWidth="1"/>
    <col min="39" max="39" width="10.33203125" style="131" customWidth="1"/>
    <col min="40" max="40" width="15" style="131" customWidth="1"/>
    <col min="41" max="41" width="16.33203125" style="131" customWidth="1"/>
    <col min="42" max="42" width="23.88671875" style="131" customWidth="1"/>
    <col min="43" max="44" width="11.109375" style="131" bestFit="1" customWidth="1"/>
    <col min="45" max="47" width="10.6640625" style="131" customWidth="1"/>
    <col min="48" max="50" width="10.6640625" style="217" customWidth="1"/>
    <col min="51" max="51" width="11.109375" style="131" bestFit="1" customWidth="1"/>
    <col min="52" max="16384" width="9.109375" style="131"/>
  </cols>
  <sheetData>
    <row r="1" spans="1:50" s="141" customFormat="1" ht="18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215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217"/>
      <c r="AW1" s="217"/>
      <c r="AX1" s="217"/>
    </row>
    <row r="2" spans="1:50" ht="18">
      <c r="A2" s="154" t="s">
        <v>171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764">
        <f>AA68-566515</f>
        <v>0</v>
      </c>
      <c r="Y2" s="154"/>
      <c r="Z2" s="154"/>
      <c r="AA2" s="154"/>
      <c r="AB2" s="765"/>
    </row>
    <row r="3" spans="1:50" ht="18">
      <c r="U3" s="132"/>
      <c r="V3" s="154"/>
      <c r="W3" s="154"/>
      <c r="X3" s="154"/>
      <c r="Y3" s="154"/>
      <c r="Z3" s="154"/>
      <c r="AA3" s="154"/>
    </row>
    <row r="4" spans="1:50" s="217" customFormat="1" ht="69">
      <c r="A4" s="326" t="s">
        <v>623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296" t="s">
        <v>11</v>
      </c>
      <c r="M4" s="133" t="s">
        <v>917</v>
      </c>
      <c r="N4" s="133" t="s">
        <v>918</v>
      </c>
      <c r="O4" s="2" t="s">
        <v>919</v>
      </c>
      <c r="P4" s="2" t="s">
        <v>12</v>
      </c>
      <c r="Q4" s="133" t="s">
        <v>920</v>
      </c>
      <c r="R4" s="133" t="s">
        <v>921</v>
      </c>
      <c r="S4" s="2" t="s">
        <v>922</v>
      </c>
      <c r="T4" s="2" t="s">
        <v>923</v>
      </c>
      <c r="U4" s="2" t="s">
        <v>924</v>
      </c>
      <c r="V4" s="13" t="s">
        <v>13</v>
      </c>
      <c r="W4" s="1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356" t="s">
        <v>242</v>
      </c>
      <c r="AC4" s="133" t="s">
        <v>16</v>
      </c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</row>
    <row r="5" spans="1:50" s="134" customFormat="1" ht="55.2">
      <c r="A5" s="135">
        <v>1</v>
      </c>
      <c r="B5" s="135">
        <v>382</v>
      </c>
      <c r="C5" s="135" t="s">
        <v>366</v>
      </c>
      <c r="D5" s="120">
        <v>111381330</v>
      </c>
      <c r="E5" s="120">
        <v>111381330</v>
      </c>
      <c r="F5" s="120">
        <f>D5-E5</f>
        <v>0</v>
      </c>
      <c r="G5" s="120">
        <v>71381330</v>
      </c>
      <c r="H5" s="120">
        <v>63822457</v>
      </c>
      <c r="I5" s="120"/>
      <c r="J5" s="120"/>
      <c r="K5" s="120">
        <f>SUM(I5:J5)</f>
        <v>0</v>
      </c>
      <c r="L5" s="120">
        <f>K5+H5</f>
        <v>63822457</v>
      </c>
      <c r="M5" s="120">
        <f>P5+S5-6000000-7550000</f>
        <v>8873</v>
      </c>
      <c r="N5" s="120">
        <f>7000000+6500000+6000000-4000000-2000000+50000</f>
        <v>13550000</v>
      </c>
      <c r="O5" s="120">
        <f>D5-L5-M5-N5</f>
        <v>34000000</v>
      </c>
      <c r="P5" s="120">
        <f>G5-L5</f>
        <v>7558873</v>
      </c>
      <c r="Q5" s="357">
        <v>6000000</v>
      </c>
      <c r="R5" s="120"/>
      <c r="S5" s="120">
        <f>SUM(Q5:R5)</f>
        <v>6000000</v>
      </c>
      <c r="T5" s="120">
        <f>P5-M5+S5</f>
        <v>13550000</v>
      </c>
      <c r="U5" s="120">
        <f>N5-T5</f>
        <v>0</v>
      </c>
      <c r="V5" s="120">
        <f>U5-Z5-X5-AA5-W5-Y5</f>
        <v>-1200000</v>
      </c>
      <c r="W5" s="120"/>
      <c r="X5" s="120"/>
      <c r="Y5" s="120"/>
      <c r="Z5" s="120"/>
      <c r="AA5" s="120">
        <v>1200000</v>
      </c>
      <c r="AB5" s="218" t="s">
        <v>1426</v>
      </c>
      <c r="AC5" s="135">
        <v>742000</v>
      </c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217"/>
      <c r="AW5" s="217"/>
      <c r="AX5" s="217"/>
    </row>
    <row r="6" spans="1:50" s="136" customFormat="1" ht="45" customHeight="1">
      <c r="A6" s="135">
        <f t="shared" ref="A6:A69" si="0">A5+1</f>
        <v>2</v>
      </c>
      <c r="B6" s="135">
        <v>532</v>
      </c>
      <c r="C6" s="135" t="s">
        <v>68</v>
      </c>
      <c r="D6" s="120">
        <v>80090000</v>
      </c>
      <c r="E6" s="120">
        <v>80090000</v>
      </c>
      <c r="F6" s="120">
        <f t="shared" ref="F6:F69" si="1">D6-E6</f>
        <v>0</v>
      </c>
      <c r="G6" s="120">
        <v>80090000</v>
      </c>
      <c r="H6" s="120">
        <v>79860343</v>
      </c>
      <c r="I6" s="120"/>
      <c r="J6" s="120">
        <f>279440-279440</f>
        <v>0</v>
      </c>
      <c r="K6" s="120">
        <f t="shared" ref="K6:K67" si="2">SUM(I6:J6)</f>
        <v>0</v>
      </c>
      <c r="L6" s="120">
        <f t="shared" ref="L6:L69" si="3">K6+H6</f>
        <v>79860343</v>
      </c>
      <c r="M6" s="120">
        <f>P6+S6-220000</f>
        <v>9657</v>
      </c>
      <c r="N6" s="120">
        <v>70000</v>
      </c>
      <c r="O6" s="120">
        <f t="shared" ref="O6:O69" si="4">D6-L6-M6-N6</f>
        <v>150000</v>
      </c>
      <c r="P6" s="120">
        <f t="shared" ref="P6:P69" si="5">G6-L6</f>
        <v>229657</v>
      </c>
      <c r="Q6" s="357"/>
      <c r="R6" s="120"/>
      <c r="S6" s="120">
        <f t="shared" ref="S6:S67" si="6">SUM(Q6:R6)</f>
        <v>0</v>
      </c>
      <c r="T6" s="120">
        <f t="shared" ref="T6:T69" si="7">P6-M6+S6</f>
        <v>220000</v>
      </c>
      <c r="U6" s="120">
        <f t="shared" ref="U6:U69" si="8">N6-T6</f>
        <v>-150000</v>
      </c>
      <c r="V6" s="120">
        <f t="shared" ref="V6:V69" si="9">U6-Z6-X6-AA6-W6-Y6</f>
        <v>-150000</v>
      </c>
      <c r="W6" s="120"/>
      <c r="X6" s="120"/>
      <c r="Y6" s="120"/>
      <c r="Z6" s="120"/>
      <c r="AA6" s="135"/>
      <c r="AB6" s="221" t="s">
        <v>1321</v>
      </c>
      <c r="AC6" s="135">
        <v>742000</v>
      </c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217"/>
      <c r="AW6" s="217"/>
      <c r="AX6" s="217"/>
    </row>
    <row r="7" spans="1:50" s="136" customFormat="1" ht="45" customHeight="1">
      <c r="A7" s="135">
        <f t="shared" si="0"/>
        <v>3</v>
      </c>
      <c r="B7" s="135">
        <v>576</v>
      </c>
      <c r="C7" s="135" t="s">
        <v>69</v>
      </c>
      <c r="D7" s="120">
        <f>58113000+20000000</f>
        <v>78113000</v>
      </c>
      <c r="E7" s="120">
        <v>58113000</v>
      </c>
      <c r="F7" s="120">
        <f t="shared" si="1"/>
        <v>20000000</v>
      </c>
      <c r="G7" s="120">
        <v>58113000</v>
      </c>
      <c r="H7" s="120">
        <v>57720940</v>
      </c>
      <c r="I7" s="120"/>
      <c r="J7" s="120">
        <f>188783-188783</f>
        <v>0</v>
      </c>
      <c r="K7" s="120">
        <f t="shared" si="2"/>
        <v>0</v>
      </c>
      <c r="L7" s="120">
        <f t="shared" si="3"/>
        <v>57720940</v>
      </c>
      <c r="M7" s="120">
        <f>P7+S7-390000</f>
        <v>2060</v>
      </c>
      <c r="N7" s="120">
        <f>10000000-5000000-2000000+390000-3000000</f>
        <v>390000</v>
      </c>
      <c r="O7" s="120">
        <f t="shared" si="4"/>
        <v>20000000</v>
      </c>
      <c r="P7" s="120">
        <f t="shared" si="5"/>
        <v>392060</v>
      </c>
      <c r="Q7" s="357"/>
      <c r="R7" s="120"/>
      <c r="S7" s="120">
        <f t="shared" si="6"/>
        <v>0</v>
      </c>
      <c r="T7" s="120">
        <f t="shared" si="7"/>
        <v>390000</v>
      </c>
      <c r="U7" s="120">
        <f t="shared" si="8"/>
        <v>0</v>
      </c>
      <c r="V7" s="120">
        <f t="shared" si="9"/>
        <v>0</v>
      </c>
      <c r="W7" s="120"/>
      <c r="X7" s="120"/>
      <c r="Y7" s="120"/>
      <c r="Z7" s="120"/>
      <c r="AA7" s="120">
        <f>3000000-3000000</f>
        <v>0</v>
      </c>
      <c r="AB7" s="135" t="s">
        <v>1495</v>
      </c>
      <c r="AC7" s="135">
        <v>760000</v>
      </c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217"/>
      <c r="AW7" s="217"/>
      <c r="AX7" s="217"/>
    </row>
    <row r="8" spans="1:50" s="134" customFormat="1" ht="45" customHeight="1">
      <c r="A8" s="135">
        <f t="shared" si="0"/>
        <v>4</v>
      </c>
      <c r="B8" s="135">
        <v>1067</v>
      </c>
      <c r="C8" s="135" t="s">
        <v>70</v>
      </c>
      <c r="D8" s="120">
        <f>4975000+500000</f>
        <v>5475000</v>
      </c>
      <c r="E8" s="120">
        <v>4975000</v>
      </c>
      <c r="F8" s="120">
        <f t="shared" si="1"/>
        <v>500000</v>
      </c>
      <c r="G8" s="120">
        <v>4475000</v>
      </c>
      <c r="H8" s="120">
        <v>4513801</v>
      </c>
      <c r="I8" s="120"/>
      <c r="J8" s="120">
        <f>81104-81104</f>
        <v>0</v>
      </c>
      <c r="K8" s="120">
        <f t="shared" si="2"/>
        <v>0</v>
      </c>
      <c r="L8" s="120">
        <f t="shared" si="3"/>
        <v>4513801</v>
      </c>
      <c r="M8" s="120">
        <f>P8+S8-460000</f>
        <v>1199</v>
      </c>
      <c r="N8" s="120">
        <f>500000+460000-300000</f>
        <v>660000</v>
      </c>
      <c r="O8" s="120">
        <f t="shared" si="4"/>
        <v>300000</v>
      </c>
      <c r="P8" s="120">
        <f t="shared" si="5"/>
        <v>-38801</v>
      </c>
      <c r="Q8" s="357">
        <v>500000</v>
      </c>
      <c r="R8" s="120"/>
      <c r="S8" s="120">
        <f t="shared" si="6"/>
        <v>500000</v>
      </c>
      <c r="T8" s="120">
        <f t="shared" si="7"/>
        <v>460000</v>
      </c>
      <c r="U8" s="120">
        <f t="shared" si="8"/>
        <v>200000</v>
      </c>
      <c r="V8" s="120">
        <f t="shared" si="9"/>
        <v>200000</v>
      </c>
      <c r="W8" s="120"/>
      <c r="X8" s="120"/>
      <c r="Y8" s="120"/>
      <c r="Z8" s="120"/>
      <c r="AA8" s="135"/>
      <c r="AB8" s="221" t="s">
        <v>256</v>
      </c>
      <c r="AC8" s="135">
        <v>742000</v>
      </c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217"/>
      <c r="AW8" s="217"/>
      <c r="AX8" s="217"/>
    </row>
    <row r="9" spans="1:50" s="136" customFormat="1" ht="45" customHeight="1">
      <c r="A9" s="135">
        <f t="shared" si="0"/>
        <v>5</v>
      </c>
      <c r="B9" s="135">
        <v>1207</v>
      </c>
      <c r="C9" s="135" t="s">
        <v>71</v>
      </c>
      <c r="D9" s="120">
        <v>45650000</v>
      </c>
      <c r="E9" s="120">
        <v>45650000</v>
      </c>
      <c r="F9" s="120">
        <f t="shared" si="1"/>
        <v>0</v>
      </c>
      <c r="G9" s="120">
        <v>44770000</v>
      </c>
      <c r="H9" s="120">
        <v>43349903</v>
      </c>
      <c r="I9" s="120"/>
      <c r="J9" s="120"/>
      <c r="K9" s="120">
        <f t="shared" si="2"/>
        <v>0</v>
      </c>
      <c r="L9" s="120">
        <f t="shared" si="3"/>
        <v>43349903</v>
      </c>
      <c r="M9" s="120">
        <f>P9+S9-1400000</f>
        <v>20097</v>
      </c>
      <c r="N9" s="120"/>
      <c r="O9" s="120">
        <f t="shared" si="4"/>
        <v>2280000</v>
      </c>
      <c r="P9" s="120">
        <f t="shared" si="5"/>
        <v>1420097</v>
      </c>
      <c r="Q9" s="357"/>
      <c r="R9" s="120"/>
      <c r="S9" s="120">
        <f t="shared" si="6"/>
        <v>0</v>
      </c>
      <c r="T9" s="120">
        <f t="shared" si="7"/>
        <v>1400000</v>
      </c>
      <c r="U9" s="120">
        <f t="shared" si="8"/>
        <v>-1400000</v>
      </c>
      <c r="V9" s="120">
        <f t="shared" si="9"/>
        <v>-1400000</v>
      </c>
      <c r="W9" s="120"/>
      <c r="X9" s="120"/>
      <c r="Y9" s="120"/>
      <c r="Z9" s="120"/>
      <c r="AA9" s="135"/>
      <c r="AB9" s="221" t="s">
        <v>805</v>
      </c>
      <c r="AC9" s="135">
        <v>742000</v>
      </c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217"/>
      <c r="AW9" s="217"/>
      <c r="AX9" s="217"/>
    </row>
    <row r="10" spans="1:50" s="136" customFormat="1" ht="45" customHeight="1">
      <c r="A10" s="135">
        <f t="shared" si="0"/>
        <v>6</v>
      </c>
      <c r="B10" s="135">
        <v>1238</v>
      </c>
      <c r="C10" s="135" t="s">
        <v>718</v>
      </c>
      <c r="D10" s="120">
        <v>40500000</v>
      </c>
      <c r="E10" s="120">
        <v>40500000</v>
      </c>
      <c r="F10" s="120">
        <f t="shared" si="1"/>
        <v>0</v>
      </c>
      <c r="G10" s="120">
        <v>26000000</v>
      </c>
      <c r="H10" s="120">
        <v>26038535</v>
      </c>
      <c r="I10" s="120"/>
      <c r="J10" s="120">
        <f>214321-214321</f>
        <v>0</v>
      </c>
      <c r="K10" s="120">
        <f t="shared" si="2"/>
        <v>0</v>
      </c>
      <c r="L10" s="120">
        <f t="shared" si="3"/>
        <v>26038535</v>
      </c>
      <c r="M10" s="120">
        <f>P10+S10-1960000</f>
        <v>1465</v>
      </c>
      <c r="N10" s="120">
        <f>12500000-7500000+1960000</f>
        <v>6960000</v>
      </c>
      <c r="O10" s="120">
        <f t="shared" si="4"/>
        <v>7500000</v>
      </c>
      <c r="P10" s="120">
        <f t="shared" si="5"/>
        <v>-38535</v>
      </c>
      <c r="Q10" s="357">
        <f>2250000-250000</f>
        <v>2000000</v>
      </c>
      <c r="R10" s="120"/>
      <c r="S10" s="120">
        <f t="shared" si="6"/>
        <v>2000000</v>
      </c>
      <c r="T10" s="120">
        <f t="shared" si="7"/>
        <v>1960000</v>
      </c>
      <c r="U10" s="120">
        <f t="shared" si="8"/>
        <v>5000000</v>
      </c>
      <c r="V10" s="120">
        <f t="shared" si="9"/>
        <v>500000</v>
      </c>
      <c r="W10" s="120"/>
      <c r="X10" s="120"/>
      <c r="Y10" s="120"/>
      <c r="Z10" s="120"/>
      <c r="AA10" s="120">
        <v>4500000</v>
      </c>
      <c r="AB10" s="235" t="s">
        <v>1383</v>
      </c>
      <c r="AC10" s="135">
        <v>742000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217"/>
      <c r="AW10" s="217"/>
      <c r="AX10" s="217"/>
    </row>
    <row r="11" spans="1:50" s="136" customFormat="1" ht="45" customHeight="1">
      <c r="A11" s="135">
        <f t="shared" si="0"/>
        <v>7</v>
      </c>
      <c r="B11" s="135">
        <v>1298</v>
      </c>
      <c r="C11" s="135" t="s">
        <v>32</v>
      </c>
      <c r="D11" s="120">
        <f>6100000+500000</f>
        <v>6600000</v>
      </c>
      <c r="E11" s="120">
        <v>6100000</v>
      </c>
      <c r="F11" s="120">
        <f t="shared" si="1"/>
        <v>500000</v>
      </c>
      <c r="G11" s="120">
        <v>5800000</v>
      </c>
      <c r="H11" s="120">
        <v>5766092</v>
      </c>
      <c r="I11" s="120"/>
      <c r="J11" s="120">
        <f>73889-73889</f>
        <v>0</v>
      </c>
      <c r="K11" s="120">
        <f t="shared" si="2"/>
        <v>0</v>
      </c>
      <c r="L11" s="120">
        <f t="shared" si="3"/>
        <v>5766092</v>
      </c>
      <c r="M11" s="120">
        <f>P11+S11-330000</f>
        <v>3908</v>
      </c>
      <c r="N11" s="120">
        <f>500000+330000-230000</f>
        <v>600000</v>
      </c>
      <c r="O11" s="120">
        <f t="shared" si="4"/>
        <v>230000</v>
      </c>
      <c r="P11" s="120">
        <f t="shared" si="5"/>
        <v>33908</v>
      </c>
      <c r="Q11" s="357">
        <f>400000-100000</f>
        <v>300000</v>
      </c>
      <c r="R11" s="120"/>
      <c r="S11" s="120">
        <f t="shared" si="6"/>
        <v>300000</v>
      </c>
      <c r="T11" s="120">
        <f t="shared" si="7"/>
        <v>330000</v>
      </c>
      <c r="U11" s="120">
        <f t="shared" si="8"/>
        <v>270000</v>
      </c>
      <c r="V11" s="120">
        <f t="shared" si="9"/>
        <v>270000</v>
      </c>
      <c r="W11" s="120"/>
      <c r="X11" s="120"/>
      <c r="Y11" s="120"/>
      <c r="Z11" s="120"/>
      <c r="AA11" s="135"/>
      <c r="AB11" s="221" t="s">
        <v>257</v>
      </c>
      <c r="AC11" s="135">
        <v>742000</v>
      </c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217"/>
      <c r="AW11" s="217"/>
      <c r="AX11" s="217"/>
    </row>
    <row r="12" spans="1:50" s="5" customFormat="1" ht="45" customHeight="1">
      <c r="A12" s="135">
        <f t="shared" si="0"/>
        <v>8</v>
      </c>
      <c r="B12" s="3">
        <v>1314</v>
      </c>
      <c r="C12" s="3" t="s">
        <v>39</v>
      </c>
      <c r="D12" s="120">
        <v>5200000</v>
      </c>
      <c r="E12" s="120">
        <v>5200000</v>
      </c>
      <c r="F12" s="120">
        <f t="shared" si="1"/>
        <v>0</v>
      </c>
      <c r="G12" s="120">
        <v>5200000</v>
      </c>
      <c r="H12" s="120">
        <v>5177082</v>
      </c>
      <c r="I12" s="120"/>
      <c r="J12" s="120">
        <f>423663-423663</f>
        <v>0</v>
      </c>
      <c r="K12" s="120">
        <f t="shared" si="2"/>
        <v>0</v>
      </c>
      <c r="L12" s="120">
        <f t="shared" si="3"/>
        <v>5177082</v>
      </c>
      <c r="M12" s="120">
        <f>P12+S12-20000-2918</f>
        <v>0</v>
      </c>
      <c r="N12" s="120"/>
      <c r="O12" s="120">
        <f t="shared" si="4"/>
        <v>22918</v>
      </c>
      <c r="P12" s="120">
        <f t="shared" si="5"/>
        <v>22918</v>
      </c>
      <c r="Q12" s="357"/>
      <c r="R12" s="120"/>
      <c r="S12" s="120">
        <f t="shared" si="6"/>
        <v>0</v>
      </c>
      <c r="T12" s="120">
        <f t="shared" si="7"/>
        <v>22918</v>
      </c>
      <c r="U12" s="120">
        <f t="shared" si="8"/>
        <v>-22918</v>
      </c>
      <c r="V12" s="120">
        <f t="shared" si="9"/>
        <v>-22918</v>
      </c>
      <c r="W12" s="120"/>
      <c r="X12" s="120"/>
      <c r="Y12" s="120"/>
      <c r="Z12" s="120"/>
      <c r="AA12" s="135"/>
      <c r="AB12" s="3" t="s">
        <v>1419</v>
      </c>
      <c r="AC12" s="3">
        <v>742000</v>
      </c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217"/>
      <c r="AW12" s="217"/>
      <c r="AX12" s="217"/>
    </row>
    <row r="13" spans="1:50" s="5" customFormat="1" ht="45" customHeight="1">
      <c r="A13" s="135">
        <f t="shared" si="0"/>
        <v>9</v>
      </c>
      <c r="B13" s="3">
        <v>1322</v>
      </c>
      <c r="C13" s="3" t="s">
        <v>33</v>
      </c>
      <c r="D13" s="120">
        <v>18500000</v>
      </c>
      <c r="E13" s="120">
        <v>18500000</v>
      </c>
      <c r="F13" s="120">
        <f t="shared" si="1"/>
        <v>0</v>
      </c>
      <c r="G13" s="120">
        <v>10850000</v>
      </c>
      <c r="H13" s="120">
        <v>9799391</v>
      </c>
      <c r="I13" s="120"/>
      <c r="J13" s="120"/>
      <c r="K13" s="120">
        <f t="shared" si="2"/>
        <v>0</v>
      </c>
      <c r="L13" s="120">
        <f t="shared" si="3"/>
        <v>9799391</v>
      </c>
      <c r="M13" s="120">
        <f>P13+S13-1000000-50000</f>
        <v>609</v>
      </c>
      <c r="N13" s="120">
        <f>1000000+50000</f>
        <v>1050000</v>
      </c>
      <c r="O13" s="120">
        <f t="shared" si="4"/>
        <v>7650000</v>
      </c>
      <c r="P13" s="120">
        <f t="shared" si="5"/>
        <v>1050609</v>
      </c>
      <c r="Q13" s="357"/>
      <c r="R13" s="120"/>
      <c r="S13" s="120">
        <f t="shared" si="6"/>
        <v>0</v>
      </c>
      <c r="T13" s="120">
        <f t="shared" si="7"/>
        <v>1050000</v>
      </c>
      <c r="U13" s="120">
        <f t="shared" si="8"/>
        <v>0</v>
      </c>
      <c r="V13" s="120">
        <f t="shared" si="9"/>
        <v>0</v>
      </c>
      <c r="W13" s="120"/>
      <c r="X13" s="120"/>
      <c r="Y13" s="120"/>
      <c r="Z13" s="120"/>
      <c r="AA13" s="135"/>
      <c r="AB13" s="3" t="s">
        <v>509</v>
      </c>
      <c r="AC13" s="3">
        <v>742000</v>
      </c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217"/>
      <c r="AW13" s="217"/>
      <c r="AX13" s="217"/>
    </row>
    <row r="14" spans="1:50" s="5" customFormat="1" ht="45" customHeight="1">
      <c r="A14" s="135">
        <f t="shared" si="0"/>
        <v>10</v>
      </c>
      <c r="B14" s="3">
        <v>1357</v>
      </c>
      <c r="C14" s="3" t="s">
        <v>40</v>
      </c>
      <c r="D14" s="120">
        <v>18812000</v>
      </c>
      <c r="E14" s="120">
        <v>18812000</v>
      </c>
      <c r="F14" s="120">
        <f t="shared" si="1"/>
        <v>0</v>
      </c>
      <c r="G14" s="120">
        <v>18812000</v>
      </c>
      <c r="H14" s="120">
        <v>17954809</v>
      </c>
      <c r="I14" s="120"/>
      <c r="J14" s="120">
        <f>462475-462475</f>
        <v>0</v>
      </c>
      <c r="K14" s="120">
        <f t="shared" si="2"/>
        <v>0</v>
      </c>
      <c r="L14" s="120">
        <f t="shared" si="3"/>
        <v>17954809</v>
      </c>
      <c r="M14" s="120">
        <f>P14+S14-850000</f>
        <v>7191</v>
      </c>
      <c r="N14" s="120">
        <v>850000</v>
      </c>
      <c r="O14" s="120">
        <f t="shared" si="4"/>
        <v>0</v>
      </c>
      <c r="P14" s="120">
        <f t="shared" si="5"/>
        <v>857191</v>
      </c>
      <c r="Q14" s="357"/>
      <c r="R14" s="120"/>
      <c r="S14" s="120">
        <f t="shared" si="6"/>
        <v>0</v>
      </c>
      <c r="T14" s="120">
        <f t="shared" si="7"/>
        <v>850000</v>
      </c>
      <c r="U14" s="120">
        <f t="shared" si="8"/>
        <v>0</v>
      </c>
      <c r="V14" s="120">
        <f t="shared" si="9"/>
        <v>0</v>
      </c>
      <c r="W14" s="120"/>
      <c r="X14" s="120"/>
      <c r="Y14" s="120"/>
      <c r="Z14" s="120"/>
      <c r="AA14" s="135"/>
      <c r="AB14" s="3" t="s">
        <v>625</v>
      </c>
      <c r="AC14" s="3">
        <v>829000</v>
      </c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217"/>
      <c r="AW14" s="217"/>
      <c r="AX14" s="217"/>
    </row>
    <row r="15" spans="1:50" s="134" customFormat="1" ht="45" customHeight="1">
      <c r="A15" s="135">
        <f t="shared" si="0"/>
        <v>11</v>
      </c>
      <c r="B15" s="135">
        <v>1375</v>
      </c>
      <c r="C15" s="135" t="s">
        <v>329</v>
      </c>
      <c r="D15" s="120">
        <f>40150000+2000000</f>
        <v>42150000</v>
      </c>
      <c r="E15" s="120">
        <v>40150000</v>
      </c>
      <c r="F15" s="120">
        <f t="shared" si="1"/>
        <v>2000000</v>
      </c>
      <c r="G15" s="120">
        <v>30150000</v>
      </c>
      <c r="H15" s="120">
        <v>30140054</v>
      </c>
      <c r="I15" s="120"/>
      <c r="J15" s="120">
        <f>128941-128941</f>
        <v>0</v>
      </c>
      <c r="K15" s="120">
        <f t="shared" si="2"/>
        <v>0</v>
      </c>
      <c r="L15" s="120">
        <f t="shared" si="3"/>
        <v>30140054</v>
      </c>
      <c r="M15" s="120">
        <f t="shared" ref="M15:M66" si="10">P15+S15</f>
        <v>9946</v>
      </c>
      <c r="N15" s="120">
        <f>12000000-12000000</f>
        <v>0</v>
      </c>
      <c r="O15" s="120">
        <f t="shared" si="4"/>
        <v>12000000</v>
      </c>
      <c r="P15" s="120">
        <f t="shared" si="5"/>
        <v>9946</v>
      </c>
      <c r="Q15" s="357"/>
      <c r="R15" s="120"/>
      <c r="S15" s="120">
        <f t="shared" si="6"/>
        <v>0</v>
      </c>
      <c r="T15" s="120">
        <f t="shared" si="7"/>
        <v>0</v>
      </c>
      <c r="U15" s="120">
        <f t="shared" si="8"/>
        <v>0</v>
      </c>
      <c r="V15" s="120">
        <f t="shared" si="9"/>
        <v>0</v>
      </c>
      <c r="W15" s="120"/>
      <c r="X15" s="120"/>
      <c r="Y15" s="120"/>
      <c r="Z15" s="120"/>
      <c r="AA15" s="135"/>
      <c r="AB15" s="135" t="s">
        <v>882</v>
      </c>
      <c r="AC15" s="135">
        <v>747000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217"/>
      <c r="AW15" s="217"/>
      <c r="AX15" s="217"/>
    </row>
    <row r="16" spans="1:50" s="134" customFormat="1" ht="55.2">
      <c r="A16" s="135">
        <f t="shared" si="0"/>
        <v>12</v>
      </c>
      <c r="B16" s="135">
        <v>1588</v>
      </c>
      <c r="C16" s="135" t="s">
        <v>24</v>
      </c>
      <c r="D16" s="120">
        <f>50500000+3000000</f>
        <v>53500000</v>
      </c>
      <c r="E16" s="120">
        <v>50500000</v>
      </c>
      <c r="F16" s="120">
        <f t="shared" si="1"/>
        <v>3000000</v>
      </c>
      <c r="G16" s="120">
        <v>45500000</v>
      </c>
      <c r="H16" s="120">
        <v>40127873</v>
      </c>
      <c r="I16" s="120"/>
      <c r="J16" s="120">
        <f>768552-768552</f>
        <v>0</v>
      </c>
      <c r="K16" s="120">
        <f t="shared" si="2"/>
        <v>0</v>
      </c>
      <c r="L16" s="120">
        <f t="shared" si="3"/>
        <v>40127873</v>
      </c>
      <c r="M16" s="120">
        <f>P16+S16-5000000+1000000-1370000</f>
        <v>2127</v>
      </c>
      <c r="N16" s="120">
        <f>5000000+5000000-1000000+1370000-3000000-500000</f>
        <v>6870000</v>
      </c>
      <c r="O16" s="120">
        <f t="shared" si="4"/>
        <v>6500000</v>
      </c>
      <c r="P16" s="120">
        <f t="shared" si="5"/>
        <v>5372127</v>
      </c>
      <c r="Q16" s="357"/>
      <c r="R16" s="120"/>
      <c r="S16" s="120">
        <f t="shared" si="6"/>
        <v>0</v>
      </c>
      <c r="T16" s="120">
        <f t="shared" si="7"/>
        <v>5370000</v>
      </c>
      <c r="U16" s="120">
        <f t="shared" si="8"/>
        <v>1500000</v>
      </c>
      <c r="V16" s="120">
        <f t="shared" si="9"/>
        <v>-2962592</v>
      </c>
      <c r="W16" s="120"/>
      <c r="X16" s="120"/>
      <c r="Y16" s="120"/>
      <c r="Z16" s="120"/>
      <c r="AA16" s="120">
        <v>4462592</v>
      </c>
      <c r="AB16" s="135" t="s">
        <v>1384</v>
      </c>
      <c r="AC16" s="135">
        <v>742000</v>
      </c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217"/>
      <c r="AW16" s="217"/>
      <c r="AX16" s="217"/>
    </row>
    <row r="17" spans="1:51" s="134" customFormat="1" ht="45" customHeight="1">
      <c r="A17" s="135">
        <f t="shared" si="0"/>
        <v>13</v>
      </c>
      <c r="B17" s="135">
        <v>1615</v>
      </c>
      <c r="C17" s="135" t="s">
        <v>98</v>
      </c>
      <c r="D17" s="120">
        <v>27700000</v>
      </c>
      <c r="E17" s="120">
        <v>27700000</v>
      </c>
      <c r="F17" s="120">
        <f t="shared" si="1"/>
        <v>0</v>
      </c>
      <c r="G17" s="120">
        <v>23700000</v>
      </c>
      <c r="H17" s="120">
        <v>22547620</v>
      </c>
      <c r="I17" s="120"/>
      <c r="J17" s="120">
        <f>405629-405629</f>
        <v>0</v>
      </c>
      <c r="K17" s="120">
        <f t="shared" si="2"/>
        <v>0</v>
      </c>
      <c r="L17" s="120">
        <f t="shared" si="3"/>
        <v>22547620</v>
      </c>
      <c r="M17" s="120">
        <f>P17+S17-1100000-50000</f>
        <v>2380</v>
      </c>
      <c r="N17" s="120">
        <f>100000+50000</f>
        <v>150000</v>
      </c>
      <c r="O17" s="120">
        <f t="shared" si="4"/>
        <v>5000000</v>
      </c>
      <c r="P17" s="120">
        <f t="shared" si="5"/>
        <v>1152380</v>
      </c>
      <c r="Q17" s="357"/>
      <c r="R17" s="120"/>
      <c r="S17" s="120">
        <f t="shared" si="6"/>
        <v>0</v>
      </c>
      <c r="T17" s="120">
        <f t="shared" si="7"/>
        <v>1150000</v>
      </c>
      <c r="U17" s="120">
        <f t="shared" si="8"/>
        <v>-1000000</v>
      </c>
      <c r="V17" s="120">
        <f t="shared" si="9"/>
        <v>-1000000</v>
      </c>
      <c r="W17" s="120"/>
      <c r="X17" s="120"/>
      <c r="Y17" s="120"/>
      <c r="Z17" s="120"/>
      <c r="AA17" s="135"/>
      <c r="AB17" s="135" t="s">
        <v>1322</v>
      </c>
      <c r="AC17" s="135">
        <v>742000</v>
      </c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217"/>
      <c r="AW17" s="217"/>
      <c r="AX17" s="217"/>
    </row>
    <row r="18" spans="1:51" s="5" customFormat="1" ht="82.8">
      <c r="A18" s="135">
        <f t="shared" si="0"/>
        <v>14</v>
      </c>
      <c r="B18" s="3">
        <v>1620</v>
      </c>
      <c r="C18" s="19" t="s">
        <v>1374</v>
      </c>
      <c r="D18" s="4">
        <v>4200000</v>
      </c>
      <c r="E18" s="4">
        <v>4200000</v>
      </c>
      <c r="F18" s="4">
        <f t="shared" si="1"/>
        <v>0</v>
      </c>
      <c r="G18" s="4">
        <v>100000</v>
      </c>
      <c r="H18" s="4"/>
      <c r="I18" s="4"/>
      <c r="J18" s="4"/>
      <c r="K18" s="4">
        <f>SUM(I18:J18)</f>
        <v>0</v>
      </c>
      <c r="L18" s="4">
        <f>H18+K18</f>
        <v>0</v>
      </c>
      <c r="M18" s="4">
        <f>P18+S18-200000</f>
        <v>0</v>
      </c>
      <c r="N18" s="4">
        <f>1500000-750000-750000+200000</f>
        <v>200000</v>
      </c>
      <c r="O18" s="4">
        <f t="shared" si="4"/>
        <v>4000000</v>
      </c>
      <c r="P18" s="4">
        <f t="shared" si="5"/>
        <v>100000</v>
      </c>
      <c r="Q18" s="354">
        <v>100000</v>
      </c>
      <c r="R18" s="4"/>
      <c r="S18" s="4">
        <f t="shared" si="6"/>
        <v>100000</v>
      </c>
      <c r="T18" s="4">
        <f t="shared" si="7"/>
        <v>200000</v>
      </c>
      <c r="U18" s="4">
        <f t="shared" si="8"/>
        <v>0</v>
      </c>
      <c r="V18" s="4">
        <f>U18-AA18-W18-Z18-Y18-X18</f>
        <v>0</v>
      </c>
      <c r="W18" s="4"/>
      <c r="X18" s="4"/>
      <c r="Y18" s="4"/>
      <c r="Z18" s="4"/>
      <c r="AA18" s="3"/>
      <c r="AB18" s="3" t="s">
        <v>786</v>
      </c>
      <c r="AC18" s="3">
        <v>732000</v>
      </c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8"/>
      <c r="AW18" s="18"/>
      <c r="AX18" s="18"/>
      <c r="AY18" s="18"/>
    </row>
    <row r="19" spans="1:51" s="134" customFormat="1" ht="45" customHeight="1">
      <c r="A19" s="135">
        <f t="shared" si="0"/>
        <v>15</v>
      </c>
      <c r="B19" s="135">
        <v>1657</v>
      </c>
      <c r="C19" s="135" t="s">
        <v>26</v>
      </c>
      <c r="D19" s="4">
        <f>60000000+5000000</f>
        <v>65000000</v>
      </c>
      <c r="E19" s="120">
        <v>60000000</v>
      </c>
      <c r="F19" s="120">
        <f t="shared" si="1"/>
        <v>5000000</v>
      </c>
      <c r="G19" s="120">
        <v>41519789</v>
      </c>
      <c r="H19" s="120">
        <v>53294967</v>
      </c>
      <c r="I19" s="120"/>
      <c r="J19" s="120">
        <f>478613-478613</f>
        <v>0</v>
      </c>
      <c r="K19" s="120">
        <f t="shared" si="2"/>
        <v>0</v>
      </c>
      <c r="L19" s="120">
        <f t="shared" si="3"/>
        <v>53294967</v>
      </c>
      <c r="M19" s="120">
        <f>P19+S19-1220000</f>
        <v>4822</v>
      </c>
      <c r="N19" s="4">
        <v>1220000</v>
      </c>
      <c r="O19" s="120">
        <f t="shared" si="4"/>
        <v>10480211</v>
      </c>
      <c r="P19" s="120">
        <f t="shared" si="5"/>
        <v>-11775178</v>
      </c>
      <c r="Q19" s="357">
        <v>13000000</v>
      </c>
      <c r="R19" s="120"/>
      <c r="S19" s="120">
        <f t="shared" si="6"/>
        <v>13000000</v>
      </c>
      <c r="T19" s="120">
        <f t="shared" si="7"/>
        <v>1220000</v>
      </c>
      <c r="U19" s="120">
        <f t="shared" si="8"/>
        <v>0</v>
      </c>
      <c r="V19" s="120">
        <f t="shared" si="9"/>
        <v>0</v>
      </c>
      <c r="W19" s="120"/>
      <c r="X19" s="120"/>
      <c r="Y19" s="120"/>
      <c r="Z19" s="120"/>
      <c r="AA19" s="135"/>
      <c r="AB19" s="3" t="s">
        <v>1427</v>
      </c>
      <c r="AC19" s="135">
        <v>742000</v>
      </c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217"/>
      <c r="AW19" s="217"/>
      <c r="AX19" s="217"/>
    </row>
    <row r="20" spans="1:51" s="5" customFormat="1" ht="45" customHeight="1">
      <c r="A20" s="135">
        <f t="shared" si="0"/>
        <v>16</v>
      </c>
      <c r="B20" s="3">
        <v>1670</v>
      </c>
      <c r="C20" s="3" t="s">
        <v>90</v>
      </c>
      <c r="D20" s="120">
        <f>17800000+19900000</f>
        <v>37700000</v>
      </c>
      <c r="E20" s="120">
        <v>17800000</v>
      </c>
      <c r="F20" s="120">
        <f t="shared" si="1"/>
        <v>19900000</v>
      </c>
      <c r="G20" s="120">
        <v>6050000</v>
      </c>
      <c r="H20" s="120">
        <v>5792275</v>
      </c>
      <c r="I20" s="120"/>
      <c r="J20" s="120">
        <v>17295</v>
      </c>
      <c r="K20" s="120">
        <f t="shared" si="2"/>
        <v>17295</v>
      </c>
      <c r="L20" s="120">
        <f t="shared" si="3"/>
        <v>5809570</v>
      </c>
      <c r="M20" s="120">
        <f>P20+S20-240000</f>
        <v>430</v>
      </c>
      <c r="N20" s="120">
        <f>15000000-5000000-3000000+240000-2000000</f>
        <v>5240000</v>
      </c>
      <c r="O20" s="120">
        <f t="shared" si="4"/>
        <v>26650000</v>
      </c>
      <c r="P20" s="120">
        <f t="shared" si="5"/>
        <v>240430</v>
      </c>
      <c r="Q20" s="357"/>
      <c r="R20" s="120"/>
      <c r="S20" s="120">
        <f t="shared" si="6"/>
        <v>0</v>
      </c>
      <c r="T20" s="120">
        <f t="shared" si="7"/>
        <v>240000</v>
      </c>
      <c r="U20" s="120">
        <f t="shared" si="8"/>
        <v>5000000</v>
      </c>
      <c r="V20" s="120">
        <f t="shared" si="9"/>
        <v>5000000</v>
      </c>
      <c r="W20" s="120"/>
      <c r="X20" s="120"/>
      <c r="Y20" s="120"/>
      <c r="Z20" s="120"/>
      <c r="AA20" s="135"/>
      <c r="AB20" s="3" t="s">
        <v>484</v>
      </c>
      <c r="AC20" s="3">
        <v>742000</v>
      </c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217"/>
      <c r="AW20" s="217"/>
      <c r="AX20" s="217"/>
    </row>
    <row r="21" spans="1:51" s="5" customFormat="1" ht="45" customHeight="1">
      <c r="A21" s="135">
        <f t="shared" si="0"/>
        <v>17</v>
      </c>
      <c r="B21" s="3">
        <v>1693</v>
      </c>
      <c r="C21" s="3" t="s">
        <v>100</v>
      </c>
      <c r="D21" s="120">
        <v>4500000</v>
      </c>
      <c r="E21" s="120">
        <v>4500000</v>
      </c>
      <c r="F21" s="120">
        <f t="shared" si="1"/>
        <v>0</v>
      </c>
      <c r="G21" s="120">
        <v>2416703</v>
      </c>
      <c r="H21" s="120">
        <v>708955</v>
      </c>
      <c r="I21" s="120">
        <f>449944</f>
        <v>449944</v>
      </c>
      <c r="J21" s="120">
        <v>166720</v>
      </c>
      <c r="K21" s="120">
        <f t="shared" si="2"/>
        <v>616664</v>
      </c>
      <c r="L21" s="120">
        <f t="shared" si="3"/>
        <v>1325619</v>
      </c>
      <c r="M21" s="120">
        <f>P21+S21-700000-390000</f>
        <v>1084</v>
      </c>
      <c r="N21" s="120">
        <f>700000+390000</f>
        <v>1090000</v>
      </c>
      <c r="O21" s="120">
        <f t="shared" si="4"/>
        <v>2083297</v>
      </c>
      <c r="P21" s="120">
        <f t="shared" si="5"/>
        <v>1091084</v>
      </c>
      <c r="Q21" s="357"/>
      <c r="R21" s="120"/>
      <c r="S21" s="120">
        <f t="shared" si="6"/>
        <v>0</v>
      </c>
      <c r="T21" s="120">
        <f t="shared" si="7"/>
        <v>1090000</v>
      </c>
      <c r="U21" s="120">
        <f t="shared" si="8"/>
        <v>0</v>
      </c>
      <c r="V21" s="120">
        <f t="shared" si="9"/>
        <v>0</v>
      </c>
      <c r="W21" s="120"/>
      <c r="X21" s="120"/>
      <c r="Y21" s="120"/>
      <c r="Z21" s="120"/>
      <c r="AA21" s="135"/>
      <c r="AB21" s="3" t="s">
        <v>774</v>
      </c>
      <c r="AC21" s="3">
        <v>732000</v>
      </c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217"/>
      <c r="AW21" s="217"/>
      <c r="AX21" s="217"/>
    </row>
    <row r="22" spans="1:51" s="134" customFormat="1" ht="45" customHeight="1">
      <c r="A22" s="135">
        <f t="shared" si="0"/>
        <v>18</v>
      </c>
      <c r="B22" s="135">
        <v>1723</v>
      </c>
      <c r="C22" s="135" t="s">
        <v>27</v>
      </c>
      <c r="D22" s="120">
        <v>1978521</v>
      </c>
      <c r="E22" s="120">
        <v>1978521</v>
      </c>
      <c r="F22" s="120">
        <f t="shared" si="1"/>
        <v>0</v>
      </c>
      <c r="G22" s="120">
        <v>1978521</v>
      </c>
      <c r="H22" s="120">
        <v>1651128</v>
      </c>
      <c r="I22" s="120"/>
      <c r="J22" s="120">
        <f>94349-94349</f>
        <v>0</v>
      </c>
      <c r="K22" s="120">
        <f t="shared" si="2"/>
        <v>0</v>
      </c>
      <c r="L22" s="120">
        <f t="shared" si="3"/>
        <v>1651128</v>
      </c>
      <c r="M22" s="120">
        <f>P22+S22-320000</f>
        <v>7393</v>
      </c>
      <c r="N22" s="120">
        <v>120000</v>
      </c>
      <c r="O22" s="120">
        <f t="shared" si="4"/>
        <v>200000</v>
      </c>
      <c r="P22" s="120">
        <f t="shared" si="5"/>
        <v>327393</v>
      </c>
      <c r="Q22" s="357"/>
      <c r="R22" s="120"/>
      <c r="S22" s="120">
        <f t="shared" si="6"/>
        <v>0</v>
      </c>
      <c r="T22" s="120">
        <f t="shared" si="7"/>
        <v>320000</v>
      </c>
      <c r="U22" s="120">
        <f t="shared" si="8"/>
        <v>-200000</v>
      </c>
      <c r="V22" s="120">
        <f t="shared" si="9"/>
        <v>-200000</v>
      </c>
      <c r="W22" s="120"/>
      <c r="X22" s="120"/>
      <c r="Y22" s="120"/>
      <c r="Z22" s="120"/>
      <c r="AA22" s="135"/>
      <c r="AB22" s="135" t="s">
        <v>1315</v>
      </c>
      <c r="AC22" s="135">
        <v>732000</v>
      </c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217"/>
      <c r="AW22" s="217"/>
      <c r="AX22" s="217"/>
    </row>
    <row r="23" spans="1:51" s="5" customFormat="1" ht="45" customHeight="1">
      <c r="A23" s="135">
        <f t="shared" si="0"/>
        <v>19</v>
      </c>
      <c r="B23" s="3">
        <v>1773</v>
      </c>
      <c r="C23" s="3" t="s">
        <v>91</v>
      </c>
      <c r="D23" s="120">
        <f>1500000+550000</f>
        <v>2050000</v>
      </c>
      <c r="E23" s="120">
        <f>1500000+550000</f>
        <v>2050000</v>
      </c>
      <c r="F23" s="120">
        <f t="shared" si="1"/>
        <v>0</v>
      </c>
      <c r="G23" s="120">
        <f>1500000+550000</f>
        <v>2050000</v>
      </c>
      <c r="H23" s="120">
        <v>1980321</v>
      </c>
      <c r="I23" s="120"/>
      <c r="J23" s="120"/>
      <c r="K23" s="120">
        <f t="shared" si="2"/>
        <v>0</v>
      </c>
      <c r="L23" s="120">
        <f t="shared" si="3"/>
        <v>1980321</v>
      </c>
      <c r="M23" s="120">
        <f>P23+S23-69000</f>
        <v>679</v>
      </c>
      <c r="N23" s="120">
        <v>69000</v>
      </c>
      <c r="O23" s="120">
        <f t="shared" si="4"/>
        <v>0</v>
      </c>
      <c r="P23" s="120">
        <f t="shared" si="5"/>
        <v>69679</v>
      </c>
      <c r="Q23" s="357"/>
      <c r="R23" s="120"/>
      <c r="S23" s="120">
        <f t="shared" si="6"/>
        <v>0</v>
      </c>
      <c r="T23" s="120">
        <f t="shared" si="7"/>
        <v>69000</v>
      </c>
      <c r="U23" s="120">
        <f t="shared" si="8"/>
        <v>0</v>
      </c>
      <c r="V23" s="120">
        <f t="shared" si="9"/>
        <v>0</v>
      </c>
      <c r="W23" s="120"/>
      <c r="X23" s="120"/>
      <c r="Y23" s="120"/>
      <c r="Z23" s="120"/>
      <c r="AA23" s="135"/>
      <c r="AB23" s="3" t="s">
        <v>269</v>
      </c>
      <c r="AC23" s="3">
        <v>746000</v>
      </c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217"/>
      <c r="AW23" s="217"/>
      <c r="AX23" s="217"/>
    </row>
    <row r="24" spans="1:51" ht="45" customHeight="1">
      <c r="A24" s="135">
        <f t="shared" si="0"/>
        <v>20</v>
      </c>
      <c r="B24" s="220">
        <v>1819</v>
      </c>
      <c r="C24" s="135" t="s">
        <v>365</v>
      </c>
      <c r="D24" s="120">
        <v>17545000</v>
      </c>
      <c r="E24" s="120">
        <v>17545000</v>
      </c>
      <c r="F24" s="120">
        <f t="shared" si="1"/>
        <v>0</v>
      </c>
      <c r="G24" s="120">
        <v>17545000</v>
      </c>
      <c r="H24" s="120">
        <v>15717150</v>
      </c>
      <c r="I24" s="120"/>
      <c r="J24" s="120"/>
      <c r="K24" s="120">
        <f t="shared" si="2"/>
        <v>0</v>
      </c>
      <c r="L24" s="120">
        <f t="shared" si="3"/>
        <v>15717150</v>
      </c>
      <c r="M24" s="120">
        <f>P24+S24-1820000</f>
        <v>7850</v>
      </c>
      <c r="N24" s="120">
        <v>320000</v>
      </c>
      <c r="O24" s="120">
        <f t="shared" si="4"/>
        <v>1500000</v>
      </c>
      <c r="P24" s="120">
        <f t="shared" si="5"/>
        <v>1827850</v>
      </c>
      <c r="Q24" s="120"/>
      <c r="R24" s="120"/>
      <c r="S24" s="120">
        <f t="shared" si="6"/>
        <v>0</v>
      </c>
      <c r="T24" s="120">
        <f t="shared" si="7"/>
        <v>1820000</v>
      </c>
      <c r="U24" s="120">
        <f t="shared" si="8"/>
        <v>-1500000</v>
      </c>
      <c r="V24" s="120">
        <f t="shared" si="9"/>
        <v>-1500000</v>
      </c>
      <c r="W24" s="120"/>
      <c r="X24" s="120"/>
      <c r="Y24" s="120"/>
      <c r="Z24" s="120"/>
      <c r="AA24" s="135"/>
      <c r="AB24" s="135" t="s">
        <v>1323</v>
      </c>
      <c r="AC24" s="135">
        <v>742000</v>
      </c>
    </row>
    <row r="25" spans="1:51" ht="45" customHeight="1">
      <c r="A25" s="135">
        <f t="shared" si="0"/>
        <v>21</v>
      </c>
      <c r="B25" s="220">
        <v>1833</v>
      </c>
      <c r="C25" s="135" t="s">
        <v>102</v>
      </c>
      <c r="D25" s="120">
        <v>29000000</v>
      </c>
      <c r="E25" s="120">
        <v>29000000</v>
      </c>
      <c r="F25" s="120">
        <f t="shared" si="1"/>
        <v>0</v>
      </c>
      <c r="G25" s="120">
        <v>29000000</v>
      </c>
      <c r="H25" s="120">
        <v>28969915</v>
      </c>
      <c r="I25" s="120"/>
      <c r="J25" s="120"/>
      <c r="K25" s="120">
        <f t="shared" si="2"/>
        <v>0</v>
      </c>
      <c r="L25" s="120">
        <f t="shared" si="3"/>
        <v>28969915</v>
      </c>
      <c r="M25" s="120">
        <f>P25+S25-30000</f>
        <v>85</v>
      </c>
      <c r="N25" s="120">
        <v>30000</v>
      </c>
      <c r="O25" s="120">
        <f t="shared" si="4"/>
        <v>0</v>
      </c>
      <c r="P25" s="120">
        <f t="shared" si="5"/>
        <v>30085</v>
      </c>
      <c r="Q25" s="357"/>
      <c r="R25" s="120"/>
      <c r="S25" s="120">
        <f t="shared" si="6"/>
        <v>0</v>
      </c>
      <c r="T25" s="120">
        <f t="shared" si="7"/>
        <v>30000</v>
      </c>
      <c r="U25" s="120">
        <f t="shared" si="8"/>
        <v>0</v>
      </c>
      <c r="V25" s="120">
        <f t="shared" si="9"/>
        <v>0</v>
      </c>
      <c r="W25" s="120"/>
      <c r="X25" s="120"/>
      <c r="Y25" s="120"/>
      <c r="Z25" s="120"/>
      <c r="AA25" s="135"/>
      <c r="AB25" s="135" t="s">
        <v>1324</v>
      </c>
      <c r="AC25" s="135">
        <v>829000</v>
      </c>
    </row>
    <row r="26" spans="1:51" s="134" customFormat="1" ht="82.8">
      <c r="A26" s="135">
        <f t="shared" si="0"/>
        <v>22</v>
      </c>
      <c r="B26" s="135">
        <v>1834</v>
      </c>
      <c r="C26" s="135" t="s">
        <v>96</v>
      </c>
      <c r="D26" s="120">
        <f>62000000+120000+630000+1500000+800000</f>
        <v>65050000</v>
      </c>
      <c r="E26" s="120">
        <f>62000000+120000</f>
        <v>62120000</v>
      </c>
      <c r="F26" s="120">
        <f t="shared" si="1"/>
        <v>2930000</v>
      </c>
      <c r="G26" s="120">
        <f>62000000+120000</f>
        <v>62120000</v>
      </c>
      <c r="H26" s="120">
        <v>61523822</v>
      </c>
      <c r="I26" s="120"/>
      <c r="J26" s="120">
        <v>31203</v>
      </c>
      <c r="K26" s="120">
        <f t="shared" si="2"/>
        <v>31203</v>
      </c>
      <c r="L26" s="120">
        <f t="shared" si="3"/>
        <v>61555025</v>
      </c>
      <c r="M26" s="120">
        <f>P26+S26-560000</f>
        <v>4975</v>
      </c>
      <c r="N26" s="120">
        <f>630000+1500000+800000+560000</f>
        <v>3490000</v>
      </c>
      <c r="O26" s="120">
        <f t="shared" si="4"/>
        <v>0</v>
      </c>
      <c r="P26" s="120">
        <f t="shared" si="5"/>
        <v>564975</v>
      </c>
      <c r="Q26" s="357"/>
      <c r="R26" s="120"/>
      <c r="S26" s="120">
        <f t="shared" si="6"/>
        <v>0</v>
      </c>
      <c r="T26" s="120">
        <f t="shared" si="7"/>
        <v>560000</v>
      </c>
      <c r="U26" s="120">
        <f t="shared" si="8"/>
        <v>2930000</v>
      </c>
      <c r="V26" s="120">
        <f>U26-W26-X26-Y26-Z26-AA26</f>
        <v>2746220</v>
      </c>
      <c r="W26" s="120"/>
      <c r="X26" s="120"/>
      <c r="Y26" s="120"/>
      <c r="Z26" s="120"/>
      <c r="AA26" s="120">
        <v>183780</v>
      </c>
      <c r="AB26" s="19" t="s">
        <v>1382</v>
      </c>
      <c r="AC26" s="135">
        <v>824000</v>
      </c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217"/>
      <c r="AW26" s="217"/>
      <c r="AX26" s="217"/>
    </row>
    <row r="27" spans="1:51" s="134" customFormat="1" ht="69">
      <c r="A27" s="135">
        <f t="shared" si="0"/>
        <v>23</v>
      </c>
      <c r="B27" s="135">
        <v>1835</v>
      </c>
      <c r="C27" s="135" t="s">
        <v>330</v>
      </c>
      <c r="D27" s="120">
        <v>51500000</v>
      </c>
      <c r="E27" s="120">
        <v>51500000</v>
      </c>
      <c r="F27" s="120">
        <f t="shared" si="1"/>
        <v>0</v>
      </c>
      <c r="G27" s="120">
        <v>21900000</v>
      </c>
      <c r="H27" s="120">
        <v>15533156</v>
      </c>
      <c r="I27" s="120"/>
      <c r="J27" s="120"/>
      <c r="K27" s="120">
        <f t="shared" si="2"/>
        <v>0</v>
      </c>
      <c r="L27" s="120">
        <f t="shared" si="3"/>
        <v>15533156</v>
      </c>
      <c r="M27" s="120">
        <f>P27+S27-4000000-2350000</f>
        <v>16844</v>
      </c>
      <c r="N27" s="120">
        <f>29600000+4000000-11600000-9000000-4000000+2350000-1350000</f>
        <v>10000000</v>
      </c>
      <c r="O27" s="120">
        <f t="shared" si="4"/>
        <v>25950000</v>
      </c>
      <c r="P27" s="120">
        <f t="shared" si="5"/>
        <v>6366844</v>
      </c>
      <c r="Q27" s="357"/>
      <c r="R27" s="120"/>
      <c r="S27" s="120">
        <f t="shared" si="6"/>
        <v>0</v>
      </c>
      <c r="T27" s="120">
        <f t="shared" si="7"/>
        <v>6350000</v>
      </c>
      <c r="U27" s="120">
        <f t="shared" si="8"/>
        <v>3650000</v>
      </c>
      <c r="V27" s="120">
        <f t="shared" si="9"/>
        <v>-3852853</v>
      </c>
      <c r="W27" s="120"/>
      <c r="X27" s="120"/>
      <c r="Y27" s="120"/>
      <c r="Z27" s="120"/>
      <c r="AA27" s="120">
        <f>6597000+905853</f>
        <v>7502853</v>
      </c>
      <c r="AB27" s="3" t="s">
        <v>1406</v>
      </c>
      <c r="AC27" s="135">
        <v>824000</v>
      </c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217"/>
      <c r="AW27" s="217"/>
      <c r="AX27" s="217"/>
    </row>
    <row r="28" spans="1:51" ht="45" customHeight="1">
      <c r="A28" s="135">
        <f t="shared" si="0"/>
        <v>24</v>
      </c>
      <c r="B28" s="220">
        <v>1845</v>
      </c>
      <c r="C28" s="135" t="s">
        <v>1328</v>
      </c>
      <c r="D28" s="120">
        <f>6000000+131500000</f>
        <v>137500000</v>
      </c>
      <c r="E28" s="120">
        <v>6000000</v>
      </c>
      <c r="F28" s="120">
        <f t="shared" si="1"/>
        <v>131500000</v>
      </c>
      <c r="G28" s="120">
        <v>2740000</v>
      </c>
      <c r="H28" s="120">
        <v>2721383</v>
      </c>
      <c r="I28" s="120"/>
      <c r="J28" s="120"/>
      <c r="K28" s="120">
        <f t="shared" si="2"/>
        <v>0</v>
      </c>
      <c r="L28" s="120">
        <f t="shared" si="3"/>
        <v>2721383</v>
      </c>
      <c r="M28" s="120">
        <f t="shared" si="10"/>
        <v>18617</v>
      </c>
      <c r="N28" s="120">
        <f>40000000-40000000</f>
        <v>0</v>
      </c>
      <c r="O28" s="120">
        <f t="shared" si="4"/>
        <v>134760000</v>
      </c>
      <c r="P28" s="120">
        <f t="shared" si="5"/>
        <v>18617</v>
      </c>
      <c r="Q28" s="357"/>
      <c r="R28" s="120"/>
      <c r="S28" s="120">
        <f t="shared" si="6"/>
        <v>0</v>
      </c>
      <c r="T28" s="120">
        <f t="shared" si="7"/>
        <v>0</v>
      </c>
      <c r="U28" s="120">
        <f t="shared" si="8"/>
        <v>0</v>
      </c>
      <c r="V28" s="120">
        <f t="shared" si="9"/>
        <v>0</v>
      </c>
      <c r="W28" s="120"/>
      <c r="X28" s="120"/>
      <c r="Y28" s="120"/>
      <c r="Z28" s="120"/>
      <c r="AA28" s="135"/>
      <c r="AB28" s="135" t="s">
        <v>1375</v>
      </c>
      <c r="AC28" s="135">
        <v>742000</v>
      </c>
    </row>
    <row r="29" spans="1:51" ht="45" customHeight="1">
      <c r="A29" s="135">
        <f t="shared" si="0"/>
        <v>25</v>
      </c>
      <c r="B29" s="220">
        <v>1896</v>
      </c>
      <c r="C29" s="135" t="s">
        <v>331</v>
      </c>
      <c r="D29" s="120">
        <f>7800000+1500000+1000000</f>
        <v>10300000</v>
      </c>
      <c r="E29" s="120">
        <v>7800000</v>
      </c>
      <c r="F29" s="120">
        <f t="shared" si="1"/>
        <v>2500000</v>
      </c>
      <c r="G29" s="120">
        <v>7800000</v>
      </c>
      <c r="H29" s="120">
        <v>6432030</v>
      </c>
      <c r="I29" s="120"/>
      <c r="J29" s="120">
        <v>951442</v>
      </c>
      <c r="K29" s="120">
        <f t="shared" si="2"/>
        <v>951442</v>
      </c>
      <c r="L29" s="120">
        <f t="shared" si="3"/>
        <v>7383472</v>
      </c>
      <c r="M29" s="120">
        <f>P29+S29-400000</f>
        <v>16528</v>
      </c>
      <c r="N29" s="120">
        <f>1500000+1000000+400000</f>
        <v>2900000</v>
      </c>
      <c r="O29" s="120">
        <f t="shared" si="4"/>
        <v>0</v>
      </c>
      <c r="P29" s="120">
        <f t="shared" si="5"/>
        <v>416528</v>
      </c>
      <c r="Q29" s="357"/>
      <c r="R29" s="120"/>
      <c r="S29" s="120">
        <f t="shared" si="6"/>
        <v>0</v>
      </c>
      <c r="T29" s="120">
        <f t="shared" si="7"/>
        <v>400000</v>
      </c>
      <c r="U29" s="120">
        <f t="shared" si="8"/>
        <v>2500000</v>
      </c>
      <c r="V29" s="120">
        <f t="shared" si="9"/>
        <v>2500000</v>
      </c>
      <c r="W29" s="120"/>
      <c r="X29" s="120"/>
      <c r="Y29" s="120"/>
      <c r="Z29" s="120"/>
      <c r="AA29" s="135"/>
      <c r="AB29" s="135" t="s">
        <v>963</v>
      </c>
      <c r="AC29" s="135">
        <v>829000</v>
      </c>
    </row>
    <row r="30" spans="1:51" ht="45" customHeight="1">
      <c r="A30" s="135">
        <f t="shared" si="0"/>
        <v>26</v>
      </c>
      <c r="B30" s="220">
        <v>1921</v>
      </c>
      <c r="C30" s="135" t="s">
        <v>105</v>
      </c>
      <c r="D30" s="120">
        <f>29716000+15284000</f>
        <v>45000000</v>
      </c>
      <c r="E30" s="120">
        <v>29716000</v>
      </c>
      <c r="F30" s="120">
        <f t="shared" si="1"/>
        <v>15284000</v>
      </c>
      <c r="G30" s="120">
        <f>10166000+200000</f>
        <v>10366000</v>
      </c>
      <c r="H30" s="120">
        <v>10815733</v>
      </c>
      <c r="I30" s="120"/>
      <c r="J30" s="120">
        <v>38153</v>
      </c>
      <c r="K30" s="120">
        <f t="shared" si="2"/>
        <v>38153</v>
      </c>
      <c r="L30" s="120">
        <f t="shared" si="3"/>
        <v>10853886</v>
      </c>
      <c r="M30" s="120">
        <f>P30+S30-2860000</f>
        <v>2114</v>
      </c>
      <c r="N30" s="120">
        <f>16000000+4000000-15000000-5000000+2860000</f>
        <v>2860000</v>
      </c>
      <c r="O30" s="120">
        <f t="shared" si="4"/>
        <v>31284000</v>
      </c>
      <c r="P30" s="120">
        <f t="shared" si="5"/>
        <v>-487886</v>
      </c>
      <c r="Q30" s="357">
        <f>3550000-200000</f>
        <v>3350000</v>
      </c>
      <c r="R30" s="120"/>
      <c r="S30" s="120">
        <f t="shared" si="6"/>
        <v>3350000</v>
      </c>
      <c r="T30" s="120">
        <f t="shared" si="7"/>
        <v>2860000</v>
      </c>
      <c r="U30" s="120">
        <f t="shared" si="8"/>
        <v>0</v>
      </c>
      <c r="V30" s="120">
        <f t="shared" si="9"/>
        <v>0</v>
      </c>
      <c r="W30" s="120"/>
      <c r="X30" s="120"/>
      <c r="Y30" s="120"/>
      <c r="Z30" s="120"/>
      <c r="AA30" s="135"/>
      <c r="AB30" s="218" t="s">
        <v>1343</v>
      </c>
      <c r="AC30" s="135">
        <v>829000</v>
      </c>
    </row>
    <row r="31" spans="1:51" ht="55.2">
      <c r="A31" s="135">
        <f t="shared" si="0"/>
        <v>27</v>
      </c>
      <c r="B31" s="220">
        <v>1957</v>
      </c>
      <c r="C31" s="135" t="s">
        <v>1367</v>
      </c>
      <c r="D31" s="120">
        <f>60000000+12500000-12500000+15000000</f>
        <v>75000000</v>
      </c>
      <c r="E31" s="120">
        <v>60000000</v>
      </c>
      <c r="F31" s="120">
        <f t="shared" si="1"/>
        <v>15000000</v>
      </c>
      <c r="G31" s="120">
        <f>28026967+2000000</f>
        <v>30026967</v>
      </c>
      <c r="H31" s="120">
        <v>33624938</v>
      </c>
      <c r="I31" s="120"/>
      <c r="J31" s="120"/>
      <c r="K31" s="120">
        <f t="shared" si="2"/>
        <v>0</v>
      </c>
      <c r="L31" s="120">
        <f t="shared" si="3"/>
        <v>33624938</v>
      </c>
      <c r="M31" s="120">
        <f>P31+S31-470000</f>
        <v>6511</v>
      </c>
      <c r="N31" s="120">
        <f>23973033+1925518+15000000+470000-10000000-1300000</f>
        <v>30068551</v>
      </c>
      <c r="O31" s="120">
        <f t="shared" si="4"/>
        <v>11300000</v>
      </c>
      <c r="P31" s="120">
        <f t="shared" si="5"/>
        <v>-3597971</v>
      </c>
      <c r="Q31" s="357">
        <f>2555855+1518627</f>
        <v>4074482</v>
      </c>
      <c r="R31" s="120"/>
      <c r="S31" s="120">
        <f t="shared" si="6"/>
        <v>4074482</v>
      </c>
      <c r="T31" s="120">
        <f t="shared" si="7"/>
        <v>470000</v>
      </c>
      <c r="U31" s="120">
        <f t="shared" si="8"/>
        <v>29598551</v>
      </c>
      <c r="V31" s="120">
        <f t="shared" si="9"/>
        <v>26873393</v>
      </c>
      <c r="W31" s="120">
        <v>1500000</v>
      </c>
      <c r="X31" s="120"/>
      <c r="Y31" s="120"/>
      <c r="Z31" s="120"/>
      <c r="AA31" s="120">
        <f>1225158</f>
        <v>1225158</v>
      </c>
      <c r="AB31" s="135" t="s">
        <v>1506</v>
      </c>
      <c r="AC31" s="135">
        <v>810000</v>
      </c>
    </row>
    <row r="32" spans="1:51" ht="45" customHeight="1">
      <c r="A32" s="135">
        <f t="shared" si="0"/>
        <v>28</v>
      </c>
      <c r="B32" s="220">
        <v>1961</v>
      </c>
      <c r="C32" s="135" t="s">
        <v>121</v>
      </c>
      <c r="D32" s="120">
        <f>128000000-127500000-200000</f>
        <v>300000</v>
      </c>
      <c r="E32" s="120">
        <v>128000000</v>
      </c>
      <c r="F32" s="120">
        <f t="shared" si="1"/>
        <v>-127700000</v>
      </c>
      <c r="G32" s="120">
        <v>500000</v>
      </c>
      <c r="H32" s="120"/>
      <c r="I32" s="120"/>
      <c r="J32" s="120"/>
      <c r="K32" s="120">
        <f t="shared" si="2"/>
        <v>0</v>
      </c>
      <c r="L32" s="120">
        <f t="shared" si="3"/>
        <v>0</v>
      </c>
      <c r="M32" s="120">
        <f>P32+S32-500000</f>
        <v>0</v>
      </c>
      <c r="N32" s="120">
        <v>300000</v>
      </c>
      <c r="O32" s="120">
        <f t="shared" si="4"/>
        <v>0</v>
      </c>
      <c r="P32" s="120">
        <f t="shared" si="5"/>
        <v>500000</v>
      </c>
      <c r="Q32" s="357"/>
      <c r="R32" s="120"/>
      <c r="S32" s="120">
        <f t="shared" si="6"/>
        <v>0</v>
      </c>
      <c r="T32" s="120">
        <f t="shared" si="7"/>
        <v>500000</v>
      </c>
      <c r="U32" s="120">
        <f t="shared" si="8"/>
        <v>-200000</v>
      </c>
      <c r="V32" s="120">
        <f t="shared" si="9"/>
        <v>-200000</v>
      </c>
      <c r="W32" s="120"/>
      <c r="X32" s="120"/>
      <c r="Y32" s="120"/>
      <c r="Z32" s="120"/>
      <c r="AA32" s="135"/>
      <c r="AB32" s="250" t="s">
        <v>1507</v>
      </c>
      <c r="AC32" s="135">
        <v>742000</v>
      </c>
    </row>
    <row r="33" spans="1:50" customFormat="1" ht="45" customHeight="1">
      <c r="A33" s="135">
        <f t="shared" si="0"/>
        <v>29</v>
      </c>
      <c r="B33" s="3">
        <v>2001</v>
      </c>
      <c r="C33" s="3" t="s">
        <v>126</v>
      </c>
      <c r="D33" s="120">
        <f>30000000-9000000+4000000</f>
        <v>25000000</v>
      </c>
      <c r="E33" s="120">
        <v>18500000</v>
      </c>
      <c r="F33" s="120">
        <f t="shared" si="1"/>
        <v>6500000</v>
      </c>
      <c r="G33" s="120">
        <v>8398700</v>
      </c>
      <c r="H33" s="120">
        <v>6406298</v>
      </c>
      <c r="I33" s="120"/>
      <c r="J33" s="120"/>
      <c r="K33" s="120">
        <f t="shared" si="2"/>
        <v>0</v>
      </c>
      <c r="L33" s="120">
        <f t="shared" si="3"/>
        <v>6406298</v>
      </c>
      <c r="M33" s="120">
        <f>P33+S33-1990000</f>
        <v>2402</v>
      </c>
      <c r="N33" s="120">
        <f>21601300-9000000+1990000-3000000</f>
        <v>11591300</v>
      </c>
      <c r="O33" s="120">
        <f t="shared" si="4"/>
        <v>7000000</v>
      </c>
      <c r="P33" s="120">
        <f t="shared" si="5"/>
        <v>1992402</v>
      </c>
      <c r="Q33" s="357"/>
      <c r="R33" s="120"/>
      <c r="S33" s="120">
        <f t="shared" si="6"/>
        <v>0</v>
      </c>
      <c r="T33" s="120">
        <f t="shared" si="7"/>
        <v>1990000</v>
      </c>
      <c r="U33" s="120">
        <f t="shared" si="8"/>
        <v>9601300</v>
      </c>
      <c r="V33" s="120">
        <f t="shared" si="9"/>
        <v>8601300</v>
      </c>
      <c r="W33" s="120">
        <v>1000000</v>
      </c>
      <c r="X33" s="120"/>
      <c r="Y33" s="120"/>
      <c r="Z33" s="120"/>
      <c r="AA33" s="135"/>
      <c r="AB33" s="3" t="s">
        <v>1428</v>
      </c>
      <c r="AC33" s="3">
        <v>810000</v>
      </c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217"/>
      <c r="AW33" s="217"/>
      <c r="AX33" s="217"/>
    </row>
    <row r="34" spans="1:50" s="139" customFormat="1" ht="45" customHeight="1">
      <c r="A34" s="135">
        <f t="shared" si="0"/>
        <v>30</v>
      </c>
      <c r="B34" s="135">
        <v>2002</v>
      </c>
      <c r="C34" s="135" t="s">
        <v>132</v>
      </c>
      <c r="D34" s="120">
        <f>1500000+500000+300000</f>
        <v>2300000</v>
      </c>
      <c r="E34" s="120">
        <v>1500000</v>
      </c>
      <c r="F34" s="120">
        <f t="shared" si="1"/>
        <v>800000</v>
      </c>
      <c r="G34" s="120">
        <v>1500000</v>
      </c>
      <c r="H34" s="120">
        <v>1495997</v>
      </c>
      <c r="I34" s="120"/>
      <c r="J34" s="120"/>
      <c r="K34" s="120">
        <f t="shared" si="2"/>
        <v>0</v>
      </c>
      <c r="L34" s="120">
        <f t="shared" si="3"/>
        <v>1495997</v>
      </c>
      <c r="M34" s="120">
        <f t="shared" si="10"/>
        <v>4003</v>
      </c>
      <c r="N34" s="120">
        <v>500000</v>
      </c>
      <c r="O34" s="120">
        <f t="shared" si="4"/>
        <v>300000</v>
      </c>
      <c r="P34" s="120">
        <f t="shared" si="5"/>
        <v>4003</v>
      </c>
      <c r="Q34" s="357"/>
      <c r="R34" s="120"/>
      <c r="S34" s="120">
        <f t="shared" si="6"/>
        <v>0</v>
      </c>
      <c r="T34" s="120">
        <f t="shared" si="7"/>
        <v>0</v>
      </c>
      <c r="U34" s="120">
        <f t="shared" si="8"/>
        <v>500000</v>
      </c>
      <c r="V34" s="120">
        <f t="shared" si="9"/>
        <v>500000</v>
      </c>
      <c r="W34" s="120"/>
      <c r="X34" s="120"/>
      <c r="Y34" s="120"/>
      <c r="Z34" s="120"/>
      <c r="AA34" s="135"/>
      <c r="AB34" s="135" t="s">
        <v>964</v>
      </c>
      <c r="AC34" s="341">
        <v>742000</v>
      </c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217"/>
      <c r="AW34" s="217"/>
      <c r="AX34" s="217"/>
    </row>
    <row r="35" spans="1:50" s="139" customFormat="1" ht="45" customHeight="1">
      <c r="A35" s="135">
        <f t="shared" si="0"/>
        <v>31</v>
      </c>
      <c r="B35" s="135">
        <v>2008</v>
      </c>
      <c r="C35" s="135" t="s">
        <v>246</v>
      </c>
      <c r="D35" s="120">
        <v>2500000</v>
      </c>
      <c r="E35" s="120">
        <v>2500000</v>
      </c>
      <c r="F35" s="120">
        <f t="shared" si="1"/>
        <v>0</v>
      </c>
      <c r="G35" s="120">
        <v>450000</v>
      </c>
      <c r="H35" s="120">
        <v>41210</v>
      </c>
      <c r="I35" s="120"/>
      <c r="J35" s="120"/>
      <c r="K35" s="120">
        <f t="shared" si="2"/>
        <v>0</v>
      </c>
      <c r="L35" s="120">
        <f t="shared" si="3"/>
        <v>41210</v>
      </c>
      <c r="M35" s="120">
        <f>P35+S35-700000</f>
        <v>8790</v>
      </c>
      <c r="N35" s="120">
        <f>1750000+700000-750000</f>
        <v>1700000</v>
      </c>
      <c r="O35" s="120">
        <f t="shared" si="4"/>
        <v>750000</v>
      </c>
      <c r="P35" s="120">
        <f t="shared" si="5"/>
        <v>408790</v>
      </c>
      <c r="Q35" s="357">
        <v>300000</v>
      </c>
      <c r="R35" s="120"/>
      <c r="S35" s="120">
        <f t="shared" si="6"/>
        <v>300000</v>
      </c>
      <c r="T35" s="120">
        <f t="shared" si="7"/>
        <v>700000</v>
      </c>
      <c r="U35" s="120">
        <f t="shared" si="8"/>
        <v>1000000</v>
      </c>
      <c r="V35" s="120">
        <f t="shared" si="9"/>
        <v>1000000</v>
      </c>
      <c r="W35" s="120"/>
      <c r="X35" s="120"/>
      <c r="Y35" s="120"/>
      <c r="Z35" s="120"/>
      <c r="AA35" s="135"/>
      <c r="AB35" s="292" t="s">
        <v>468</v>
      </c>
      <c r="AC35" s="135">
        <v>742000</v>
      </c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217"/>
      <c r="AW35" s="217"/>
      <c r="AX35" s="217"/>
    </row>
    <row r="36" spans="1:50" s="5" customFormat="1" ht="82.8">
      <c r="A36" s="135">
        <f t="shared" si="0"/>
        <v>32</v>
      </c>
      <c r="B36" s="3">
        <v>2009</v>
      </c>
      <c r="C36" s="3" t="s">
        <v>215</v>
      </c>
      <c r="D36" s="120">
        <v>13700000</v>
      </c>
      <c r="E36" s="120">
        <v>13700000</v>
      </c>
      <c r="F36" s="120">
        <f t="shared" si="1"/>
        <v>0</v>
      </c>
      <c r="G36" s="120">
        <v>2200000</v>
      </c>
      <c r="H36" s="120">
        <v>3711086</v>
      </c>
      <c r="I36" s="120"/>
      <c r="J36" s="120"/>
      <c r="K36" s="120">
        <f t="shared" si="2"/>
        <v>0</v>
      </c>
      <c r="L36" s="120">
        <f t="shared" si="3"/>
        <v>3711086</v>
      </c>
      <c r="M36" s="120">
        <f>P36+S36-485000</f>
        <v>3914</v>
      </c>
      <c r="N36" s="120">
        <f>9500000-3500000+485000-1000000</f>
        <v>5485000</v>
      </c>
      <c r="O36" s="120">
        <f t="shared" si="4"/>
        <v>4500000</v>
      </c>
      <c r="P36" s="120">
        <f t="shared" si="5"/>
        <v>-1511086</v>
      </c>
      <c r="Q36" s="357">
        <v>2000000</v>
      </c>
      <c r="R36" s="120"/>
      <c r="S36" s="120">
        <f t="shared" si="6"/>
        <v>2000000</v>
      </c>
      <c r="T36" s="120">
        <f t="shared" si="7"/>
        <v>485000</v>
      </c>
      <c r="U36" s="120">
        <f t="shared" si="8"/>
        <v>5000000</v>
      </c>
      <c r="V36" s="120">
        <f t="shared" si="9"/>
        <v>-300952</v>
      </c>
      <c r="W36" s="120"/>
      <c r="X36" s="120"/>
      <c r="Y36" s="120"/>
      <c r="Z36" s="120"/>
      <c r="AA36" s="120">
        <v>5300952</v>
      </c>
      <c r="AB36" s="3" t="s">
        <v>1385</v>
      </c>
      <c r="AC36" s="3">
        <v>742000</v>
      </c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217"/>
      <c r="AW36" s="217"/>
      <c r="AX36" s="217"/>
    </row>
    <row r="37" spans="1:50" s="5" customFormat="1" ht="45" customHeight="1">
      <c r="A37" s="135">
        <f t="shared" si="0"/>
        <v>33</v>
      </c>
      <c r="B37" s="3">
        <v>2011</v>
      </c>
      <c r="C37" s="19" t="s">
        <v>571</v>
      </c>
      <c r="D37" s="120">
        <v>80000000</v>
      </c>
      <c r="E37" s="120">
        <v>80000000</v>
      </c>
      <c r="F37" s="120">
        <f t="shared" si="1"/>
        <v>0</v>
      </c>
      <c r="G37" s="120">
        <f>37562673+5000000</f>
        <v>42562673</v>
      </c>
      <c r="H37" s="120">
        <v>48280954</v>
      </c>
      <c r="I37" s="120"/>
      <c r="J37" s="120"/>
      <c r="K37" s="120">
        <f t="shared" si="2"/>
        <v>0</v>
      </c>
      <c r="L37" s="120">
        <f t="shared" si="3"/>
        <v>48280954</v>
      </c>
      <c r="M37" s="120">
        <f>P37+S37-280000</f>
        <v>1719</v>
      </c>
      <c r="N37" s="120">
        <f>31437327+280000-5000000-1600000</f>
        <v>25117327</v>
      </c>
      <c r="O37" s="120">
        <f t="shared" si="4"/>
        <v>6600000</v>
      </c>
      <c r="P37" s="120">
        <f t="shared" si="5"/>
        <v>-5718281</v>
      </c>
      <c r="Q37" s="357">
        <f>11000000-5000000</f>
        <v>6000000</v>
      </c>
      <c r="R37" s="120"/>
      <c r="S37" s="120">
        <f t="shared" si="6"/>
        <v>6000000</v>
      </c>
      <c r="T37" s="120">
        <f t="shared" si="7"/>
        <v>280000</v>
      </c>
      <c r="U37" s="120">
        <f t="shared" si="8"/>
        <v>24837327</v>
      </c>
      <c r="V37" s="120">
        <f t="shared" si="9"/>
        <v>24837327</v>
      </c>
      <c r="W37" s="120"/>
      <c r="X37" s="120"/>
      <c r="Y37" s="120"/>
      <c r="Z37" s="120"/>
      <c r="AA37" s="135"/>
      <c r="AB37" s="3" t="s">
        <v>548</v>
      </c>
      <c r="AC37" s="3">
        <v>742000</v>
      </c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217"/>
      <c r="AW37" s="217"/>
      <c r="AX37" s="217"/>
    </row>
    <row r="38" spans="1:50" s="139" customFormat="1" ht="45" customHeight="1">
      <c r="A38" s="135">
        <f t="shared" si="0"/>
        <v>34</v>
      </c>
      <c r="B38" s="135">
        <v>2015</v>
      </c>
      <c r="C38" s="235" t="s">
        <v>572</v>
      </c>
      <c r="D38" s="120">
        <v>54000000</v>
      </c>
      <c r="E38" s="120">
        <v>54000000</v>
      </c>
      <c r="F38" s="120">
        <f t="shared" si="1"/>
        <v>0</v>
      </c>
      <c r="G38" s="120">
        <f>41234031+2500000</f>
        <v>43734031</v>
      </c>
      <c r="H38" s="120">
        <v>45608729</v>
      </c>
      <c r="I38" s="120"/>
      <c r="J38" s="120">
        <v>15678</v>
      </c>
      <c r="K38" s="120">
        <f t="shared" si="2"/>
        <v>15678</v>
      </c>
      <c r="L38" s="120">
        <f t="shared" si="3"/>
        <v>45624407</v>
      </c>
      <c r="M38" s="120">
        <f>P38+S38-100000</f>
        <v>9624</v>
      </c>
      <c r="N38" s="120">
        <f>8265969+100000</f>
        <v>8365969</v>
      </c>
      <c r="O38" s="120">
        <f t="shared" si="4"/>
        <v>0</v>
      </c>
      <c r="P38" s="120">
        <f t="shared" si="5"/>
        <v>-1890376</v>
      </c>
      <c r="Q38" s="357">
        <f>4500000-2500000</f>
        <v>2000000</v>
      </c>
      <c r="R38" s="120"/>
      <c r="S38" s="120">
        <f t="shared" si="6"/>
        <v>2000000</v>
      </c>
      <c r="T38" s="120">
        <f t="shared" si="7"/>
        <v>100000</v>
      </c>
      <c r="U38" s="120">
        <f t="shared" si="8"/>
        <v>8265969</v>
      </c>
      <c r="V38" s="120">
        <f t="shared" si="9"/>
        <v>8265969</v>
      </c>
      <c r="W38" s="120"/>
      <c r="X38" s="120"/>
      <c r="Y38" s="120"/>
      <c r="Z38" s="120"/>
      <c r="AA38" s="135"/>
      <c r="AB38" s="135" t="s">
        <v>807</v>
      </c>
      <c r="AC38" s="135">
        <v>810000</v>
      </c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217"/>
      <c r="AW38" s="217"/>
      <c r="AX38" s="217"/>
    </row>
    <row r="39" spans="1:50" ht="55.2">
      <c r="A39" s="135">
        <f t="shared" si="0"/>
        <v>35</v>
      </c>
      <c r="B39" s="135">
        <v>2017</v>
      </c>
      <c r="C39" s="224" t="s">
        <v>1359</v>
      </c>
      <c r="D39" s="120">
        <f>37100000+2000000-2000000</f>
        <v>37100000</v>
      </c>
      <c r="E39" s="120">
        <v>37100000</v>
      </c>
      <c r="F39" s="120">
        <f t="shared" si="1"/>
        <v>0</v>
      </c>
      <c r="G39" s="120">
        <f>20100000+3000000</f>
        <v>23100000</v>
      </c>
      <c r="H39" s="120">
        <v>25401294</v>
      </c>
      <c r="I39" s="120"/>
      <c r="J39" s="120"/>
      <c r="K39" s="120">
        <f t="shared" si="2"/>
        <v>0</v>
      </c>
      <c r="L39" s="120">
        <f t="shared" si="3"/>
        <v>25401294</v>
      </c>
      <c r="M39" s="120">
        <f>P39+S39-1690000</f>
        <v>8706</v>
      </c>
      <c r="N39" s="120">
        <f>10000000-3000000+1690000-2000000</f>
        <v>6690000</v>
      </c>
      <c r="O39" s="120">
        <f t="shared" si="4"/>
        <v>5000000</v>
      </c>
      <c r="P39" s="120">
        <f t="shared" si="5"/>
        <v>-2301294</v>
      </c>
      <c r="Q39" s="357">
        <f>7000000-3000000</f>
        <v>4000000</v>
      </c>
      <c r="R39" s="120"/>
      <c r="S39" s="120">
        <f t="shared" si="6"/>
        <v>4000000</v>
      </c>
      <c r="T39" s="120">
        <f t="shared" si="7"/>
        <v>1690000</v>
      </c>
      <c r="U39" s="120">
        <f t="shared" si="8"/>
        <v>5000000</v>
      </c>
      <c r="V39" s="120">
        <f t="shared" si="9"/>
        <v>-981581</v>
      </c>
      <c r="W39" s="120"/>
      <c r="X39" s="120"/>
      <c r="Y39" s="120"/>
      <c r="Z39" s="120"/>
      <c r="AA39" s="120">
        <f>616624+5364957</f>
        <v>5981581</v>
      </c>
      <c r="AB39" s="135" t="s">
        <v>1466</v>
      </c>
      <c r="AC39" s="135">
        <v>824000</v>
      </c>
    </row>
    <row r="40" spans="1:50" ht="45" customHeight="1">
      <c r="A40" s="135">
        <f t="shared" si="0"/>
        <v>36</v>
      </c>
      <c r="B40" s="135">
        <v>2018</v>
      </c>
      <c r="C40" s="135" t="s">
        <v>259</v>
      </c>
      <c r="D40" s="120">
        <f>3600000-250000</f>
        <v>3350000</v>
      </c>
      <c r="E40" s="120">
        <v>3600000</v>
      </c>
      <c r="F40" s="120">
        <f t="shared" si="1"/>
        <v>-250000</v>
      </c>
      <c r="G40" s="120">
        <v>3600000</v>
      </c>
      <c r="H40" s="120">
        <v>3060025</v>
      </c>
      <c r="I40" s="120"/>
      <c r="J40" s="120"/>
      <c r="K40" s="120">
        <f t="shared" si="2"/>
        <v>0</v>
      </c>
      <c r="L40" s="120">
        <f t="shared" si="3"/>
        <v>3060025</v>
      </c>
      <c r="M40" s="120">
        <f>P40+S40-535000</f>
        <v>4975</v>
      </c>
      <c r="N40" s="120">
        <f>535000-250000</f>
        <v>285000</v>
      </c>
      <c r="O40" s="120">
        <f t="shared" si="4"/>
        <v>0</v>
      </c>
      <c r="P40" s="120">
        <f t="shared" si="5"/>
        <v>539975</v>
      </c>
      <c r="Q40" s="357"/>
      <c r="R40" s="120"/>
      <c r="S40" s="120">
        <f t="shared" si="6"/>
        <v>0</v>
      </c>
      <c r="T40" s="120">
        <f t="shared" si="7"/>
        <v>535000</v>
      </c>
      <c r="U40" s="120">
        <f t="shared" si="8"/>
        <v>-250000</v>
      </c>
      <c r="V40" s="120">
        <f t="shared" si="9"/>
        <v>-250000</v>
      </c>
      <c r="W40" s="120"/>
      <c r="X40" s="120"/>
      <c r="Y40" s="120"/>
      <c r="Z40" s="120"/>
      <c r="AA40" s="135"/>
      <c r="AB40" s="224" t="s">
        <v>1327</v>
      </c>
      <c r="AC40" s="135">
        <v>742000</v>
      </c>
    </row>
    <row r="41" spans="1:50" s="134" customFormat="1" ht="45" customHeight="1">
      <c r="A41" s="135">
        <f t="shared" si="0"/>
        <v>37</v>
      </c>
      <c r="B41" s="135">
        <v>2022</v>
      </c>
      <c r="C41" s="135" t="s">
        <v>574</v>
      </c>
      <c r="D41" s="120">
        <f>14000000-100000+50000</f>
        <v>13950000</v>
      </c>
      <c r="E41" s="120">
        <v>14000000</v>
      </c>
      <c r="F41" s="120">
        <f t="shared" si="1"/>
        <v>-50000</v>
      </c>
      <c r="G41" s="120">
        <v>14000000</v>
      </c>
      <c r="H41" s="120">
        <v>13897589</v>
      </c>
      <c r="I41" s="120"/>
      <c r="J41" s="120"/>
      <c r="K41" s="120">
        <f t="shared" si="2"/>
        <v>0</v>
      </c>
      <c r="L41" s="120">
        <f t="shared" si="3"/>
        <v>13897589</v>
      </c>
      <c r="M41" s="120">
        <f>P41+S41-100000</f>
        <v>2411</v>
      </c>
      <c r="N41" s="120">
        <v>50000</v>
      </c>
      <c r="O41" s="120">
        <f t="shared" si="4"/>
        <v>0</v>
      </c>
      <c r="P41" s="120">
        <f t="shared" si="5"/>
        <v>102411</v>
      </c>
      <c r="Q41" s="357"/>
      <c r="R41" s="120"/>
      <c r="S41" s="120">
        <f t="shared" si="6"/>
        <v>0</v>
      </c>
      <c r="T41" s="120">
        <f t="shared" si="7"/>
        <v>100000</v>
      </c>
      <c r="U41" s="120">
        <f t="shared" si="8"/>
        <v>-50000</v>
      </c>
      <c r="V41" s="120">
        <f t="shared" si="9"/>
        <v>-50000</v>
      </c>
      <c r="W41" s="120"/>
      <c r="X41" s="120"/>
      <c r="Y41" s="120"/>
      <c r="Z41" s="120"/>
      <c r="AA41" s="135"/>
      <c r="AB41" s="135" t="s">
        <v>1325</v>
      </c>
      <c r="AC41" s="135">
        <v>829000</v>
      </c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217"/>
      <c r="AW41" s="217"/>
      <c r="AX41" s="217"/>
    </row>
    <row r="42" spans="1:50" s="134" customFormat="1" ht="45" customHeight="1">
      <c r="A42" s="135">
        <f t="shared" si="0"/>
        <v>38</v>
      </c>
      <c r="B42" s="135">
        <v>2023</v>
      </c>
      <c r="C42" s="135" t="s">
        <v>735</v>
      </c>
      <c r="D42" s="120">
        <v>7340000</v>
      </c>
      <c r="E42" s="120">
        <v>7340000</v>
      </c>
      <c r="F42" s="120">
        <f t="shared" si="1"/>
        <v>0</v>
      </c>
      <c r="G42" s="120">
        <v>230000</v>
      </c>
      <c r="H42" s="120">
        <v>228151</v>
      </c>
      <c r="I42" s="120"/>
      <c r="J42" s="120"/>
      <c r="K42" s="120">
        <f t="shared" si="2"/>
        <v>0</v>
      </c>
      <c r="L42" s="120">
        <f t="shared" si="3"/>
        <v>228151</v>
      </c>
      <c r="M42" s="120">
        <f t="shared" si="10"/>
        <v>1849</v>
      </c>
      <c r="N42" s="120"/>
      <c r="O42" s="120">
        <f t="shared" si="4"/>
        <v>7110000</v>
      </c>
      <c r="P42" s="120">
        <f t="shared" si="5"/>
        <v>1849</v>
      </c>
      <c r="Q42" s="357"/>
      <c r="R42" s="120"/>
      <c r="S42" s="120">
        <f t="shared" si="6"/>
        <v>0</v>
      </c>
      <c r="T42" s="120">
        <f t="shared" si="7"/>
        <v>0</v>
      </c>
      <c r="U42" s="120">
        <f t="shared" si="8"/>
        <v>0</v>
      </c>
      <c r="V42" s="120">
        <f t="shared" si="9"/>
        <v>0</v>
      </c>
      <c r="W42" s="120"/>
      <c r="X42" s="120"/>
      <c r="Y42" s="120"/>
      <c r="Z42" s="120"/>
      <c r="AA42" s="135"/>
      <c r="AB42" s="135" t="s">
        <v>627</v>
      </c>
      <c r="AC42" s="135">
        <v>810000</v>
      </c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217"/>
      <c r="AW42" s="217"/>
      <c r="AX42" s="217"/>
    </row>
    <row r="43" spans="1:50" s="134" customFormat="1" ht="45" customHeight="1">
      <c r="A43" s="135">
        <f t="shared" si="0"/>
        <v>39</v>
      </c>
      <c r="B43" s="135">
        <v>2024</v>
      </c>
      <c r="C43" s="135" t="s">
        <v>260</v>
      </c>
      <c r="D43" s="120">
        <f>16300000+2100000</f>
        <v>18400000</v>
      </c>
      <c r="E43" s="120">
        <v>16300000</v>
      </c>
      <c r="F43" s="120">
        <f t="shared" si="1"/>
        <v>2100000</v>
      </c>
      <c r="G43" s="120">
        <v>16300000</v>
      </c>
      <c r="H43" s="120">
        <v>11225590</v>
      </c>
      <c r="I43" s="120"/>
      <c r="J43" s="120"/>
      <c r="K43" s="120">
        <f t="shared" si="2"/>
        <v>0</v>
      </c>
      <c r="L43" s="120">
        <f t="shared" si="3"/>
        <v>11225590</v>
      </c>
      <c r="M43" s="120">
        <f>P43+S43-5050000</f>
        <v>24410</v>
      </c>
      <c r="N43" s="120">
        <f>2100000+5050000</f>
        <v>7150000</v>
      </c>
      <c r="O43" s="120">
        <f t="shared" si="4"/>
        <v>0</v>
      </c>
      <c r="P43" s="120">
        <f t="shared" si="5"/>
        <v>5074410</v>
      </c>
      <c r="Q43" s="357"/>
      <c r="R43" s="120"/>
      <c r="S43" s="120">
        <f t="shared" si="6"/>
        <v>0</v>
      </c>
      <c r="T43" s="120">
        <f t="shared" si="7"/>
        <v>5050000</v>
      </c>
      <c r="U43" s="120">
        <f t="shared" si="8"/>
        <v>2100000</v>
      </c>
      <c r="V43" s="120">
        <f t="shared" si="9"/>
        <v>1654749</v>
      </c>
      <c r="W43" s="120"/>
      <c r="X43" s="120"/>
      <c r="Y43" s="120"/>
      <c r="Z43" s="120"/>
      <c r="AA43" s="120">
        <f>78000+367251</f>
        <v>445251</v>
      </c>
      <c r="AB43" s="135" t="s">
        <v>1386</v>
      </c>
      <c r="AC43" s="135">
        <v>810000</v>
      </c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217"/>
      <c r="AW43" s="217"/>
      <c r="AX43" s="217"/>
    </row>
    <row r="44" spans="1:50" ht="55.2">
      <c r="A44" s="135">
        <f t="shared" si="0"/>
        <v>40</v>
      </c>
      <c r="B44" s="220">
        <v>2064</v>
      </c>
      <c r="C44" s="135" t="s">
        <v>213</v>
      </c>
      <c r="D44" s="120">
        <f>2463705-30000</f>
        <v>2433705</v>
      </c>
      <c r="E44" s="120">
        <v>2463705</v>
      </c>
      <c r="F44" s="120">
        <f t="shared" si="1"/>
        <v>-30000</v>
      </c>
      <c r="G44" s="120">
        <v>2463705</v>
      </c>
      <c r="H44" s="120">
        <v>2429685</v>
      </c>
      <c r="I44" s="120"/>
      <c r="J44" s="120"/>
      <c r="K44" s="120">
        <f t="shared" si="2"/>
        <v>0</v>
      </c>
      <c r="L44" s="120">
        <f t="shared" si="3"/>
        <v>2429685</v>
      </c>
      <c r="M44" s="120">
        <f>P44+S44-30000</f>
        <v>4020</v>
      </c>
      <c r="N44" s="120"/>
      <c r="O44" s="120">
        <f t="shared" si="4"/>
        <v>0</v>
      </c>
      <c r="P44" s="120">
        <f t="shared" si="5"/>
        <v>34020</v>
      </c>
      <c r="Q44" s="357"/>
      <c r="R44" s="120"/>
      <c r="S44" s="120">
        <f t="shared" si="6"/>
        <v>0</v>
      </c>
      <c r="T44" s="120">
        <f t="shared" si="7"/>
        <v>30000</v>
      </c>
      <c r="U44" s="120">
        <f t="shared" si="8"/>
        <v>-30000</v>
      </c>
      <c r="V44" s="120">
        <f t="shared" si="9"/>
        <v>-30000</v>
      </c>
      <c r="W44" s="120"/>
      <c r="X44" s="120"/>
      <c r="Y44" s="120"/>
      <c r="Z44" s="120"/>
      <c r="AA44" s="135"/>
      <c r="AB44" s="135" t="s">
        <v>1460</v>
      </c>
      <c r="AC44" s="135">
        <v>829000</v>
      </c>
    </row>
    <row r="45" spans="1:50" ht="45" customHeight="1">
      <c r="A45" s="135">
        <f t="shared" si="0"/>
        <v>41</v>
      </c>
      <c r="B45" s="220">
        <v>2073</v>
      </c>
      <c r="C45" s="224" t="s">
        <v>575</v>
      </c>
      <c r="D45" s="120">
        <f>60000000+5000000+21000000-12000000-62650000</f>
        <v>11350000</v>
      </c>
      <c r="E45" s="120">
        <v>11350000</v>
      </c>
      <c r="F45" s="120">
        <f t="shared" si="1"/>
        <v>0</v>
      </c>
      <c r="G45" s="120">
        <v>1600000</v>
      </c>
      <c r="H45" s="120">
        <v>501947</v>
      </c>
      <c r="I45" s="120"/>
      <c r="J45" s="120"/>
      <c r="K45" s="120">
        <f t="shared" si="2"/>
        <v>0</v>
      </c>
      <c r="L45" s="120">
        <f t="shared" si="3"/>
        <v>501947</v>
      </c>
      <c r="M45" s="120">
        <f>P45+S45-1090000</f>
        <v>8053</v>
      </c>
      <c r="N45" s="120">
        <f>30000000-20000000-4000000+1090000-6000000-300000</f>
        <v>790000</v>
      </c>
      <c r="O45" s="120">
        <f t="shared" si="4"/>
        <v>10050000</v>
      </c>
      <c r="P45" s="120">
        <f t="shared" si="5"/>
        <v>1098053</v>
      </c>
      <c r="Q45" s="357"/>
      <c r="R45" s="120"/>
      <c r="S45" s="120">
        <f t="shared" si="6"/>
        <v>0</v>
      </c>
      <c r="T45" s="120">
        <f t="shared" si="7"/>
        <v>1090000</v>
      </c>
      <c r="U45" s="120">
        <f t="shared" si="8"/>
        <v>-300000</v>
      </c>
      <c r="V45" s="120">
        <f t="shared" si="9"/>
        <v>-300000</v>
      </c>
      <c r="W45" s="120"/>
      <c r="X45" s="120"/>
      <c r="Y45" s="120"/>
      <c r="Z45" s="120"/>
      <c r="AA45" s="135"/>
      <c r="AB45" s="135" t="s">
        <v>884</v>
      </c>
      <c r="AC45" s="135">
        <v>829000</v>
      </c>
    </row>
    <row r="46" spans="1:50" ht="45" customHeight="1">
      <c r="A46" s="135">
        <f t="shared" si="0"/>
        <v>42</v>
      </c>
      <c r="B46" s="220">
        <v>2076</v>
      </c>
      <c r="C46" s="135" t="s">
        <v>261</v>
      </c>
      <c r="D46" s="120">
        <v>2350000</v>
      </c>
      <c r="E46" s="120">
        <v>2350000</v>
      </c>
      <c r="F46" s="120">
        <f t="shared" si="1"/>
        <v>0</v>
      </c>
      <c r="G46" s="120">
        <v>1450000</v>
      </c>
      <c r="H46" s="120">
        <v>231641</v>
      </c>
      <c r="I46" s="120"/>
      <c r="J46" s="120"/>
      <c r="K46" s="120">
        <f t="shared" si="2"/>
        <v>0</v>
      </c>
      <c r="L46" s="120">
        <f t="shared" si="3"/>
        <v>231641</v>
      </c>
      <c r="M46" s="120">
        <f>P46+S46-900000-1200000</f>
        <v>18359</v>
      </c>
      <c r="N46" s="120">
        <f>900000+1200000-400000</f>
        <v>1700000</v>
      </c>
      <c r="O46" s="120">
        <f t="shared" si="4"/>
        <v>400000</v>
      </c>
      <c r="P46" s="120">
        <f t="shared" si="5"/>
        <v>1218359</v>
      </c>
      <c r="Q46" s="357">
        <v>900000</v>
      </c>
      <c r="R46" s="120"/>
      <c r="S46" s="120">
        <f t="shared" si="6"/>
        <v>900000</v>
      </c>
      <c r="T46" s="120">
        <f t="shared" si="7"/>
        <v>2100000</v>
      </c>
      <c r="U46" s="120">
        <f t="shared" si="8"/>
        <v>-400000</v>
      </c>
      <c r="V46" s="120">
        <f t="shared" si="9"/>
        <v>-400000</v>
      </c>
      <c r="W46" s="120"/>
      <c r="X46" s="120"/>
      <c r="Y46" s="120"/>
      <c r="Z46" s="120"/>
      <c r="AA46" s="135"/>
      <c r="AB46" s="135" t="s">
        <v>294</v>
      </c>
      <c r="AC46" s="135">
        <v>850000</v>
      </c>
    </row>
    <row r="47" spans="1:50" s="5" customFormat="1" ht="45" customHeight="1">
      <c r="A47" s="135">
        <f t="shared" si="0"/>
        <v>43</v>
      </c>
      <c r="B47" s="3">
        <v>2078</v>
      </c>
      <c r="C47" s="3" t="s">
        <v>247</v>
      </c>
      <c r="D47" s="120">
        <v>2460000</v>
      </c>
      <c r="E47" s="120">
        <v>2460000</v>
      </c>
      <c r="F47" s="120">
        <f t="shared" si="1"/>
        <v>0</v>
      </c>
      <c r="G47" s="120">
        <v>1960000</v>
      </c>
      <c r="H47" s="120">
        <v>239106</v>
      </c>
      <c r="I47" s="120"/>
      <c r="J47" s="120"/>
      <c r="K47" s="120">
        <f t="shared" si="2"/>
        <v>0</v>
      </c>
      <c r="L47" s="120">
        <f t="shared" si="3"/>
        <v>239106</v>
      </c>
      <c r="M47" s="120">
        <f>P47+S47-500000-1700000</f>
        <v>20894</v>
      </c>
      <c r="N47" s="120">
        <f>500000+1700000-100000</f>
        <v>2100000</v>
      </c>
      <c r="O47" s="120">
        <f t="shared" si="4"/>
        <v>100000</v>
      </c>
      <c r="P47" s="120">
        <f t="shared" si="5"/>
        <v>1720894</v>
      </c>
      <c r="Q47" s="357">
        <v>500000</v>
      </c>
      <c r="R47" s="120"/>
      <c r="S47" s="120">
        <f t="shared" si="6"/>
        <v>500000</v>
      </c>
      <c r="T47" s="120">
        <f t="shared" si="7"/>
        <v>2200000</v>
      </c>
      <c r="U47" s="120">
        <f t="shared" si="8"/>
        <v>-100000</v>
      </c>
      <c r="V47" s="120">
        <f t="shared" si="9"/>
        <v>-100000</v>
      </c>
      <c r="W47" s="120"/>
      <c r="X47" s="120"/>
      <c r="Y47" s="120"/>
      <c r="Z47" s="120"/>
      <c r="AA47" s="135"/>
      <c r="AB47" s="3" t="s">
        <v>325</v>
      </c>
      <c r="AC47" s="3">
        <v>742000</v>
      </c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217"/>
      <c r="AW47" s="217"/>
      <c r="AX47" s="217"/>
    </row>
    <row r="48" spans="1:50" ht="55.2">
      <c r="A48" s="135">
        <f t="shared" si="0"/>
        <v>44</v>
      </c>
      <c r="B48" s="19">
        <v>2097</v>
      </c>
      <c r="C48" s="135" t="s">
        <v>262</v>
      </c>
      <c r="D48" s="120">
        <v>79000000</v>
      </c>
      <c r="E48" s="120">
        <v>79000000</v>
      </c>
      <c r="F48" s="120">
        <f t="shared" si="1"/>
        <v>0</v>
      </c>
      <c r="G48" s="120">
        <f>26619617+2852702</f>
        <v>29472319</v>
      </c>
      <c r="H48" s="120">
        <v>34007912</v>
      </c>
      <c r="I48" s="120"/>
      <c r="J48" s="120">
        <v>448008</v>
      </c>
      <c r="K48" s="120">
        <f t="shared" si="2"/>
        <v>448008</v>
      </c>
      <c r="L48" s="120">
        <f t="shared" si="3"/>
        <v>34455920</v>
      </c>
      <c r="M48" s="120">
        <f>P48+S48-6650000</f>
        <v>13697</v>
      </c>
      <c r="N48" s="120">
        <f>37880383-27880383+3901997-4000000+6650000-2000000</f>
        <v>14551997</v>
      </c>
      <c r="O48" s="120">
        <f t="shared" si="4"/>
        <v>29978386</v>
      </c>
      <c r="P48" s="120">
        <f t="shared" si="5"/>
        <v>-4983601</v>
      </c>
      <c r="Q48" s="357">
        <f>14500000-2852702</f>
        <v>11647298</v>
      </c>
      <c r="R48" s="120"/>
      <c r="S48" s="120">
        <f t="shared" si="6"/>
        <v>11647298</v>
      </c>
      <c r="T48" s="120">
        <f t="shared" si="7"/>
        <v>6650000</v>
      </c>
      <c r="U48" s="120">
        <f t="shared" si="8"/>
        <v>7901997</v>
      </c>
      <c r="V48" s="120">
        <f t="shared" si="9"/>
        <v>4000000</v>
      </c>
      <c r="W48" s="120"/>
      <c r="X48" s="120"/>
      <c r="Y48" s="120"/>
      <c r="Z48" s="120"/>
      <c r="AA48" s="120">
        <f>382200+141574+3378223</f>
        <v>3901997</v>
      </c>
      <c r="AB48" s="224" t="s">
        <v>798</v>
      </c>
      <c r="AC48" s="135">
        <v>810000</v>
      </c>
    </row>
    <row r="49" spans="1:50" ht="45" customHeight="1">
      <c r="A49" s="135">
        <f t="shared" si="0"/>
        <v>45</v>
      </c>
      <c r="B49" s="19">
        <v>2099</v>
      </c>
      <c r="C49" s="135" t="s">
        <v>263</v>
      </c>
      <c r="D49" s="120">
        <f>17650000+3150000+60000</f>
        <v>20860000</v>
      </c>
      <c r="E49" s="120">
        <v>17650000</v>
      </c>
      <c r="F49" s="120">
        <f t="shared" si="1"/>
        <v>3210000</v>
      </c>
      <c r="G49" s="120">
        <f>15000000+1500000</f>
        <v>16500000</v>
      </c>
      <c r="H49" s="120">
        <v>15906185</v>
      </c>
      <c r="I49" s="120"/>
      <c r="J49" s="120"/>
      <c r="K49" s="120">
        <f t="shared" si="2"/>
        <v>0</v>
      </c>
      <c r="L49" s="120">
        <f t="shared" si="3"/>
        <v>15906185</v>
      </c>
      <c r="M49" s="120">
        <f>P49+S49-590000</f>
        <v>3815</v>
      </c>
      <c r="N49" s="120">
        <f>1150000+3150000+60000+590000</f>
        <v>4950000</v>
      </c>
      <c r="O49" s="120">
        <f t="shared" si="4"/>
        <v>0</v>
      </c>
      <c r="P49" s="120">
        <f t="shared" si="5"/>
        <v>593815</v>
      </c>
      <c r="Q49" s="357">
        <f>1500000-1500000</f>
        <v>0</v>
      </c>
      <c r="R49" s="120"/>
      <c r="S49" s="120">
        <f t="shared" si="6"/>
        <v>0</v>
      </c>
      <c r="T49" s="120">
        <f t="shared" si="7"/>
        <v>590000</v>
      </c>
      <c r="U49" s="120">
        <f t="shared" si="8"/>
        <v>4360000</v>
      </c>
      <c r="V49" s="120">
        <f t="shared" si="9"/>
        <v>4360000</v>
      </c>
      <c r="W49" s="120"/>
      <c r="X49" s="120"/>
      <c r="Y49" s="120"/>
      <c r="Z49" s="120"/>
      <c r="AA49" s="135"/>
      <c r="AB49" s="235" t="s">
        <v>565</v>
      </c>
      <c r="AC49" s="135">
        <v>826000</v>
      </c>
    </row>
    <row r="50" spans="1:50" ht="55.2">
      <c r="A50" s="135">
        <f t="shared" si="0"/>
        <v>46</v>
      </c>
      <c r="B50" s="19">
        <v>2101</v>
      </c>
      <c r="C50" s="135" t="s">
        <v>437</v>
      </c>
      <c r="D50" s="120">
        <v>24200000</v>
      </c>
      <c r="E50" s="120">
        <v>24200000</v>
      </c>
      <c r="F50" s="120">
        <f t="shared" si="1"/>
        <v>0</v>
      </c>
      <c r="G50" s="120">
        <f>1500000+1500000</f>
        <v>3000000</v>
      </c>
      <c r="H50" s="120">
        <v>4730972</v>
      </c>
      <c r="I50" s="120"/>
      <c r="J50" s="120"/>
      <c r="K50" s="120">
        <f t="shared" si="2"/>
        <v>0</v>
      </c>
      <c r="L50" s="120">
        <f t="shared" si="3"/>
        <v>4730972</v>
      </c>
      <c r="M50" s="120">
        <f>P50+S50-2750000</f>
        <v>19028</v>
      </c>
      <c r="N50" s="120">
        <f>16700000-8000000+2750000-1000000</f>
        <v>10450000</v>
      </c>
      <c r="O50" s="120">
        <f t="shared" si="4"/>
        <v>9000000</v>
      </c>
      <c r="P50" s="120">
        <f t="shared" si="5"/>
        <v>-1730972</v>
      </c>
      <c r="Q50" s="357">
        <f>6000000-1500000</f>
        <v>4500000</v>
      </c>
      <c r="R50" s="120"/>
      <c r="S50" s="120">
        <f t="shared" si="6"/>
        <v>4500000</v>
      </c>
      <c r="T50" s="120">
        <f t="shared" si="7"/>
        <v>2750000</v>
      </c>
      <c r="U50" s="120">
        <f t="shared" si="8"/>
        <v>7700000</v>
      </c>
      <c r="V50" s="120">
        <f t="shared" si="9"/>
        <v>7700000</v>
      </c>
      <c r="W50" s="120">
        <f>500000+20000+188000-500000-20000-188000</f>
        <v>0</v>
      </c>
      <c r="X50" s="120"/>
      <c r="Y50" s="120"/>
      <c r="Z50" s="120"/>
      <c r="AA50" s="120">
        <f>W50*0.7</f>
        <v>0</v>
      </c>
      <c r="AB50" s="235" t="s">
        <v>1316</v>
      </c>
      <c r="AC50" s="135">
        <v>840000</v>
      </c>
    </row>
    <row r="51" spans="1:50" ht="45" customHeight="1">
      <c r="A51" s="135">
        <f t="shared" si="0"/>
        <v>47</v>
      </c>
      <c r="B51" s="19">
        <v>2103</v>
      </c>
      <c r="C51" s="135" t="s">
        <v>293</v>
      </c>
      <c r="D51" s="120">
        <v>4200000</v>
      </c>
      <c r="E51" s="120">
        <v>4200000</v>
      </c>
      <c r="F51" s="120">
        <f t="shared" si="1"/>
        <v>0</v>
      </c>
      <c r="G51" s="120">
        <v>1000000</v>
      </c>
      <c r="H51" s="120">
        <v>875595</v>
      </c>
      <c r="I51" s="120"/>
      <c r="J51" s="120"/>
      <c r="K51" s="120">
        <f t="shared" si="2"/>
        <v>0</v>
      </c>
      <c r="L51" s="120">
        <f t="shared" si="3"/>
        <v>875595</v>
      </c>
      <c r="M51" s="120">
        <f>P51+S51-700000-120000</f>
        <v>4405</v>
      </c>
      <c r="N51" s="120">
        <v>120000</v>
      </c>
      <c r="O51" s="120">
        <f t="shared" si="4"/>
        <v>3200000</v>
      </c>
      <c r="P51" s="120">
        <f t="shared" si="5"/>
        <v>124405</v>
      </c>
      <c r="Q51" s="357">
        <v>700000</v>
      </c>
      <c r="R51" s="120"/>
      <c r="S51" s="120">
        <f t="shared" si="6"/>
        <v>700000</v>
      </c>
      <c r="T51" s="120">
        <f t="shared" si="7"/>
        <v>820000</v>
      </c>
      <c r="U51" s="120">
        <f t="shared" si="8"/>
        <v>-700000</v>
      </c>
      <c r="V51" s="120">
        <f t="shared" si="9"/>
        <v>-700000</v>
      </c>
      <c r="W51" s="120"/>
      <c r="X51" s="120"/>
      <c r="Y51" s="120"/>
      <c r="Z51" s="120"/>
      <c r="AA51" s="135"/>
      <c r="AB51" s="224" t="s">
        <v>628</v>
      </c>
      <c r="AC51" s="135">
        <v>848000</v>
      </c>
    </row>
    <row r="52" spans="1:50" s="6" customFormat="1" ht="45" customHeight="1">
      <c r="A52" s="135">
        <f t="shared" si="0"/>
        <v>48</v>
      </c>
      <c r="B52" s="19">
        <v>2106</v>
      </c>
      <c r="C52" s="3" t="s">
        <v>361</v>
      </c>
      <c r="D52" s="120">
        <v>15000000</v>
      </c>
      <c r="E52" s="120">
        <v>15000000</v>
      </c>
      <c r="F52" s="120">
        <f t="shared" si="1"/>
        <v>0</v>
      </c>
      <c r="G52" s="120">
        <v>4000000</v>
      </c>
      <c r="H52" s="120">
        <v>1908005</v>
      </c>
      <c r="I52" s="120"/>
      <c r="J52" s="120"/>
      <c r="K52" s="120">
        <f t="shared" si="2"/>
        <v>0</v>
      </c>
      <c r="L52" s="120">
        <f t="shared" si="3"/>
        <v>1908005</v>
      </c>
      <c r="M52" s="120">
        <f>P52+S52-500000-2050000</f>
        <v>41995</v>
      </c>
      <c r="N52" s="120">
        <f>500000+2050000</f>
        <v>2550000</v>
      </c>
      <c r="O52" s="120">
        <f t="shared" si="4"/>
        <v>10500000</v>
      </c>
      <c r="P52" s="120">
        <f t="shared" si="5"/>
        <v>2091995</v>
      </c>
      <c r="Q52" s="357">
        <v>500000</v>
      </c>
      <c r="R52" s="120"/>
      <c r="S52" s="120">
        <f t="shared" si="6"/>
        <v>500000</v>
      </c>
      <c r="T52" s="120">
        <f t="shared" si="7"/>
        <v>2550000</v>
      </c>
      <c r="U52" s="120">
        <f t="shared" si="8"/>
        <v>0</v>
      </c>
      <c r="V52" s="120">
        <f t="shared" si="9"/>
        <v>0</v>
      </c>
      <c r="W52" s="120"/>
      <c r="X52" s="120"/>
      <c r="Y52" s="120"/>
      <c r="Z52" s="120"/>
      <c r="AA52" s="135"/>
      <c r="AB52" s="224" t="s">
        <v>519</v>
      </c>
      <c r="AC52" s="3">
        <v>742000</v>
      </c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217"/>
      <c r="AW52" s="217"/>
      <c r="AX52" s="217"/>
    </row>
    <row r="53" spans="1:50" s="5" customFormat="1" ht="45" customHeight="1">
      <c r="A53" s="135">
        <f t="shared" si="0"/>
        <v>49</v>
      </c>
      <c r="B53" s="19">
        <v>2109</v>
      </c>
      <c r="C53" s="3" t="s">
        <v>248</v>
      </c>
      <c r="D53" s="120">
        <f>2000000+5500000</f>
        <v>7500000</v>
      </c>
      <c r="E53" s="120">
        <v>2000000</v>
      </c>
      <c r="F53" s="120">
        <f t="shared" si="1"/>
        <v>5500000</v>
      </c>
      <c r="G53" s="120">
        <v>850000</v>
      </c>
      <c r="H53" s="120">
        <v>159190</v>
      </c>
      <c r="I53" s="120"/>
      <c r="J53" s="120"/>
      <c r="K53" s="120">
        <f t="shared" si="2"/>
        <v>0</v>
      </c>
      <c r="L53" s="120">
        <f t="shared" si="3"/>
        <v>159190</v>
      </c>
      <c r="M53" s="120">
        <f>P53+S53-690000</f>
        <v>810</v>
      </c>
      <c r="N53" s="120">
        <v>690000</v>
      </c>
      <c r="O53" s="120">
        <f t="shared" si="4"/>
        <v>6650000</v>
      </c>
      <c r="P53" s="120">
        <f t="shared" si="5"/>
        <v>690810</v>
      </c>
      <c r="Q53" s="357"/>
      <c r="R53" s="120"/>
      <c r="S53" s="120">
        <f t="shared" si="6"/>
        <v>0</v>
      </c>
      <c r="T53" s="120">
        <f t="shared" si="7"/>
        <v>690000</v>
      </c>
      <c r="U53" s="120">
        <f t="shared" si="8"/>
        <v>0</v>
      </c>
      <c r="V53" s="120">
        <f t="shared" si="9"/>
        <v>0</v>
      </c>
      <c r="W53" s="120"/>
      <c r="X53" s="120"/>
      <c r="Y53" s="120"/>
      <c r="Z53" s="120"/>
      <c r="AA53" s="135"/>
      <c r="AB53" s="3" t="s">
        <v>549</v>
      </c>
      <c r="AC53" s="3">
        <v>742000</v>
      </c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217"/>
      <c r="AW53" s="217"/>
      <c r="AX53" s="217"/>
    </row>
    <row r="54" spans="1:50" s="5" customFormat="1" ht="45" customHeight="1">
      <c r="A54" s="135">
        <f t="shared" si="0"/>
        <v>50</v>
      </c>
      <c r="B54" s="19">
        <v>2110</v>
      </c>
      <c r="C54" s="3" t="s">
        <v>249</v>
      </c>
      <c r="D54" s="120">
        <v>16000000</v>
      </c>
      <c r="E54" s="120">
        <v>16000000</v>
      </c>
      <c r="F54" s="120">
        <f t="shared" si="1"/>
        <v>0</v>
      </c>
      <c r="G54" s="120">
        <v>50000</v>
      </c>
      <c r="H54" s="120"/>
      <c r="I54" s="120"/>
      <c r="J54" s="120"/>
      <c r="K54" s="120">
        <f t="shared" si="2"/>
        <v>0</v>
      </c>
      <c r="L54" s="120">
        <f t="shared" si="3"/>
        <v>0</v>
      </c>
      <c r="M54" s="120">
        <f>P54+S54-50000</f>
        <v>0</v>
      </c>
      <c r="N54" s="120"/>
      <c r="O54" s="120">
        <f t="shared" si="4"/>
        <v>16000000</v>
      </c>
      <c r="P54" s="120">
        <f t="shared" si="5"/>
        <v>50000</v>
      </c>
      <c r="Q54" s="357"/>
      <c r="R54" s="120"/>
      <c r="S54" s="120">
        <f t="shared" si="6"/>
        <v>0</v>
      </c>
      <c r="T54" s="120">
        <f t="shared" si="7"/>
        <v>50000</v>
      </c>
      <c r="U54" s="120">
        <f t="shared" si="8"/>
        <v>-50000</v>
      </c>
      <c r="V54" s="120">
        <f t="shared" si="9"/>
        <v>-50000</v>
      </c>
      <c r="W54" s="120"/>
      <c r="X54" s="120"/>
      <c r="Y54" s="120"/>
      <c r="Z54" s="120"/>
      <c r="AA54" s="135"/>
      <c r="AB54" s="3" t="s">
        <v>566</v>
      </c>
      <c r="AC54" s="3">
        <v>742000</v>
      </c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217"/>
      <c r="AW54" s="217"/>
      <c r="AX54" s="217"/>
    </row>
    <row r="55" spans="1:50" s="5" customFormat="1" ht="45" customHeight="1">
      <c r="A55" s="135">
        <f t="shared" si="0"/>
        <v>51</v>
      </c>
      <c r="B55" s="19">
        <v>2111</v>
      </c>
      <c r="C55" s="3" t="s">
        <v>250</v>
      </c>
      <c r="D55" s="120">
        <v>15200000</v>
      </c>
      <c r="E55" s="120">
        <v>15200000</v>
      </c>
      <c r="F55" s="120">
        <f t="shared" si="1"/>
        <v>0</v>
      </c>
      <c r="G55" s="120">
        <v>100000</v>
      </c>
      <c r="H55" s="120"/>
      <c r="I55" s="120"/>
      <c r="J55" s="120"/>
      <c r="K55" s="120">
        <f t="shared" si="2"/>
        <v>0</v>
      </c>
      <c r="L55" s="120">
        <f t="shared" si="3"/>
        <v>0</v>
      </c>
      <c r="M55" s="120">
        <f>P55+S55-100000</f>
        <v>0</v>
      </c>
      <c r="N55" s="120">
        <f>15100000-14100000-1000000</f>
        <v>0</v>
      </c>
      <c r="O55" s="120">
        <f t="shared" si="4"/>
        <v>15200000</v>
      </c>
      <c r="P55" s="120">
        <f t="shared" si="5"/>
        <v>100000</v>
      </c>
      <c r="Q55" s="357"/>
      <c r="R55" s="120"/>
      <c r="S55" s="120">
        <f t="shared" si="6"/>
        <v>0</v>
      </c>
      <c r="T55" s="120">
        <f t="shared" si="7"/>
        <v>100000</v>
      </c>
      <c r="U55" s="120">
        <f t="shared" si="8"/>
        <v>-100000</v>
      </c>
      <c r="V55" s="120">
        <f t="shared" si="9"/>
        <v>-100000</v>
      </c>
      <c r="W55" s="120"/>
      <c r="X55" s="120"/>
      <c r="Y55" s="120"/>
      <c r="Z55" s="120"/>
      <c r="AA55" s="135"/>
      <c r="AB55" s="213" t="s">
        <v>520</v>
      </c>
      <c r="AC55" s="3">
        <v>742000</v>
      </c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217"/>
      <c r="AW55" s="217"/>
      <c r="AX55" s="217"/>
    </row>
    <row r="56" spans="1:50" s="6" customFormat="1" ht="69">
      <c r="A56" s="135">
        <f t="shared" si="0"/>
        <v>52</v>
      </c>
      <c r="B56" s="19">
        <v>2115</v>
      </c>
      <c r="C56" s="3" t="s">
        <v>252</v>
      </c>
      <c r="D56" s="120">
        <f>3100000+600000</f>
        <v>3700000</v>
      </c>
      <c r="E56" s="120">
        <v>3100000</v>
      </c>
      <c r="F56" s="120">
        <f t="shared" si="1"/>
        <v>600000</v>
      </c>
      <c r="G56" s="120">
        <v>2300000</v>
      </c>
      <c r="H56" s="120">
        <v>2300000</v>
      </c>
      <c r="I56" s="120"/>
      <c r="J56" s="120"/>
      <c r="K56" s="120">
        <f t="shared" si="2"/>
        <v>0</v>
      </c>
      <c r="L56" s="120">
        <f t="shared" si="3"/>
        <v>2300000</v>
      </c>
      <c r="M56" s="120">
        <f t="shared" si="10"/>
        <v>0</v>
      </c>
      <c r="N56" s="120">
        <f>500000+300000+600000</f>
        <v>1400000</v>
      </c>
      <c r="O56" s="120">
        <f t="shared" si="4"/>
        <v>0</v>
      </c>
      <c r="P56" s="120">
        <f t="shared" si="5"/>
        <v>0</v>
      </c>
      <c r="Q56" s="357"/>
      <c r="R56" s="120"/>
      <c r="S56" s="120">
        <f t="shared" si="6"/>
        <v>0</v>
      </c>
      <c r="T56" s="120">
        <f t="shared" si="7"/>
        <v>0</v>
      </c>
      <c r="U56" s="120">
        <f t="shared" si="8"/>
        <v>1400000</v>
      </c>
      <c r="V56" s="120">
        <f t="shared" si="9"/>
        <v>1400000</v>
      </c>
      <c r="W56" s="120"/>
      <c r="X56" s="120"/>
      <c r="Y56" s="120"/>
      <c r="Z56" s="120"/>
      <c r="AA56" s="135"/>
      <c r="AB56" s="3" t="s">
        <v>1370</v>
      </c>
      <c r="AC56" s="3">
        <v>732000</v>
      </c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217"/>
      <c r="AW56" s="217"/>
      <c r="AX56" s="217"/>
    </row>
    <row r="57" spans="1:50" s="6" customFormat="1" ht="45" customHeight="1">
      <c r="A57" s="135">
        <f t="shared" si="0"/>
        <v>53</v>
      </c>
      <c r="B57" s="19">
        <v>2118</v>
      </c>
      <c r="C57" s="3" t="s">
        <v>253</v>
      </c>
      <c r="D57" s="120">
        <v>2600000</v>
      </c>
      <c r="E57" s="120">
        <v>2600000</v>
      </c>
      <c r="F57" s="120">
        <f t="shared" si="1"/>
        <v>0</v>
      </c>
      <c r="G57" s="120">
        <v>2600000</v>
      </c>
      <c r="H57" s="120">
        <v>2049405</v>
      </c>
      <c r="I57" s="120"/>
      <c r="J57" s="120"/>
      <c r="K57" s="120">
        <f t="shared" si="2"/>
        <v>0</v>
      </c>
      <c r="L57" s="120">
        <f t="shared" si="3"/>
        <v>2049405</v>
      </c>
      <c r="M57" s="120">
        <f>P57+S57-550000</f>
        <v>595</v>
      </c>
      <c r="N57" s="120">
        <v>550000</v>
      </c>
      <c r="O57" s="120">
        <f t="shared" si="4"/>
        <v>0</v>
      </c>
      <c r="P57" s="120">
        <f t="shared" si="5"/>
        <v>550595</v>
      </c>
      <c r="Q57" s="357"/>
      <c r="R57" s="120"/>
      <c r="S57" s="120">
        <f t="shared" si="6"/>
        <v>0</v>
      </c>
      <c r="T57" s="120">
        <f t="shared" si="7"/>
        <v>550000</v>
      </c>
      <c r="U57" s="120">
        <f t="shared" si="8"/>
        <v>0</v>
      </c>
      <c r="V57" s="120">
        <f t="shared" si="9"/>
        <v>0</v>
      </c>
      <c r="W57" s="120"/>
      <c r="X57" s="120"/>
      <c r="Y57" s="120"/>
      <c r="Z57" s="120"/>
      <c r="AA57" s="135"/>
      <c r="AB57" s="214" t="s">
        <v>1351</v>
      </c>
      <c r="AC57" s="3">
        <v>746000</v>
      </c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217"/>
      <c r="AW57" s="217"/>
      <c r="AX57" s="217"/>
    </row>
    <row r="58" spans="1:50" s="5" customFormat="1" ht="45" customHeight="1">
      <c r="A58" s="135">
        <f t="shared" si="0"/>
        <v>54</v>
      </c>
      <c r="B58" s="19">
        <v>2119</v>
      </c>
      <c r="C58" s="3" t="s">
        <v>254</v>
      </c>
      <c r="D58" s="120">
        <v>6000000</v>
      </c>
      <c r="E58" s="120">
        <v>6000000</v>
      </c>
      <c r="F58" s="120">
        <f t="shared" si="1"/>
        <v>0</v>
      </c>
      <c r="G58" s="120">
        <v>6000000</v>
      </c>
      <c r="H58" s="120">
        <v>3301431</v>
      </c>
      <c r="I58" s="120"/>
      <c r="J58" s="120"/>
      <c r="K58" s="120">
        <f t="shared" si="2"/>
        <v>0</v>
      </c>
      <c r="L58" s="120">
        <f t="shared" si="3"/>
        <v>3301431</v>
      </c>
      <c r="M58" s="120">
        <f>P58+S58-2690000</f>
        <v>8569</v>
      </c>
      <c r="N58" s="120">
        <v>2690000</v>
      </c>
      <c r="O58" s="120">
        <f t="shared" si="4"/>
        <v>0</v>
      </c>
      <c r="P58" s="120">
        <f t="shared" si="5"/>
        <v>2698569</v>
      </c>
      <c r="Q58" s="357"/>
      <c r="R58" s="120"/>
      <c r="S58" s="120">
        <f t="shared" si="6"/>
        <v>0</v>
      </c>
      <c r="T58" s="120">
        <f t="shared" si="7"/>
        <v>2690000</v>
      </c>
      <c r="U58" s="120">
        <f t="shared" si="8"/>
        <v>0</v>
      </c>
      <c r="V58" s="120">
        <f t="shared" si="9"/>
        <v>0</v>
      </c>
      <c r="W58" s="120"/>
      <c r="X58" s="120"/>
      <c r="Y58" s="120"/>
      <c r="Z58" s="120"/>
      <c r="AA58" s="135"/>
      <c r="AB58" s="3" t="s">
        <v>255</v>
      </c>
      <c r="AC58" s="3">
        <v>742000</v>
      </c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217"/>
      <c r="AW58" s="217"/>
      <c r="AX58" s="217"/>
    </row>
    <row r="59" spans="1:50" s="5" customFormat="1" ht="45" customHeight="1">
      <c r="A59" s="135">
        <f t="shared" si="0"/>
        <v>55</v>
      </c>
      <c r="B59" s="19">
        <v>2126</v>
      </c>
      <c r="C59" s="3" t="s">
        <v>374</v>
      </c>
      <c r="D59" s="120">
        <v>1975000</v>
      </c>
      <c r="E59" s="120">
        <v>1975000</v>
      </c>
      <c r="F59" s="120">
        <f t="shared" si="1"/>
        <v>0</v>
      </c>
      <c r="G59" s="120">
        <v>0</v>
      </c>
      <c r="H59" s="120"/>
      <c r="I59" s="120"/>
      <c r="J59" s="120"/>
      <c r="K59" s="120">
        <f t="shared" si="2"/>
        <v>0</v>
      </c>
      <c r="L59" s="120">
        <f t="shared" si="3"/>
        <v>0</v>
      </c>
      <c r="M59" s="120">
        <f t="shared" si="10"/>
        <v>0</v>
      </c>
      <c r="N59" s="120"/>
      <c r="O59" s="120">
        <f t="shared" si="4"/>
        <v>1975000</v>
      </c>
      <c r="P59" s="120">
        <f t="shared" si="5"/>
        <v>0</v>
      </c>
      <c r="Q59" s="357"/>
      <c r="R59" s="120"/>
      <c r="S59" s="120">
        <f t="shared" si="6"/>
        <v>0</v>
      </c>
      <c r="T59" s="120">
        <f t="shared" si="7"/>
        <v>0</v>
      </c>
      <c r="U59" s="120">
        <f t="shared" si="8"/>
        <v>0</v>
      </c>
      <c r="V59" s="120">
        <f t="shared" si="9"/>
        <v>0</v>
      </c>
      <c r="W59" s="120"/>
      <c r="X59" s="120"/>
      <c r="Y59" s="120"/>
      <c r="Z59" s="120"/>
      <c r="AA59" s="135"/>
      <c r="AB59" s="3"/>
      <c r="AC59" s="3">
        <v>742000</v>
      </c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217"/>
      <c r="AW59" s="217"/>
      <c r="AX59" s="217"/>
    </row>
    <row r="60" spans="1:50" s="6" customFormat="1" ht="45" customHeight="1">
      <c r="A60" s="135">
        <f t="shared" si="0"/>
        <v>56</v>
      </c>
      <c r="B60" s="19">
        <v>2127</v>
      </c>
      <c r="C60" s="3" t="s">
        <v>375</v>
      </c>
      <c r="D60" s="120">
        <v>2259000</v>
      </c>
      <c r="E60" s="120">
        <v>2259000</v>
      </c>
      <c r="F60" s="120">
        <f t="shared" si="1"/>
        <v>0</v>
      </c>
      <c r="G60" s="120">
        <v>2259000</v>
      </c>
      <c r="H60" s="120">
        <v>645783</v>
      </c>
      <c r="I60" s="120"/>
      <c r="J60" s="120"/>
      <c r="K60" s="120">
        <f t="shared" si="2"/>
        <v>0</v>
      </c>
      <c r="L60" s="120">
        <f t="shared" si="3"/>
        <v>645783</v>
      </c>
      <c r="M60" s="120">
        <f>P60+S60-1000000-600000+600000-600000</f>
        <v>13217</v>
      </c>
      <c r="N60" s="120">
        <f>1000000-600000+600000</f>
        <v>1000000</v>
      </c>
      <c r="O60" s="120">
        <f t="shared" si="4"/>
        <v>600000</v>
      </c>
      <c r="P60" s="120">
        <f t="shared" si="5"/>
        <v>1613217</v>
      </c>
      <c r="Q60" s="357"/>
      <c r="R60" s="120"/>
      <c r="S60" s="120">
        <f t="shared" si="6"/>
        <v>0</v>
      </c>
      <c r="T60" s="120">
        <f t="shared" si="7"/>
        <v>1600000</v>
      </c>
      <c r="U60" s="120">
        <f t="shared" si="8"/>
        <v>-600000</v>
      </c>
      <c r="V60" s="120">
        <f t="shared" si="9"/>
        <v>-600000</v>
      </c>
      <c r="W60" s="120"/>
      <c r="X60" s="120"/>
      <c r="Y60" s="120"/>
      <c r="Z60" s="120"/>
      <c r="AA60" s="135"/>
      <c r="AB60" s="3" t="s">
        <v>827</v>
      </c>
      <c r="AC60" s="3">
        <v>747000</v>
      </c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217"/>
      <c r="AW60" s="217"/>
      <c r="AX60" s="217"/>
    </row>
    <row r="61" spans="1:50" s="6" customFormat="1" ht="45" customHeight="1">
      <c r="A61" s="135">
        <f t="shared" si="0"/>
        <v>57</v>
      </c>
      <c r="B61" s="19">
        <v>2130</v>
      </c>
      <c r="C61" s="3" t="s">
        <v>382</v>
      </c>
      <c r="D61" s="120">
        <v>500000</v>
      </c>
      <c r="E61" s="120">
        <v>500000</v>
      </c>
      <c r="F61" s="120">
        <f t="shared" si="1"/>
        <v>0</v>
      </c>
      <c r="G61" s="120">
        <v>500000</v>
      </c>
      <c r="H61" s="120">
        <v>19942</v>
      </c>
      <c r="I61" s="120"/>
      <c r="J61" s="120"/>
      <c r="K61" s="120">
        <f t="shared" si="2"/>
        <v>0</v>
      </c>
      <c r="L61" s="120">
        <f t="shared" si="3"/>
        <v>19942</v>
      </c>
      <c r="M61" s="120">
        <f>P61+S61-480000</f>
        <v>58</v>
      </c>
      <c r="N61" s="120">
        <v>480000</v>
      </c>
      <c r="O61" s="120">
        <f t="shared" si="4"/>
        <v>0</v>
      </c>
      <c r="P61" s="120">
        <f t="shared" si="5"/>
        <v>480058</v>
      </c>
      <c r="Q61" s="357"/>
      <c r="R61" s="120"/>
      <c r="S61" s="120">
        <f t="shared" si="6"/>
        <v>0</v>
      </c>
      <c r="T61" s="120">
        <f t="shared" si="7"/>
        <v>480000</v>
      </c>
      <c r="U61" s="120">
        <f t="shared" si="8"/>
        <v>0</v>
      </c>
      <c r="V61" s="120">
        <f t="shared" si="9"/>
        <v>0</v>
      </c>
      <c r="W61" s="120"/>
      <c r="X61" s="120"/>
      <c r="Y61" s="120"/>
      <c r="Z61" s="120"/>
      <c r="AA61" s="135"/>
      <c r="AB61" s="3" t="s">
        <v>550</v>
      </c>
      <c r="AC61" s="3">
        <v>810000</v>
      </c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217"/>
      <c r="AW61" s="217"/>
      <c r="AX61" s="217"/>
    </row>
    <row r="62" spans="1:50" s="5" customFormat="1" ht="69">
      <c r="A62" s="135">
        <f t="shared" si="0"/>
        <v>58</v>
      </c>
      <c r="B62" s="19">
        <v>2149</v>
      </c>
      <c r="C62" s="19" t="s">
        <v>695</v>
      </c>
      <c r="D62" s="120">
        <f>2000000+500000</f>
        <v>2500000</v>
      </c>
      <c r="E62" s="120">
        <v>2000000</v>
      </c>
      <c r="F62" s="120">
        <f t="shared" si="1"/>
        <v>500000</v>
      </c>
      <c r="G62" s="120">
        <v>1700000</v>
      </c>
      <c r="H62" s="120">
        <v>1232473</v>
      </c>
      <c r="I62" s="120"/>
      <c r="J62" s="120"/>
      <c r="K62" s="120">
        <f t="shared" si="2"/>
        <v>0</v>
      </c>
      <c r="L62" s="120">
        <f t="shared" si="3"/>
        <v>1232473</v>
      </c>
      <c r="M62" s="120">
        <f>P62+S62-300000-150000</f>
        <v>17527</v>
      </c>
      <c r="N62" s="120">
        <f>300000+800000+150000-200000</f>
        <v>1050000</v>
      </c>
      <c r="O62" s="120">
        <f t="shared" si="4"/>
        <v>200000</v>
      </c>
      <c r="P62" s="120">
        <f t="shared" si="5"/>
        <v>467527</v>
      </c>
      <c r="Q62" s="357"/>
      <c r="R62" s="120"/>
      <c r="S62" s="120">
        <f t="shared" si="6"/>
        <v>0</v>
      </c>
      <c r="T62" s="120">
        <f t="shared" si="7"/>
        <v>450000</v>
      </c>
      <c r="U62" s="120">
        <f t="shared" si="8"/>
        <v>600000</v>
      </c>
      <c r="V62" s="120">
        <f t="shared" si="9"/>
        <v>600000</v>
      </c>
      <c r="W62" s="120"/>
      <c r="X62" s="120"/>
      <c r="Y62" s="120"/>
      <c r="Z62" s="120"/>
      <c r="AA62" s="135"/>
      <c r="AB62" s="3" t="s">
        <v>1508</v>
      </c>
      <c r="AC62" s="3">
        <v>810000</v>
      </c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217"/>
      <c r="AW62" s="217"/>
      <c r="AX62" s="217"/>
    </row>
    <row r="63" spans="1:50" s="5" customFormat="1" ht="45" customHeight="1">
      <c r="A63" s="135">
        <f t="shared" si="0"/>
        <v>59</v>
      </c>
      <c r="B63" s="19">
        <v>2150</v>
      </c>
      <c r="C63" s="19" t="s">
        <v>576</v>
      </c>
      <c r="D63" s="120">
        <v>23500000</v>
      </c>
      <c r="E63" s="120">
        <v>23500000</v>
      </c>
      <c r="F63" s="120">
        <f t="shared" si="1"/>
        <v>0</v>
      </c>
      <c r="G63" s="120">
        <v>14500000</v>
      </c>
      <c r="H63" s="120">
        <v>11935396</v>
      </c>
      <c r="I63" s="120"/>
      <c r="J63" s="120"/>
      <c r="K63" s="120">
        <f t="shared" si="2"/>
        <v>0</v>
      </c>
      <c r="L63" s="120">
        <f t="shared" si="3"/>
        <v>11935396</v>
      </c>
      <c r="M63" s="120">
        <f>P63+S63-2550000</f>
        <v>14604</v>
      </c>
      <c r="N63" s="120">
        <f>2550000-550000</f>
        <v>2000000</v>
      </c>
      <c r="O63" s="120">
        <f t="shared" si="4"/>
        <v>9550000</v>
      </c>
      <c r="P63" s="120">
        <f t="shared" si="5"/>
        <v>2564604</v>
      </c>
      <c r="Q63" s="357"/>
      <c r="R63" s="120"/>
      <c r="S63" s="120">
        <f t="shared" si="6"/>
        <v>0</v>
      </c>
      <c r="T63" s="120">
        <f t="shared" si="7"/>
        <v>2550000</v>
      </c>
      <c r="U63" s="120">
        <f t="shared" si="8"/>
        <v>-550000</v>
      </c>
      <c r="V63" s="120">
        <f t="shared" si="9"/>
        <v>-550000</v>
      </c>
      <c r="W63" s="120"/>
      <c r="X63" s="120"/>
      <c r="Y63" s="120"/>
      <c r="Z63" s="120"/>
      <c r="AA63" s="135"/>
      <c r="AB63" s="19" t="s">
        <v>803</v>
      </c>
      <c r="AC63" s="3">
        <v>746000</v>
      </c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217"/>
      <c r="AW63" s="217"/>
      <c r="AX63" s="217"/>
    </row>
    <row r="64" spans="1:50" s="5" customFormat="1" ht="45" customHeight="1">
      <c r="A64" s="135">
        <f t="shared" si="0"/>
        <v>60</v>
      </c>
      <c r="B64" s="19">
        <v>2151</v>
      </c>
      <c r="C64" s="3" t="s">
        <v>386</v>
      </c>
      <c r="D64" s="120">
        <v>54000000</v>
      </c>
      <c r="E64" s="120">
        <v>54000000</v>
      </c>
      <c r="F64" s="120">
        <f t="shared" si="1"/>
        <v>0</v>
      </c>
      <c r="G64" s="120">
        <v>5000000</v>
      </c>
      <c r="H64" s="120">
        <v>4443787</v>
      </c>
      <c r="I64" s="120"/>
      <c r="J64" s="120"/>
      <c r="K64" s="120">
        <f t="shared" si="2"/>
        <v>0</v>
      </c>
      <c r="L64" s="120">
        <f t="shared" si="3"/>
        <v>4443787</v>
      </c>
      <c r="M64" s="120">
        <f>P64+S64-1550000</f>
        <v>6213</v>
      </c>
      <c r="N64" s="120">
        <f>30000000-12000000-11000000+1550000-2000000</f>
        <v>6550000</v>
      </c>
      <c r="O64" s="120">
        <f t="shared" si="4"/>
        <v>43000000</v>
      </c>
      <c r="P64" s="120">
        <f t="shared" si="5"/>
        <v>556213</v>
      </c>
      <c r="Q64" s="357">
        <v>1000000</v>
      </c>
      <c r="R64" s="120"/>
      <c r="S64" s="120">
        <f t="shared" si="6"/>
        <v>1000000</v>
      </c>
      <c r="T64" s="120">
        <f t="shared" si="7"/>
        <v>1550000</v>
      </c>
      <c r="U64" s="120">
        <f t="shared" si="8"/>
        <v>5000000</v>
      </c>
      <c r="V64" s="120">
        <f t="shared" si="9"/>
        <v>5000000</v>
      </c>
      <c r="W64" s="120"/>
      <c r="X64" s="120"/>
      <c r="Y64" s="120"/>
      <c r="Z64" s="120"/>
      <c r="AA64" s="135"/>
      <c r="AB64" s="19" t="s">
        <v>775</v>
      </c>
      <c r="AC64" s="3">
        <v>742000</v>
      </c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217"/>
      <c r="AW64" s="217"/>
      <c r="AX64" s="217"/>
    </row>
    <row r="65" spans="1:51" s="5" customFormat="1" ht="55.2">
      <c r="A65" s="135">
        <f t="shared" si="0"/>
        <v>61</v>
      </c>
      <c r="B65" s="19">
        <v>2152</v>
      </c>
      <c r="C65" s="3" t="s">
        <v>387</v>
      </c>
      <c r="D65" s="120">
        <f>16000000+7500000-7500000</f>
        <v>16000000</v>
      </c>
      <c r="E65" s="120">
        <v>16000000</v>
      </c>
      <c r="F65" s="120">
        <f t="shared" si="1"/>
        <v>0</v>
      </c>
      <c r="G65" s="120">
        <v>1331810</v>
      </c>
      <c r="H65" s="120">
        <v>1313273</v>
      </c>
      <c r="I65" s="120"/>
      <c r="J65" s="120"/>
      <c r="K65" s="120">
        <f t="shared" si="2"/>
        <v>0</v>
      </c>
      <c r="L65" s="120">
        <f t="shared" si="3"/>
        <v>1313273</v>
      </c>
      <c r="M65" s="120">
        <f t="shared" si="10"/>
        <v>18537</v>
      </c>
      <c r="N65" s="120">
        <f>14668190-7168190+4000000-6500000-5000000</f>
        <v>0</v>
      </c>
      <c r="O65" s="120">
        <f t="shared" si="4"/>
        <v>14668190</v>
      </c>
      <c r="P65" s="120">
        <f t="shared" si="5"/>
        <v>18537</v>
      </c>
      <c r="Q65" s="357"/>
      <c r="R65" s="120"/>
      <c r="S65" s="120">
        <f t="shared" si="6"/>
        <v>0</v>
      </c>
      <c r="T65" s="120">
        <f t="shared" si="7"/>
        <v>0</v>
      </c>
      <c r="U65" s="120">
        <f t="shared" si="8"/>
        <v>0</v>
      </c>
      <c r="V65" s="120">
        <f t="shared" si="9"/>
        <v>0</v>
      </c>
      <c r="W65" s="120"/>
      <c r="X65" s="120"/>
      <c r="Y65" s="120"/>
      <c r="Z65" s="120"/>
      <c r="AA65" s="135"/>
      <c r="AB65" s="19" t="s">
        <v>630</v>
      </c>
      <c r="AC65" s="3">
        <v>810000</v>
      </c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217"/>
      <c r="AW65" s="217"/>
      <c r="AX65" s="217"/>
    </row>
    <row r="66" spans="1:51" s="5" customFormat="1" ht="45" customHeight="1">
      <c r="A66" s="135">
        <f t="shared" si="0"/>
        <v>62</v>
      </c>
      <c r="B66" s="19">
        <v>2153</v>
      </c>
      <c r="C66" s="3" t="s">
        <v>409</v>
      </c>
      <c r="D66" s="120">
        <v>225000000</v>
      </c>
      <c r="E66" s="120">
        <v>225000000</v>
      </c>
      <c r="F66" s="120">
        <f t="shared" si="1"/>
        <v>0</v>
      </c>
      <c r="G66" s="120">
        <v>1000000</v>
      </c>
      <c r="H66" s="120">
        <v>1999954</v>
      </c>
      <c r="I66" s="120"/>
      <c r="J66" s="120">
        <v>45</v>
      </c>
      <c r="K66" s="120">
        <f t="shared" si="2"/>
        <v>45</v>
      </c>
      <c r="L66" s="120">
        <f t="shared" si="3"/>
        <v>1999999</v>
      </c>
      <c r="M66" s="120">
        <f t="shared" si="10"/>
        <v>1</v>
      </c>
      <c r="N66" s="120">
        <f>1500000-200000</f>
        <v>1300000</v>
      </c>
      <c r="O66" s="120">
        <f t="shared" si="4"/>
        <v>221700000</v>
      </c>
      <c r="P66" s="120">
        <f t="shared" si="5"/>
        <v>-999999</v>
      </c>
      <c r="Q66" s="357">
        <v>1000000</v>
      </c>
      <c r="R66" s="120"/>
      <c r="S66" s="120">
        <f t="shared" si="6"/>
        <v>1000000</v>
      </c>
      <c r="T66" s="120">
        <f t="shared" si="7"/>
        <v>0</v>
      </c>
      <c r="U66" s="120">
        <f t="shared" si="8"/>
        <v>1300000</v>
      </c>
      <c r="V66" s="120">
        <f t="shared" si="9"/>
        <v>1300000</v>
      </c>
      <c r="W66" s="120"/>
      <c r="X66" s="120"/>
      <c r="Y66" s="120"/>
      <c r="Z66" s="120"/>
      <c r="AA66" s="135"/>
      <c r="AB66" s="19" t="s">
        <v>472</v>
      </c>
      <c r="AC66" s="3">
        <v>829000</v>
      </c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217"/>
      <c r="AW66" s="217"/>
      <c r="AX66" s="217"/>
    </row>
    <row r="67" spans="1:51" customFormat="1" ht="45" customHeight="1">
      <c r="A67" s="135">
        <f t="shared" si="0"/>
        <v>63</v>
      </c>
      <c r="B67" s="19">
        <v>2164</v>
      </c>
      <c r="C67" s="3" t="s">
        <v>397</v>
      </c>
      <c r="D67" s="120">
        <v>300000</v>
      </c>
      <c r="E67" s="120">
        <v>300000</v>
      </c>
      <c r="F67" s="120">
        <f t="shared" si="1"/>
        <v>0</v>
      </c>
      <c r="G67" s="120">
        <v>300000</v>
      </c>
      <c r="H67" s="120">
        <v>41092</v>
      </c>
      <c r="I67" s="120"/>
      <c r="J67" s="120">
        <v>4015</v>
      </c>
      <c r="K67" s="120">
        <f t="shared" si="2"/>
        <v>4015</v>
      </c>
      <c r="L67" s="120">
        <f t="shared" si="3"/>
        <v>45107</v>
      </c>
      <c r="M67" s="120">
        <f>P67+S67-250000</f>
        <v>4893</v>
      </c>
      <c r="N67" s="120">
        <f>250000-200000</f>
        <v>50000</v>
      </c>
      <c r="O67" s="120">
        <f t="shared" si="4"/>
        <v>200000</v>
      </c>
      <c r="P67" s="120">
        <f t="shared" si="5"/>
        <v>254893</v>
      </c>
      <c r="Q67" s="357"/>
      <c r="R67" s="120"/>
      <c r="S67" s="120">
        <f t="shared" si="6"/>
        <v>0</v>
      </c>
      <c r="T67" s="120">
        <f t="shared" si="7"/>
        <v>250000</v>
      </c>
      <c r="U67" s="120">
        <f t="shared" si="8"/>
        <v>-200000</v>
      </c>
      <c r="V67" s="120">
        <f t="shared" si="9"/>
        <v>0</v>
      </c>
      <c r="W67" s="120">
        <v>-200000</v>
      </c>
      <c r="X67" s="120"/>
      <c r="Y67" s="120"/>
      <c r="Z67" s="120"/>
      <c r="AA67" s="135"/>
      <c r="AB67" s="3" t="s">
        <v>398</v>
      </c>
      <c r="AC67" s="3">
        <v>742000</v>
      </c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217"/>
      <c r="AW67" s="217"/>
      <c r="AX67" s="217"/>
    </row>
    <row r="68" spans="1:51" s="5" customFormat="1" ht="45" customHeight="1">
      <c r="A68" s="135">
        <f t="shared" si="0"/>
        <v>64</v>
      </c>
      <c r="B68" s="19">
        <v>2175</v>
      </c>
      <c r="C68" s="3" t="s">
        <v>426</v>
      </c>
      <c r="D68" s="120">
        <v>21000000</v>
      </c>
      <c r="E68" s="120">
        <v>21000000</v>
      </c>
      <c r="F68" s="120">
        <f t="shared" si="1"/>
        <v>0</v>
      </c>
      <c r="G68" s="120">
        <f>12945297+4500000</f>
        <v>17445297</v>
      </c>
      <c r="H68" s="120">
        <v>17642170</v>
      </c>
      <c r="I68" s="120"/>
      <c r="J68" s="120"/>
      <c r="K68" s="120">
        <f t="shared" ref="K68:K110" si="11">SUM(I68:J68)</f>
        <v>0</v>
      </c>
      <c r="L68" s="120">
        <f t="shared" si="3"/>
        <v>17642170</v>
      </c>
      <c r="M68" s="120">
        <f>P68+S68-1300000</f>
        <v>3127</v>
      </c>
      <c r="N68" s="120">
        <f>2054703+1300000</f>
        <v>3354703</v>
      </c>
      <c r="O68" s="120">
        <f t="shared" si="4"/>
        <v>0</v>
      </c>
      <c r="P68" s="120">
        <f t="shared" si="5"/>
        <v>-196873</v>
      </c>
      <c r="Q68" s="357">
        <f>6000000-4500000</f>
        <v>1500000</v>
      </c>
      <c r="R68" s="120"/>
      <c r="S68" s="120">
        <f t="shared" ref="S68:S110" si="12">SUM(Q68:R68)</f>
        <v>1500000</v>
      </c>
      <c r="T68" s="120">
        <f t="shared" si="7"/>
        <v>1300000</v>
      </c>
      <c r="U68" s="120">
        <f t="shared" si="8"/>
        <v>2054703</v>
      </c>
      <c r="V68" s="120">
        <f t="shared" si="9"/>
        <v>1488188</v>
      </c>
      <c r="W68" s="120"/>
      <c r="X68" s="120"/>
      <c r="Y68" s="120"/>
      <c r="Z68" s="120"/>
      <c r="AA68" s="120">
        <v>566515</v>
      </c>
      <c r="AB68" s="3" t="s">
        <v>1387</v>
      </c>
      <c r="AC68" s="3">
        <v>810000</v>
      </c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217"/>
      <c r="AW68" s="217"/>
      <c r="AX68" s="217"/>
    </row>
    <row r="69" spans="1:51" s="452" customFormat="1" ht="45" customHeight="1">
      <c r="A69" s="469">
        <f t="shared" si="0"/>
        <v>65</v>
      </c>
      <c r="B69" s="455">
        <v>2180</v>
      </c>
      <c r="C69" s="448" t="s">
        <v>427</v>
      </c>
      <c r="D69" s="419">
        <f>1000000+1600000</f>
        <v>2600000</v>
      </c>
      <c r="E69" s="419">
        <v>1000000</v>
      </c>
      <c r="F69" s="419">
        <f t="shared" si="1"/>
        <v>1600000</v>
      </c>
      <c r="G69" s="419">
        <v>1000000</v>
      </c>
      <c r="H69" s="419">
        <v>481929</v>
      </c>
      <c r="I69" s="419"/>
      <c r="J69" s="419"/>
      <c r="K69" s="419">
        <f t="shared" si="11"/>
        <v>0</v>
      </c>
      <c r="L69" s="419">
        <f t="shared" si="3"/>
        <v>481929</v>
      </c>
      <c r="M69" s="419">
        <f>P69+S69-515000</f>
        <v>3071</v>
      </c>
      <c r="N69" s="419">
        <f>1600000-300000-500000+515000-800000</f>
        <v>515000</v>
      </c>
      <c r="O69" s="419">
        <f t="shared" si="4"/>
        <v>1600000</v>
      </c>
      <c r="P69" s="419">
        <f t="shared" si="5"/>
        <v>518071</v>
      </c>
      <c r="Q69" s="626"/>
      <c r="R69" s="419"/>
      <c r="S69" s="419">
        <f t="shared" si="12"/>
        <v>0</v>
      </c>
      <c r="T69" s="419">
        <f t="shared" si="7"/>
        <v>515000</v>
      </c>
      <c r="U69" s="419">
        <f t="shared" si="8"/>
        <v>0</v>
      </c>
      <c r="V69" s="419">
        <f t="shared" si="9"/>
        <v>0</v>
      </c>
      <c r="W69" s="419"/>
      <c r="X69" s="419"/>
      <c r="Y69" s="419"/>
      <c r="Z69" s="419"/>
      <c r="AA69" s="469"/>
      <c r="AB69" s="448" t="s">
        <v>473</v>
      </c>
      <c r="AC69" s="448">
        <v>732000</v>
      </c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750"/>
      <c r="AW69" s="750"/>
      <c r="AX69" s="750"/>
    </row>
    <row r="70" spans="1:51" s="5" customFormat="1" ht="45" customHeight="1">
      <c r="A70" s="135">
        <f t="shared" ref="A70:A116" si="13">A69+1</f>
        <v>66</v>
      </c>
      <c r="B70" s="19">
        <v>2182</v>
      </c>
      <c r="C70" s="3" t="s">
        <v>428</v>
      </c>
      <c r="D70" s="120">
        <v>3900000</v>
      </c>
      <c r="E70" s="120">
        <v>3900000</v>
      </c>
      <c r="F70" s="120">
        <f t="shared" ref="F70:F114" si="14">D70-E70</f>
        <v>0</v>
      </c>
      <c r="G70" s="120">
        <v>2000000</v>
      </c>
      <c r="H70" s="120">
        <v>1513466</v>
      </c>
      <c r="I70" s="120"/>
      <c r="J70" s="120"/>
      <c r="K70" s="120">
        <f t="shared" si="11"/>
        <v>0</v>
      </c>
      <c r="L70" s="120">
        <f t="shared" ref="L70:L110" si="15">K70+H70</f>
        <v>1513466</v>
      </c>
      <c r="M70" s="120">
        <f>P70+S70-830000</f>
        <v>6534</v>
      </c>
      <c r="N70" s="120">
        <f>1550000-950000+830000-400000</f>
        <v>1030000</v>
      </c>
      <c r="O70" s="120">
        <f t="shared" ref="O70:O114" si="16">D70-L70-M70-N70</f>
        <v>1350000</v>
      </c>
      <c r="P70" s="120">
        <f t="shared" ref="P70:P112" si="17">G70-L70</f>
        <v>486534</v>
      </c>
      <c r="Q70" s="357">
        <v>350000</v>
      </c>
      <c r="R70" s="120"/>
      <c r="S70" s="120">
        <f t="shared" si="12"/>
        <v>350000</v>
      </c>
      <c r="T70" s="120">
        <f t="shared" ref="T70:T112" si="18">P70-M70+S70</f>
        <v>830000</v>
      </c>
      <c r="U70" s="120">
        <f t="shared" ref="U70:U114" si="19">N70-T70</f>
        <v>200000</v>
      </c>
      <c r="V70" s="120">
        <f t="shared" ref="V70:V110" si="20">U70-Z70-X70-AA70-W70-Y70</f>
        <v>200000</v>
      </c>
      <c r="W70" s="120"/>
      <c r="X70" s="120"/>
      <c r="Y70" s="120"/>
      <c r="Z70" s="120"/>
      <c r="AA70" s="135"/>
      <c r="AB70" s="3" t="s">
        <v>1509</v>
      </c>
      <c r="AC70" s="3">
        <v>810000</v>
      </c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217"/>
      <c r="AW70" s="217"/>
      <c r="AX70" s="217"/>
    </row>
    <row r="71" spans="1:51" s="5" customFormat="1" ht="45" customHeight="1">
      <c r="A71" s="135">
        <f t="shared" si="13"/>
        <v>67</v>
      </c>
      <c r="B71" s="19">
        <v>2185</v>
      </c>
      <c r="C71" s="3" t="s">
        <v>429</v>
      </c>
      <c r="D71" s="120">
        <v>40000000</v>
      </c>
      <c r="E71" s="120">
        <v>40000000</v>
      </c>
      <c r="F71" s="120">
        <f t="shared" si="14"/>
        <v>0</v>
      </c>
      <c r="G71" s="120">
        <v>5387282</v>
      </c>
      <c r="H71" s="120">
        <v>3549893</v>
      </c>
      <c r="I71" s="120"/>
      <c r="J71" s="120"/>
      <c r="K71" s="120">
        <f t="shared" si="11"/>
        <v>0</v>
      </c>
      <c r="L71" s="120">
        <f t="shared" si="15"/>
        <v>3549893</v>
      </c>
      <c r="M71" s="120">
        <f>P71+S71-1500000-330000</f>
        <v>7389</v>
      </c>
      <c r="N71" s="120">
        <f>30214093+1500000-12200000-10000000+330000-4000000</f>
        <v>5844093</v>
      </c>
      <c r="O71" s="120">
        <f t="shared" si="16"/>
        <v>30598625</v>
      </c>
      <c r="P71" s="120">
        <f t="shared" si="17"/>
        <v>1837389</v>
      </c>
      <c r="Q71" s="357">
        <f>4398625-4398625</f>
        <v>0</v>
      </c>
      <c r="R71" s="120"/>
      <c r="S71" s="120">
        <f t="shared" si="12"/>
        <v>0</v>
      </c>
      <c r="T71" s="120">
        <f t="shared" si="18"/>
        <v>1830000</v>
      </c>
      <c r="U71" s="120">
        <f t="shared" si="19"/>
        <v>4014093</v>
      </c>
      <c r="V71" s="120">
        <f t="shared" si="20"/>
        <v>4014093</v>
      </c>
      <c r="W71" s="120"/>
      <c r="X71" s="120"/>
      <c r="Y71" s="120"/>
      <c r="Z71" s="120"/>
      <c r="AA71" s="135"/>
      <c r="AB71" s="3" t="s">
        <v>828</v>
      </c>
      <c r="AC71" s="3">
        <v>810000</v>
      </c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217"/>
      <c r="AW71" s="217"/>
      <c r="AX71" s="217"/>
    </row>
    <row r="72" spans="1:51" s="5" customFormat="1" ht="45" customHeight="1">
      <c r="A72" s="135">
        <f t="shared" si="13"/>
        <v>68</v>
      </c>
      <c r="B72" s="19">
        <v>2191</v>
      </c>
      <c r="C72" s="3" t="s">
        <v>491</v>
      </c>
      <c r="D72" s="120">
        <v>14000000</v>
      </c>
      <c r="E72" s="120">
        <v>14000000</v>
      </c>
      <c r="F72" s="120">
        <f t="shared" si="14"/>
        <v>0</v>
      </c>
      <c r="G72" s="120">
        <v>700000</v>
      </c>
      <c r="H72" s="120">
        <v>482960</v>
      </c>
      <c r="I72" s="120"/>
      <c r="J72" s="120"/>
      <c r="K72" s="120">
        <f t="shared" si="11"/>
        <v>0</v>
      </c>
      <c r="L72" s="120">
        <f t="shared" si="15"/>
        <v>482960</v>
      </c>
      <c r="M72" s="120">
        <f>P72+S72-210000</f>
        <v>7040</v>
      </c>
      <c r="N72" s="120">
        <v>210000</v>
      </c>
      <c r="O72" s="120">
        <f t="shared" si="16"/>
        <v>13300000</v>
      </c>
      <c r="P72" s="120">
        <f t="shared" si="17"/>
        <v>217040</v>
      </c>
      <c r="Q72" s="357"/>
      <c r="R72" s="120"/>
      <c r="S72" s="120">
        <f t="shared" si="12"/>
        <v>0</v>
      </c>
      <c r="T72" s="120">
        <f t="shared" si="18"/>
        <v>210000</v>
      </c>
      <c r="U72" s="120">
        <f t="shared" si="19"/>
        <v>0</v>
      </c>
      <c r="V72" s="120">
        <f t="shared" si="20"/>
        <v>0</v>
      </c>
      <c r="W72" s="120"/>
      <c r="X72" s="120"/>
      <c r="Y72" s="120"/>
      <c r="Z72" s="120"/>
      <c r="AA72" s="135"/>
      <c r="AB72" s="3" t="s">
        <v>631</v>
      </c>
      <c r="AC72" s="3">
        <v>742000</v>
      </c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217"/>
      <c r="AW72" s="217"/>
      <c r="AX72" s="217"/>
    </row>
    <row r="73" spans="1:51" s="5" customFormat="1" ht="45" customHeight="1">
      <c r="A73" s="135">
        <f t="shared" si="13"/>
        <v>69</v>
      </c>
      <c r="B73" s="19">
        <v>2194</v>
      </c>
      <c r="C73" s="3" t="s">
        <v>494</v>
      </c>
      <c r="D73" s="120">
        <v>700000</v>
      </c>
      <c r="E73" s="120">
        <v>700000</v>
      </c>
      <c r="F73" s="120">
        <f t="shared" si="14"/>
        <v>0</v>
      </c>
      <c r="G73" s="120">
        <v>100000</v>
      </c>
      <c r="H73" s="120"/>
      <c r="I73" s="120"/>
      <c r="J73" s="120"/>
      <c r="K73" s="120">
        <f t="shared" si="11"/>
        <v>0</v>
      </c>
      <c r="L73" s="120">
        <f t="shared" si="15"/>
        <v>0</v>
      </c>
      <c r="M73" s="120">
        <f>P73+S73-100000</f>
        <v>0</v>
      </c>
      <c r="N73" s="120">
        <f>300000-300000</f>
        <v>0</v>
      </c>
      <c r="O73" s="120">
        <f t="shared" si="16"/>
        <v>700000</v>
      </c>
      <c r="P73" s="120">
        <f t="shared" si="17"/>
        <v>100000</v>
      </c>
      <c r="Q73" s="357"/>
      <c r="R73" s="120"/>
      <c r="S73" s="120">
        <f t="shared" si="12"/>
        <v>0</v>
      </c>
      <c r="T73" s="120">
        <f t="shared" si="18"/>
        <v>100000</v>
      </c>
      <c r="U73" s="120">
        <f t="shared" si="19"/>
        <v>-100000</v>
      </c>
      <c r="V73" s="120">
        <f t="shared" si="20"/>
        <v>-100000</v>
      </c>
      <c r="W73" s="120"/>
      <c r="X73" s="120"/>
      <c r="Y73" s="120"/>
      <c r="Z73" s="120"/>
      <c r="AA73" s="135"/>
      <c r="AB73" s="3" t="s">
        <v>632</v>
      </c>
      <c r="AC73" s="3">
        <v>742000</v>
      </c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217"/>
      <c r="AW73" s="217"/>
      <c r="AX73" s="217"/>
    </row>
    <row r="74" spans="1:51" s="5" customFormat="1" ht="82.8">
      <c r="A74" s="135">
        <f t="shared" si="13"/>
        <v>70</v>
      </c>
      <c r="B74" s="19">
        <v>2195</v>
      </c>
      <c r="C74" s="3" t="s">
        <v>495</v>
      </c>
      <c r="D74" s="4">
        <v>2300000</v>
      </c>
      <c r="E74" s="4">
        <v>2300000</v>
      </c>
      <c r="F74" s="4">
        <f t="shared" si="14"/>
        <v>0</v>
      </c>
      <c r="G74" s="4">
        <v>0</v>
      </c>
      <c r="H74" s="4"/>
      <c r="I74" s="4"/>
      <c r="J74" s="4"/>
      <c r="K74" s="4">
        <f>SUM(I74:J74)</f>
        <v>0</v>
      </c>
      <c r="L74" s="4">
        <f>H74+K74</f>
        <v>0</v>
      </c>
      <c r="M74" s="4">
        <f>P74+S74-100000</f>
        <v>0</v>
      </c>
      <c r="N74" s="4">
        <f>2300000-100000-2050000-50000</f>
        <v>100000</v>
      </c>
      <c r="O74" s="4">
        <f t="shared" si="16"/>
        <v>2200000</v>
      </c>
      <c r="P74" s="4">
        <f t="shared" si="17"/>
        <v>0</v>
      </c>
      <c r="Q74" s="354">
        <v>100000</v>
      </c>
      <c r="R74" s="4"/>
      <c r="S74" s="4">
        <f t="shared" si="12"/>
        <v>100000</v>
      </c>
      <c r="T74" s="4">
        <f t="shared" si="18"/>
        <v>100000</v>
      </c>
      <c r="U74" s="4">
        <f t="shared" si="19"/>
        <v>0</v>
      </c>
      <c r="V74" s="4">
        <f>U74-AA74-W74-Z74-Y74-X74</f>
        <v>0</v>
      </c>
      <c r="W74" s="4"/>
      <c r="X74" s="4"/>
      <c r="Y74" s="4"/>
      <c r="Z74" s="4"/>
      <c r="AA74" s="3"/>
      <c r="AB74" s="3" t="s">
        <v>1510</v>
      </c>
      <c r="AC74" s="3">
        <v>742000</v>
      </c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8"/>
      <c r="AW74" s="18"/>
      <c r="AX74" s="18"/>
      <c r="AY74" s="18"/>
    </row>
    <row r="75" spans="1:51" s="5" customFormat="1" ht="45" customHeight="1">
      <c r="A75" s="135">
        <f t="shared" si="13"/>
        <v>71</v>
      </c>
      <c r="B75" s="19">
        <v>2196</v>
      </c>
      <c r="C75" s="3" t="s">
        <v>496</v>
      </c>
      <c r="D75" s="120">
        <v>21135000</v>
      </c>
      <c r="E75" s="120">
        <v>21135000</v>
      </c>
      <c r="F75" s="120">
        <f t="shared" si="14"/>
        <v>0</v>
      </c>
      <c r="G75" s="120">
        <v>1000000</v>
      </c>
      <c r="H75" s="120">
        <v>982316</v>
      </c>
      <c r="I75" s="120"/>
      <c r="J75" s="120"/>
      <c r="K75" s="120">
        <f t="shared" si="11"/>
        <v>0</v>
      </c>
      <c r="L75" s="120">
        <f t="shared" si="15"/>
        <v>982316</v>
      </c>
      <c r="M75" s="120">
        <f>P75+S75-510000</f>
        <v>7684</v>
      </c>
      <c r="N75" s="120">
        <v>510000</v>
      </c>
      <c r="O75" s="120">
        <f t="shared" si="16"/>
        <v>19635000</v>
      </c>
      <c r="P75" s="120">
        <f t="shared" si="17"/>
        <v>17684</v>
      </c>
      <c r="Q75" s="357">
        <f>1000000-500000</f>
        <v>500000</v>
      </c>
      <c r="R75" s="120"/>
      <c r="S75" s="120">
        <f t="shared" si="12"/>
        <v>500000</v>
      </c>
      <c r="T75" s="120">
        <f t="shared" si="18"/>
        <v>510000</v>
      </c>
      <c r="U75" s="120">
        <f t="shared" si="19"/>
        <v>0</v>
      </c>
      <c r="V75" s="120">
        <f t="shared" si="20"/>
        <v>0</v>
      </c>
      <c r="W75" s="120"/>
      <c r="X75" s="120"/>
      <c r="Y75" s="120"/>
      <c r="Z75" s="120"/>
      <c r="AA75" s="135"/>
      <c r="AB75" s="3" t="s">
        <v>633</v>
      </c>
      <c r="AC75" s="3">
        <v>742000</v>
      </c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217"/>
      <c r="AW75" s="217"/>
      <c r="AX75" s="217"/>
    </row>
    <row r="76" spans="1:51" s="5" customFormat="1" ht="45" customHeight="1">
      <c r="A76" s="135">
        <f t="shared" si="13"/>
        <v>72</v>
      </c>
      <c r="B76" s="19">
        <v>2197</v>
      </c>
      <c r="C76" s="3" t="s">
        <v>497</v>
      </c>
      <c r="D76" s="120">
        <v>15160000</v>
      </c>
      <c r="E76" s="120">
        <v>15160000</v>
      </c>
      <c r="F76" s="120">
        <f t="shared" si="14"/>
        <v>0</v>
      </c>
      <c r="G76" s="120">
        <v>700000</v>
      </c>
      <c r="H76" s="120">
        <v>697954</v>
      </c>
      <c r="I76" s="120"/>
      <c r="J76" s="120"/>
      <c r="K76" s="120">
        <f t="shared" si="11"/>
        <v>0</v>
      </c>
      <c r="L76" s="120">
        <f t="shared" si="15"/>
        <v>697954</v>
      </c>
      <c r="M76" s="120">
        <f t="shared" ref="M76:M94" si="21">P76+S76</f>
        <v>2046</v>
      </c>
      <c r="N76" s="120">
        <f>14460000-14460000</f>
        <v>0</v>
      </c>
      <c r="O76" s="120">
        <f t="shared" si="16"/>
        <v>14460000</v>
      </c>
      <c r="P76" s="120">
        <f t="shared" si="17"/>
        <v>2046</v>
      </c>
      <c r="Q76" s="357"/>
      <c r="R76" s="120"/>
      <c r="S76" s="120">
        <f t="shared" si="12"/>
        <v>0</v>
      </c>
      <c r="T76" s="120">
        <f t="shared" si="18"/>
        <v>0</v>
      </c>
      <c r="U76" s="120">
        <f t="shared" si="19"/>
        <v>0</v>
      </c>
      <c r="V76" s="120">
        <f t="shared" si="20"/>
        <v>0</v>
      </c>
      <c r="W76" s="120"/>
      <c r="X76" s="120"/>
      <c r="Y76" s="120"/>
      <c r="Z76" s="120"/>
      <c r="AA76" s="135"/>
      <c r="AB76" s="3" t="s">
        <v>885</v>
      </c>
      <c r="AC76" s="3">
        <v>742000</v>
      </c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217"/>
      <c r="AW76" s="217"/>
      <c r="AX76" s="217"/>
    </row>
    <row r="77" spans="1:51" s="5" customFormat="1" ht="45" customHeight="1">
      <c r="A77" s="135">
        <f t="shared" si="13"/>
        <v>73</v>
      </c>
      <c r="B77" s="19">
        <v>2198</v>
      </c>
      <c r="C77" s="3" t="s">
        <v>498</v>
      </c>
      <c r="D77" s="120">
        <v>16030000</v>
      </c>
      <c r="E77" s="120">
        <v>16030000</v>
      </c>
      <c r="F77" s="120">
        <f t="shared" si="14"/>
        <v>0</v>
      </c>
      <c r="G77" s="120">
        <v>800000</v>
      </c>
      <c r="H77" s="120">
        <v>740050</v>
      </c>
      <c r="I77" s="120"/>
      <c r="J77" s="120"/>
      <c r="K77" s="120">
        <f t="shared" si="11"/>
        <v>0</v>
      </c>
      <c r="L77" s="120">
        <f t="shared" si="15"/>
        <v>740050</v>
      </c>
      <c r="M77" s="120">
        <f>P77+S77-55000</f>
        <v>4950</v>
      </c>
      <c r="N77" s="120">
        <v>55000</v>
      </c>
      <c r="O77" s="120">
        <f t="shared" si="16"/>
        <v>15230000</v>
      </c>
      <c r="P77" s="120">
        <f t="shared" si="17"/>
        <v>59950</v>
      </c>
      <c r="Q77" s="357"/>
      <c r="R77" s="120"/>
      <c r="S77" s="120">
        <f t="shared" si="12"/>
        <v>0</v>
      </c>
      <c r="T77" s="120">
        <f t="shared" si="18"/>
        <v>55000</v>
      </c>
      <c r="U77" s="120">
        <f t="shared" si="19"/>
        <v>0</v>
      </c>
      <c r="V77" s="120">
        <f t="shared" si="20"/>
        <v>0</v>
      </c>
      <c r="W77" s="120"/>
      <c r="X77" s="120"/>
      <c r="Y77" s="120"/>
      <c r="Z77" s="120"/>
      <c r="AA77" s="135"/>
      <c r="AB77" s="3" t="s">
        <v>672</v>
      </c>
      <c r="AC77" s="3">
        <v>742000</v>
      </c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217"/>
      <c r="AW77" s="217"/>
      <c r="AX77" s="217"/>
    </row>
    <row r="78" spans="1:51" s="5" customFormat="1" ht="69">
      <c r="A78" s="135">
        <f t="shared" si="13"/>
        <v>74</v>
      </c>
      <c r="B78" s="19">
        <v>2201</v>
      </c>
      <c r="C78" s="3" t="s">
        <v>476</v>
      </c>
      <c r="D78" s="120">
        <f>130000000-10000000</f>
        <v>120000000</v>
      </c>
      <c r="E78" s="120">
        <v>80000000</v>
      </c>
      <c r="F78" s="120">
        <f t="shared" si="14"/>
        <v>40000000</v>
      </c>
      <c r="G78" s="120">
        <f>2500000+2000000</f>
        <v>4500000</v>
      </c>
      <c r="H78" s="120">
        <v>6690820</v>
      </c>
      <c r="I78" s="120"/>
      <c r="J78" s="120"/>
      <c r="K78" s="120">
        <f t="shared" si="11"/>
        <v>0</v>
      </c>
      <c r="L78" s="120">
        <f t="shared" si="15"/>
        <v>6690820</v>
      </c>
      <c r="M78" s="120">
        <f>P78+S78-2880000</f>
        <v>5935</v>
      </c>
      <c r="N78" s="120">
        <f>50000000+10000000-40000000+2880000-4000000</f>
        <v>18880000</v>
      </c>
      <c r="O78" s="120">
        <f t="shared" si="16"/>
        <v>94423245</v>
      </c>
      <c r="P78" s="120">
        <f t="shared" si="17"/>
        <v>-2190820</v>
      </c>
      <c r="Q78" s="357">
        <v>5076755</v>
      </c>
      <c r="R78" s="120"/>
      <c r="S78" s="120">
        <f t="shared" si="12"/>
        <v>5076755</v>
      </c>
      <c r="T78" s="120">
        <f t="shared" si="18"/>
        <v>2880000</v>
      </c>
      <c r="U78" s="120">
        <f t="shared" si="19"/>
        <v>16000000</v>
      </c>
      <c r="V78" s="120">
        <f t="shared" si="20"/>
        <v>16000000</v>
      </c>
      <c r="W78" s="120"/>
      <c r="X78" s="120"/>
      <c r="Y78" s="120"/>
      <c r="Z78" s="120"/>
      <c r="AA78" s="135"/>
      <c r="AB78" s="3" t="s">
        <v>829</v>
      </c>
      <c r="AC78" s="3">
        <v>810000</v>
      </c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217"/>
      <c r="AW78" s="217"/>
      <c r="AX78" s="217"/>
    </row>
    <row r="79" spans="1:51" s="5" customFormat="1" ht="45" customHeight="1">
      <c r="A79" s="135">
        <f t="shared" si="13"/>
        <v>75</v>
      </c>
      <c r="B79" s="19">
        <v>2202</v>
      </c>
      <c r="C79" s="3" t="s">
        <v>477</v>
      </c>
      <c r="D79" s="120">
        <v>49000000</v>
      </c>
      <c r="E79" s="120">
        <v>49000000</v>
      </c>
      <c r="F79" s="120">
        <f t="shared" si="14"/>
        <v>0</v>
      </c>
      <c r="G79" s="120">
        <v>1200000</v>
      </c>
      <c r="H79" s="120">
        <v>1195951</v>
      </c>
      <c r="I79" s="120"/>
      <c r="J79" s="120">
        <v>838</v>
      </c>
      <c r="K79" s="120">
        <f t="shared" si="11"/>
        <v>838</v>
      </c>
      <c r="L79" s="120">
        <f t="shared" si="15"/>
        <v>1196789</v>
      </c>
      <c r="M79" s="120">
        <f t="shared" si="21"/>
        <v>3211</v>
      </c>
      <c r="N79" s="120">
        <f>25000000-11000000-14000000</f>
        <v>0</v>
      </c>
      <c r="O79" s="120">
        <f t="shared" si="16"/>
        <v>47800000</v>
      </c>
      <c r="P79" s="120">
        <f t="shared" si="17"/>
        <v>3211</v>
      </c>
      <c r="Q79" s="357"/>
      <c r="R79" s="120"/>
      <c r="S79" s="120">
        <f t="shared" si="12"/>
        <v>0</v>
      </c>
      <c r="T79" s="120">
        <f t="shared" si="18"/>
        <v>0</v>
      </c>
      <c r="U79" s="120">
        <f t="shared" si="19"/>
        <v>0</v>
      </c>
      <c r="V79" s="120">
        <f t="shared" si="20"/>
        <v>0</v>
      </c>
      <c r="W79" s="120"/>
      <c r="X79" s="120"/>
      <c r="Y79" s="120"/>
      <c r="Z79" s="120"/>
      <c r="AA79" s="135"/>
      <c r="AB79" s="3" t="s">
        <v>634</v>
      </c>
      <c r="AC79" s="3">
        <v>810000</v>
      </c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217"/>
      <c r="AW79" s="217"/>
      <c r="AX79" s="217"/>
    </row>
    <row r="80" spans="1:51" s="5" customFormat="1" ht="45" customHeight="1">
      <c r="A80" s="135">
        <f t="shared" si="13"/>
        <v>76</v>
      </c>
      <c r="B80" s="19">
        <v>2203</v>
      </c>
      <c r="C80" s="3" t="s">
        <v>719</v>
      </c>
      <c r="D80" s="120">
        <v>1700000</v>
      </c>
      <c r="E80" s="120">
        <v>1000000</v>
      </c>
      <c r="F80" s="120">
        <f t="shared" si="14"/>
        <v>700000</v>
      </c>
      <c r="G80" s="120">
        <v>1000000</v>
      </c>
      <c r="H80" s="120">
        <v>743174</v>
      </c>
      <c r="I80" s="120"/>
      <c r="J80" s="120"/>
      <c r="K80" s="120">
        <f t="shared" si="11"/>
        <v>0</v>
      </c>
      <c r="L80" s="120">
        <f t="shared" si="15"/>
        <v>743174</v>
      </c>
      <c r="M80" s="120">
        <f>P80+S80-250000</f>
        <v>6826</v>
      </c>
      <c r="N80" s="120">
        <f>700000+250000-200000</f>
        <v>750000</v>
      </c>
      <c r="O80" s="120">
        <f t="shared" si="16"/>
        <v>200000</v>
      </c>
      <c r="P80" s="120">
        <f t="shared" si="17"/>
        <v>256826</v>
      </c>
      <c r="Q80" s="357"/>
      <c r="R80" s="120"/>
      <c r="S80" s="120">
        <f t="shared" si="12"/>
        <v>0</v>
      </c>
      <c r="T80" s="120">
        <f t="shared" si="18"/>
        <v>250000</v>
      </c>
      <c r="U80" s="120">
        <f t="shared" si="19"/>
        <v>500000</v>
      </c>
      <c r="V80" s="120">
        <f t="shared" si="20"/>
        <v>500000</v>
      </c>
      <c r="W80" s="120"/>
      <c r="X80" s="120"/>
      <c r="Y80" s="120"/>
      <c r="Z80" s="120"/>
      <c r="AA80" s="135"/>
      <c r="AB80" s="3" t="s">
        <v>886</v>
      </c>
      <c r="AC80" s="342">
        <v>829000</v>
      </c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217"/>
      <c r="AW80" s="217"/>
      <c r="AX80" s="217"/>
    </row>
    <row r="81" spans="1:51" s="5" customFormat="1" ht="45" customHeight="1">
      <c r="A81" s="135">
        <f t="shared" si="13"/>
        <v>77</v>
      </c>
      <c r="B81" s="19">
        <v>2205</v>
      </c>
      <c r="C81" s="3" t="s">
        <v>438</v>
      </c>
      <c r="D81" s="120">
        <f>18000000+275000</f>
        <v>18275000</v>
      </c>
      <c r="E81" s="120">
        <v>18000000</v>
      </c>
      <c r="F81" s="120">
        <f t="shared" si="14"/>
        <v>275000</v>
      </c>
      <c r="G81" s="120">
        <f>10000000+2000000</f>
        <v>12000000</v>
      </c>
      <c r="H81" s="120">
        <v>16546009</v>
      </c>
      <c r="I81" s="120"/>
      <c r="J81" s="120">
        <v>22511</v>
      </c>
      <c r="K81" s="120">
        <f t="shared" si="11"/>
        <v>22511</v>
      </c>
      <c r="L81" s="120">
        <f t="shared" si="15"/>
        <v>16568520</v>
      </c>
      <c r="M81" s="120">
        <f>P81+S81-1430000</f>
        <v>1480</v>
      </c>
      <c r="N81" s="120">
        <f>275000+1430000</f>
        <v>1705000</v>
      </c>
      <c r="O81" s="120">
        <f t="shared" si="16"/>
        <v>0</v>
      </c>
      <c r="P81" s="120">
        <f t="shared" si="17"/>
        <v>-4568520</v>
      </c>
      <c r="Q81" s="357">
        <f>8000000-2000000</f>
        <v>6000000</v>
      </c>
      <c r="R81" s="120"/>
      <c r="S81" s="120">
        <f t="shared" si="12"/>
        <v>6000000</v>
      </c>
      <c r="T81" s="120">
        <f t="shared" si="18"/>
        <v>1430000</v>
      </c>
      <c r="U81" s="120">
        <f t="shared" si="19"/>
        <v>275000</v>
      </c>
      <c r="V81" s="120">
        <f t="shared" si="20"/>
        <v>275000</v>
      </c>
      <c r="W81" s="120"/>
      <c r="X81" s="120"/>
      <c r="Y81" s="120"/>
      <c r="Z81" s="120"/>
      <c r="AA81" s="135"/>
      <c r="AB81" s="19" t="s">
        <v>830</v>
      </c>
      <c r="AC81" s="3">
        <v>810000</v>
      </c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217"/>
      <c r="AW81" s="217"/>
      <c r="AX81" s="217"/>
    </row>
    <row r="82" spans="1:51" s="5" customFormat="1" ht="45" customHeight="1">
      <c r="A82" s="135">
        <f t="shared" si="13"/>
        <v>78</v>
      </c>
      <c r="B82" s="19">
        <v>2206</v>
      </c>
      <c r="C82" s="3" t="s">
        <v>478</v>
      </c>
      <c r="D82" s="120">
        <v>92000000</v>
      </c>
      <c r="E82" s="120">
        <v>92000000</v>
      </c>
      <c r="F82" s="120">
        <f t="shared" si="14"/>
        <v>0</v>
      </c>
      <c r="G82" s="120">
        <v>2273187</v>
      </c>
      <c r="H82" s="120">
        <v>2849931</v>
      </c>
      <c r="I82" s="120"/>
      <c r="J82" s="120"/>
      <c r="K82" s="120">
        <f t="shared" si="11"/>
        <v>0</v>
      </c>
      <c r="L82" s="120">
        <f t="shared" si="15"/>
        <v>2849931</v>
      </c>
      <c r="M82" s="120">
        <f t="shared" si="21"/>
        <v>16620</v>
      </c>
      <c r="N82" s="120">
        <f>36000000-9000000-9000000-5000000</f>
        <v>13000000</v>
      </c>
      <c r="O82" s="120">
        <f t="shared" si="16"/>
        <v>76133449</v>
      </c>
      <c r="P82" s="120">
        <f t="shared" si="17"/>
        <v>-576744</v>
      </c>
      <c r="Q82" s="357">
        <v>593364</v>
      </c>
      <c r="R82" s="120"/>
      <c r="S82" s="120">
        <f t="shared" si="12"/>
        <v>593364</v>
      </c>
      <c r="T82" s="120">
        <f t="shared" si="18"/>
        <v>0</v>
      </c>
      <c r="U82" s="120">
        <f t="shared" si="19"/>
        <v>13000000</v>
      </c>
      <c r="V82" s="120">
        <f t="shared" si="20"/>
        <v>13000000</v>
      </c>
      <c r="W82" s="120"/>
      <c r="X82" s="120"/>
      <c r="Y82" s="120"/>
      <c r="Z82" s="120"/>
      <c r="AA82" s="135"/>
      <c r="AB82" s="20" t="s">
        <v>831</v>
      </c>
      <c r="AC82" s="3">
        <v>810000</v>
      </c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217"/>
      <c r="AW82" s="217"/>
      <c r="AX82" s="217"/>
    </row>
    <row r="83" spans="1:51" s="5" customFormat="1" ht="45" customHeight="1">
      <c r="A83" s="135">
        <f t="shared" si="13"/>
        <v>79</v>
      </c>
      <c r="B83" s="19">
        <v>2208</v>
      </c>
      <c r="C83" s="3" t="s">
        <v>479</v>
      </c>
      <c r="D83" s="120">
        <f>12750000-12000000-250000-298391</f>
        <v>201609</v>
      </c>
      <c r="E83" s="120">
        <v>12750000</v>
      </c>
      <c r="F83" s="120">
        <f t="shared" si="14"/>
        <v>-12548391</v>
      </c>
      <c r="G83" s="120">
        <v>500000</v>
      </c>
      <c r="H83" s="120">
        <v>201609</v>
      </c>
      <c r="I83" s="120"/>
      <c r="J83" s="120"/>
      <c r="K83" s="120">
        <f t="shared" si="11"/>
        <v>0</v>
      </c>
      <c r="L83" s="120">
        <f t="shared" si="15"/>
        <v>201609</v>
      </c>
      <c r="M83" s="120">
        <f>P83+S83-250000-298391</f>
        <v>0</v>
      </c>
      <c r="N83" s="120">
        <f>6000000-6000000</f>
        <v>0</v>
      </c>
      <c r="O83" s="120">
        <f t="shared" si="16"/>
        <v>0</v>
      </c>
      <c r="P83" s="120">
        <f t="shared" si="17"/>
        <v>298391</v>
      </c>
      <c r="Q83" s="357">
        <v>250000</v>
      </c>
      <c r="R83" s="120"/>
      <c r="S83" s="120">
        <f t="shared" si="12"/>
        <v>250000</v>
      </c>
      <c r="T83" s="120">
        <f t="shared" si="18"/>
        <v>548391</v>
      </c>
      <c r="U83" s="120">
        <f t="shared" si="19"/>
        <v>-548391</v>
      </c>
      <c r="V83" s="120">
        <f t="shared" si="20"/>
        <v>-548391</v>
      </c>
      <c r="W83" s="120"/>
      <c r="X83" s="120"/>
      <c r="Y83" s="120"/>
      <c r="Z83" s="120"/>
      <c r="AA83" s="135"/>
      <c r="AB83" s="3" t="s">
        <v>1513</v>
      </c>
      <c r="AC83" s="342">
        <v>850000</v>
      </c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217"/>
      <c r="AW83" s="217"/>
      <c r="AX83" s="217"/>
    </row>
    <row r="84" spans="1:51" s="5" customFormat="1" ht="45" customHeight="1">
      <c r="A84" s="135">
        <f t="shared" si="13"/>
        <v>80</v>
      </c>
      <c r="B84" s="19">
        <v>2209</v>
      </c>
      <c r="C84" s="3" t="s">
        <v>480</v>
      </c>
      <c r="D84" s="120">
        <v>46500000</v>
      </c>
      <c r="E84" s="120">
        <v>46500000</v>
      </c>
      <c r="F84" s="120">
        <f t="shared" si="14"/>
        <v>0</v>
      </c>
      <c r="G84" s="120">
        <v>1500000</v>
      </c>
      <c r="H84" s="120">
        <v>1045608</v>
      </c>
      <c r="I84" s="120"/>
      <c r="J84" s="120"/>
      <c r="K84" s="120">
        <f t="shared" si="11"/>
        <v>0</v>
      </c>
      <c r="L84" s="120">
        <f t="shared" si="15"/>
        <v>1045608</v>
      </c>
      <c r="M84" s="120">
        <f>P84+S84-450000</f>
        <v>4392</v>
      </c>
      <c r="N84" s="120">
        <f>25000000-13000000-4000000+450000-2000000-1000000-450000</f>
        <v>5000000</v>
      </c>
      <c r="O84" s="120">
        <f t="shared" si="16"/>
        <v>40450000</v>
      </c>
      <c r="P84" s="120">
        <f t="shared" si="17"/>
        <v>454392</v>
      </c>
      <c r="Q84" s="357"/>
      <c r="R84" s="120"/>
      <c r="S84" s="120">
        <f t="shared" si="12"/>
        <v>0</v>
      </c>
      <c r="T84" s="120">
        <f t="shared" si="18"/>
        <v>450000</v>
      </c>
      <c r="U84" s="120">
        <f t="shared" si="19"/>
        <v>4550000</v>
      </c>
      <c r="V84" s="120">
        <f t="shared" si="20"/>
        <v>4550000</v>
      </c>
      <c r="W84" s="120"/>
      <c r="X84" s="120"/>
      <c r="Y84" s="120"/>
      <c r="Z84" s="120"/>
      <c r="AA84" s="135"/>
      <c r="AB84" s="19" t="s">
        <v>832</v>
      </c>
      <c r="AC84" s="3">
        <v>810000</v>
      </c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217"/>
      <c r="AW84" s="217"/>
      <c r="AX84" s="217"/>
    </row>
    <row r="85" spans="1:51" s="157" customFormat="1" ht="52.95" customHeight="1">
      <c r="A85" s="135">
        <f t="shared" si="13"/>
        <v>81</v>
      </c>
      <c r="B85" s="212">
        <v>2213</v>
      </c>
      <c r="C85" s="3" t="s">
        <v>449</v>
      </c>
      <c r="D85" s="120">
        <v>7100000</v>
      </c>
      <c r="E85" s="120">
        <v>7100000</v>
      </c>
      <c r="F85" s="120">
        <f t="shared" si="14"/>
        <v>0</v>
      </c>
      <c r="G85" s="120">
        <v>7100000</v>
      </c>
      <c r="H85" s="120">
        <v>5524946</v>
      </c>
      <c r="I85" s="120"/>
      <c r="J85" s="120"/>
      <c r="K85" s="120">
        <f t="shared" si="11"/>
        <v>0</v>
      </c>
      <c r="L85" s="120">
        <f t="shared" si="15"/>
        <v>5524946</v>
      </c>
      <c r="M85" s="120">
        <f>P85+S85-1570000</f>
        <v>5054</v>
      </c>
      <c r="N85" s="120">
        <v>1570000</v>
      </c>
      <c r="O85" s="120">
        <f t="shared" si="16"/>
        <v>0</v>
      </c>
      <c r="P85" s="120">
        <f t="shared" si="17"/>
        <v>1575054</v>
      </c>
      <c r="Q85" s="357"/>
      <c r="R85" s="120"/>
      <c r="S85" s="120">
        <f t="shared" si="12"/>
        <v>0</v>
      </c>
      <c r="T85" s="120">
        <f t="shared" si="18"/>
        <v>1570000</v>
      </c>
      <c r="U85" s="120">
        <f t="shared" si="19"/>
        <v>0</v>
      </c>
      <c r="V85" s="120">
        <f t="shared" si="20"/>
        <v>0</v>
      </c>
      <c r="W85" s="120"/>
      <c r="X85" s="120"/>
      <c r="Y85" s="120"/>
      <c r="Z85" s="120"/>
      <c r="AA85" s="135"/>
      <c r="AB85" s="3" t="s">
        <v>961</v>
      </c>
      <c r="AC85" s="3">
        <v>870000</v>
      </c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217"/>
      <c r="AW85" s="217"/>
      <c r="AX85" s="217"/>
    </row>
    <row r="86" spans="1:51" s="5" customFormat="1" ht="55.2">
      <c r="A86" s="135">
        <f t="shared" si="13"/>
        <v>82</v>
      </c>
      <c r="B86" s="19">
        <v>2220</v>
      </c>
      <c r="C86" s="3" t="s">
        <v>459</v>
      </c>
      <c r="D86" s="120">
        <f>2200000+500000</f>
        <v>2700000</v>
      </c>
      <c r="E86" s="120">
        <v>2200000</v>
      </c>
      <c r="F86" s="120">
        <f t="shared" si="14"/>
        <v>500000</v>
      </c>
      <c r="G86" s="120">
        <v>1000000</v>
      </c>
      <c r="H86" s="120">
        <v>948844</v>
      </c>
      <c r="I86" s="120"/>
      <c r="J86" s="120"/>
      <c r="K86" s="120">
        <f t="shared" si="11"/>
        <v>0</v>
      </c>
      <c r="L86" s="120">
        <f t="shared" si="15"/>
        <v>948844</v>
      </c>
      <c r="M86" s="120">
        <f>P86+S86-1200000-50000</f>
        <v>1156</v>
      </c>
      <c r="N86" s="120">
        <f>1200000+500000+50000</f>
        <v>1750000</v>
      </c>
      <c r="O86" s="120">
        <f t="shared" si="16"/>
        <v>0</v>
      </c>
      <c r="P86" s="120">
        <f t="shared" si="17"/>
        <v>51156</v>
      </c>
      <c r="Q86" s="357">
        <v>1200000</v>
      </c>
      <c r="R86" s="120"/>
      <c r="S86" s="120">
        <f t="shared" si="12"/>
        <v>1200000</v>
      </c>
      <c r="T86" s="120">
        <f t="shared" si="18"/>
        <v>1250000</v>
      </c>
      <c r="U86" s="120">
        <f t="shared" si="19"/>
        <v>500000</v>
      </c>
      <c r="V86" s="120">
        <f t="shared" si="20"/>
        <v>500000</v>
      </c>
      <c r="W86" s="120"/>
      <c r="X86" s="120"/>
      <c r="Y86" s="120"/>
      <c r="Z86" s="120"/>
      <c r="AA86" s="135"/>
      <c r="AB86" s="3" t="s">
        <v>658</v>
      </c>
      <c r="AC86" s="3">
        <v>746000</v>
      </c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217"/>
      <c r="AW86" s="217"/>
      <c r="AX86" s="217"/>
    </row>
    <row r="87" spans="1:51" s="5" customFormat="1" ht="45" customHeight="1">
      <c r="A87" s="135">
        <f t="shared" si="13"/>
        <v>83</v>
      </c>
      <c r="B87" s="19">
        <v>2232</v>
      </c>
      <c r="C87" s="3" t="s">
        <v>578</v>
      </c>
      <c r="D87" s="120">
        <v>17200000</v>
      </c>
      <c r="E87" s="120">
        <v>17200000</v>
      </c>
      <c r="F87" s="120">
        <f t="shared" si="14"/>
        <v>0</v>
      </c>
      <c r="G87" s="120">
        <v>800000</v>
      </c>
      <c r="H87" s="120">
        <v>778625</v>
      </c>
      <c r="I87" s="120"/>
      <c r="J87" s="120"/>
      <c r="K87" s="120">
        <f t="shared" si="11"/>
        <v>0</v>
      </c>
      <c r="L87" s="120">
        <f t="shared" si="15"/>
        <v>778625</v>
      </c>
      <c r="M87" s="120">
        <f>P87+S87-20000</f>
        <v>1375</v>
      </c>
      <c r="N87" s="120">
        <f>16400000-8400000+20000-3000000-1000000</f>
        <v>4020000</v>
      </c>
      <c r="O87" s="120">
        <f t="shared" si="16"/>
        <v>12400000</v>
      </c>
      <c r="P87" s="120">
        <f t="shared" si="17"/>
        <v>21375</v>
      </c>
      <c r="Q87" s="357"/>
      <c r="R87" s="120"/>
      <c r="S87" s="120">
        <f t="shared" si="12"/>
        <v>0</v>
      </c>
      <c r="T87" s="120">
        <f t="shared" si="18"/>
        <v>20000</v>
      </c>
      <c r="U87" s="120">
        <f t="shared" si="19"/>
        <v>4000000</v>
      </c>
      <c r="V87" s="120">
        <f t="shared" si="20"/>
        <v>4000000</v>
      </c>
      <c r="W87" s="120"/>
      <c r="X87" s="120"/>
      <c r="Y87" s="120"/>
      <c r="Z87" s="120"/>
      <c r="AA87" s="135"/>
      <c r="AB87" s="3" t="s">
        <v>833</v>
      </c>
      <c r="AC87" s="3">
        <v>745000</v>
      </c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217"/>
      <c r="AW87" s="217"/>
      <c r="AX87" s="217"/>
    </row>
    <row r="88" spans="1:51" s="5" customFormat="1" ht="45" customHeight="1">
      <c r="A88" s="135">
        <f t="shared" si="13"/>
        <v>84</v>
      </c>
      <c r="B88" s="19">
        <v>2233</v>
      </c>
      <c r="C88" s="3" t="s">
        <v>579</v>
      </c>
      <c r="D88" s="120">
        <v>20250000</v>
      </c>
      <c r="E88" s="120">
        <v>20250000</v>
      </c>
      <c r="F88" s="120">
        <f t="shared" si="14"/>
        <v>0</v>
      </c>
      <c r="G88" s="120">
        <v>800000</v>
      </c>
      <c r="H88" s="120">
        <v>789541</v>
      </c>
      <c r="I88" s="120"/>
      <c r="J88" s="120"/>
      <c r="K88" s="120">
        <f t="shared" si="11"/>
        <v>0</v>
      </c>
      <c r="L88" s="120">
        <f t="shared" si="15"/>
        <v>789541</v>
      </c>
      <c r="M88" s="120">
        <f t="shared" si="21"/>
        <v>10459</v>
      </c>
      <c r="N88" s="120">
        <f>19450000-19450000</f>
        <v>0</v>
      </c>
      <c r="O88" s="120">
        <f t="shared" si="16"/>
        <v>19450000</v>
      </c>
      <c r="P88" s="120">
        <f t="shared" si="17"/>
        <v>10459</v>
      </c>
      <c r="Q88" s="357"/>
      <c r="R88" s="120"/>
      <c r="S88" s="120">
        <f t="shared" si="12"/>
        <v>0</v>
      </c>
      <c r="T88" s="120">
        <f t="shared" si="18"/>
        <v>0</v>
      </c>
      <c r="U88" s="120">
        <f t="shared" si="19"/>
        <v>0</v>
      </c>
      <c r="V88" s="120">
        <f t="shared" si="20"/>
        <v>0</v>
      </c>
      <c r="W88" s="120"/>
      <c r="X88" s="120"/>
      <c r="Y88" s="120"/>
      <c r="Z88" s="120"/>
      <c r="AA88" s="135"/>
      <c r="AB88" s="3" t="s">
        <v>834</v>
      </c>
      <c r="AC88" s="3">
        <v>745000</v>
      </c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217"/>
      <c r="AW88" s="217"/>
      <c r="AX88" s="217"/>
    </row>
    <row r="89" spans="1:51" s="5" customFormat="1" ht="69">
      <c r="A89" s="135">
        <f t="shared" si="13"/>
        <v>85</v>
      </c>
      <c r="B89" s="19">
        <v>20004</v>
      </c>
      <c r="C89" s="3" t="s">
        <v>589</v>
      </c>
      <c r="D89" s="120">
        <v>24750000</v>
      </c>
      <c r="E89" s="120">
        <v>24750000</v>
      </c>
      <c r="F89" s="120">
        <f t="shared" si="14"/>
        <v>0</v>
      </c>
      <c r="G89" s="120">
        <v>250000</v>
      </c>
      <c r="H89" s="120">
        <v>231723</v>
      </c>
      <c r="I89" s="120"/>
      <c r="J89" s="120"/>
      <c r="K89" s="120">
        <f t="shared" si="11"/>
        <v>0</v>
      </c>
      <c r="L89" s="120">
        <f t="shared" si="15"/>
        <v>231723</v>
      </c>
      <c r="M89" s="120">
        <f t="shared" si="21"/>
        <v>18277</v>
      </c>
      <c r="N89" s="120">
        <f>18000000-9000000-2000000</f>
        <v>7000000</v>
      </c>
      <c r="O89" s="120">
        <f t="shared" si="16"/>
        <v>17500000</v>
      </c>
      <c r="P89" s="120">
        <f t="shared" si="17"/>
        <v>18277</v>
      </c>
      <c r="Q89" s="357"/>
      <c r="R89" s="120"/>
      <c r="S89" s="120">
        <f t="shared" si="12"/>
        <v>0</v>
      </c>
      <c r="T89" s="120">
        <f t="shared" si="18"/>
        <v>0</v>
      </c>
      <c r="U89" s="120">
        <f t="shared" si="19"/>
        <v>7000000</v>
      </c>
      <c r="V89" s="120">
        <f t="shared" si="20"/>
        <v>947200</v>
      </c>
      <c r="W89" s="120"/>
      <c r="X89" s="120"/>
      <c r="Y89" s="120"/>
      <c r="Z89" s="120"/>
      <c r="AA89" s="120">
        <v>6052800</v>
      </c>
      <c r="AB89" s="3" t="s">
        <v>1388</v>
      </c>
      <c r="AC89" s="3">
        <v>742000</v>
      </c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217"/>
      <c r="AW89" s="217"/>
      <c r="AX89" s="217"/>
    </row>
    <row r="90" spans="1:51" s="5" customFormat="1" ht="69">
      <c r="A90" s="135">
        <f t="shared" si="13"/>
        <v>86</v>
      </c>
      <c r="B90" s="19">
        <v>20009</v>
      </c>
      <c r="C90" s="3" t="s">
        <v>657</v>
      </c>
      <c r="D90" s="4">
        <v>2150000</v>
      </c>
      <c r="E90" s="4">
        <v>2150000</v>
      </c>
      <c r="F90" s="4">
        <f t="shared" si="14"/>
        <v>0</v>
      </c>
      <c r="G90" s="4">
        <f>150000+50000</f>
        <v>200000</v>
      </c>
      <c r="H90" s="4">
        <v>162220</v>
      </c>
      <c r="I90" s="4"/>
      <c r="J90" s="4"/>
      <c r="K90" s="4">
        <f>SUM(I90:J90)</f>
        <v>0</v>
      </c>
      <c r="L90" s="4">
        <f>H90+K90</f>
        <v>162220</v>
      </c>
      <c r="M90" s="4">
        <f>P90+S90-35000</f>
        <v>2780</v>
      </c>
      <c r="N90" s="4">
        <f>400000-100000+35000</f>
        <v>335000</v>
      </c>
      <c r="O90" s="4">
        <f t="shared" si="16"/>
        <v>1650000</v>
      </c>
      <c r="P90" s="4">
        <f t="shared" si="17"/>
        <v>37780</v>
      </c>
      <c r="Q90" s="354"/>
      <c r="R90" s="4"/>
      <c r="S90" s="4">
        <f t="shared" si="12"/>
        <v>0</v>
      </c>
      <c r="T90" s="4">
        <f t="shared" si="18"/>
        <v>35000</v>
      </c>
      <c r="U90" s="4">
        <f t="shared" si="19"/>
        <v>300000</v>
      </c>
      <c r="V90" s="4">
        <f>U90-AA90-W90-Z90-Y90-X90</f>
        <v>300000</v>
      </c>
      <c r="W90" s="4"/>
      <c r="X90" s="4"/>
      <c r="Y90" s="4"/>
      <c r="Z90" s="4"/>
      <c r="AA90" s="3"/>
      <c r="AB90" s="3" t="s">
        <v>801</v>
      </c>
      <c r="AC90" s="3">
        <v>732000</v>
      </c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8"/>
      <c r="AW90" s="18"/>
      <c r="AX90" s="18"/>
      <c r="AY90" s="18"/>
    </row>
    <row r="91" spans="1:51" s="5" customFormat="1" ht="45" customHeight="1">
      <c r="A91" s="135">
        <f t="shared" si="13"/>
        <v>87</v>
      </c>
      <c r="B91" s="19">
        <v>20010</v>
      </c>
      <c r="C91" s="3" t="s">
        <v>635</v>
      </c>
      <c r="D91" s="120">
        <v>7000000</v>
      </c>
      <c r="E91" s="120">
        <v>7000000</v>
      </c>
      <c r="F91" s="120">
        <f t="shared" si="14"/>
        <v>0</v>
      </c>
      <c r="G91" s="120">
        <v>500000</v>
      </c>
      <c r="H91" s="120">
        <v>39342</v>
      </c>
      <c r="I91" s="120"/>
      <c r="J91" s="120"/>
      <c r="K91" s="120">
        <f t="shared" si="11"/>
        <v>0</v>
      </c>
      <c r="L91" s="120">
        <f t="shared" si="15"/>
        <v>39342</v>
      </c>
      <c r="M91" s="120">
        <f>P91+S91-460658</f>
        <v>0</v>
      </c>
      <c r="N91" s="120"/>
      <c r="O91" s="120">
        <f t="shared" si="16"/>
        <v>6960658</v>
      </c>
      <c r="P91" s="120">
        <f t="shared" si="17"/>
        <v>460658</v>
      </c>
      <c r="Q91" s="357"/>
      <c r="R91" s="120"/>
      <c r="S91" s="120">
        <f t="shared" si="12"/>
        <v>0</v>
      </c>
      <c r="T91" s="120">
        <f t="shared" si="18"/>
        <v>460658</v>
      </c>
      <c r="U91" s="120">
        <f t="shared" si="19"/>
        <v>-460658</v>
      </c>
      <c r="V91" s="120">
        <f t="shared" si="20"/>
        <v>-460658</v>
      </c>
      <c r="W91" s="120"/>
      <c r="X91" s="120"/>
      <c r="Y91" s="120"/>
      <c r="Z91" s="120"/>
      <c r="AA91" s="135"/>
      <c r="AB91" s="3" t="s">
        <v>1429</v>
      </c>
      <c r="AC91" s="3">
        <v>810000</v>
      </c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217"/>
      <c r="AW91" s="217"/>
      <c r="AX91" s="217"/>
    </row>
    <row r="92" spans="1:51" s="5" customFormat="1" ht="69">
      <c r="A92" s="135">
        <f t="shared" si="13"/>
        <v>88</v>
      </c>
      <c r="B92" s="19">
        <v>20011</v>
      </c>
      <c r="C92" s="3" t="s">
        <v>1317</v>
      </c>
      <c r="D92" s="120">
        <f>18500000+3000000</f>
        <v>21500000</v>
      </c>
      <c r="E92" s="120">
        <v>18500000</v>
      </c>
      <c r="F92" s="120">
        <f t="shared" si="14"/>
        <v>3000000</v>
      </c>
      <c r="G92" s="120">
        <v>600000</v>
      </c>
      <c r="H92" s="120">
        <v>881319</v>
      </c>
      <c r="I92" s="120"/>
      <c r="J92" s="120"/>
      <c r="K92" s="120">
        <f t="shared" si="11"/>
        <v>0</v>
      </c>
      <c r="L92" s="120">
        <f t="shared" si="15"/>
        <v>881319</v>
      </c>
      <c r="M92" s="120">
        <f>P92+S92-110000</f>
        <v>8681</v>
      </c>
      <c r="N92" s="120">
        <f>20500000-13500000-500000+110000-500000</f>
        <v>6110000</v>
      </c>
      <c r="O92" s="120">
        <f t="shared" si="16"/>
        <v>14500000</v>
      </c>
      <c r="P92" s="120">
        <f t="shared" si="17"/>
        <v>-281319</v>
      </c>
      <c r="Q92" s="357">
        <v>400000</v>
      </c>
      <c r="R92" s="120"/>
      <c r="S92" s="120">
        <f t="shared" si="12"/>
        <v>400000</v>
      </c>
      <c r="T92" s="120">
        <f t="shared" si="18"/>
        <v>110000</v>
      </c>
      <c r="U92" s="120">
        <f t="shared" si="19"/>
        <v>6000000</v>
      </c>
      <c r="V92" s="120">
        <f t="shared" si="20"/>
        <v>500490</v>
      </c>
      <c r="W92" s="120"/>
      <c r="X92" s="120"/>
      <c r="Y92" s="120"/>
      <c r="Z92" s="120"/>
      <c r="AA92" s="120">
        <f>1748816+244834+1500000+1600000+405860</f>
        <v>5499510</v>
      </c>
      <c r="AB92" s="3" t="s">
        <v>1430</v>
      </c>
      <c r="AC92" s="3">
        <v>810000</v>
      </c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217"/>
      <c r="AW92" s="217"/>
      <c r="AX92" s="217"/>
    </row>
    <row r="93" spans="1:51" s="5" customFormat="1" ht="45" customHeight="1">
      <c r="A93" s="135">
        <f t="shared" si="13"/>
        <v>89</v>
      </c>
      <c r="B93" s="19">
        <v>20013</v>
      </c>
      <c r="C93" s="3" t="s">
        <v>736</v>
      </c>
      <c r="D93" s="120">
        <f>1000000+21000000-21000000</f>
        <v>1000000</v>
      </c>
      <c r="E93" s="120">
        <v>1000000</v>
      </c>
      <c r="F93" s="120">
        <f t="shared" si="14"/>
        <v>0</v>
      </c>
      <c r="G93" s="120">
        <v>550000</v>
      </c>
      <c r="H93" s="120">
        <v>637852</v>
      </c>
      <c r="I93" s="120"/>
      <c r="J93" s="120"/>
      <c r="K93" s="120">
        <f t="shared" si="11"/>
        <v>0</v>
      </c>
      <c r="L93" s="120">
        <f t="shared" si="15"/>
        <v>637852</v>
      </c>
      <c r="M93" s="120">
        <f>P93+S93-360000</f>
        <v>2148</v>
      </c>
      <c r="N93" s="120">
        <v>360000</v>
      </c>
      <c r="O93" s="120">
        <f t="shared" si="16"/>
        <v>0</v>
      </c>
      <c r="P93" s="120">
        <f t="shared" si="17"/>
        <v>-87852</v>
      </c>
      <c r="Q93" s="357">
        <v>450000</v>
      </c>
      <c r="R93" s="120"/>
      <c r="S93" s="120">
        <f t="shared" si="12"/>
        <v>450000</v>
      </c>
      <c r="T93" s="120">
        <f t="shared" si="18"/>
        <v>360000</v>
      </c>
      <c r="U93" s="120">
        <f t="shared" si="19"/>
        <v>0</v>
      </c>
      <c r="V93" s="120">
        <f t="shared" si="20"/>
        <v>0</v>
      </c>
      <c r="W93" s="120"/>
      <c r="X93" s="120"/>
      <c r="Y93" s="120"/>
      <c r="Z93" s="120"/>
      <c r="AA93" s="135"/>
      <c r="AB93" s="3" t="s">
        <v>656</v>
      </c>
      <c r="AC93" s="3">
        <v>810000</v>
      </c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217"/>
      <c r="AW93" s="217"/>
      <c r="AX93" s="217"/>
    </row>
    <row r="94" spans="1:51" s="5" customFormat="1" ht="55.2">
      <c r="A94" s="135">
        <f t="shared" si="13"/>
        <v>90</v>
      </c>
      <c r="B94" s="19">
        <v>20014</v>
      </c>
      <c r="C94" s="3" t="s">
        <v>959</v>
      </c>
      <c r="D94" s="120">
        <v>1500000</v>
      </c>
      <c r="E94" s="120">
        <v>800000</v>
      </c>
      <c r="F94" s="120">
        <f t="shared" si="14"/>
        <v>700000</v>
      </c>
      <c r="G94" s="120">
        <v>300000</v>
      </c>
      <c r="H94" s="120">
        <v>300000</v>
      </c>
      <c r="I94" s="120"/>
      <c r="J94" s="120"/>
      <c r="K94" s="120">
        <f t="shared" si="11"/>
        <v>0</v>
      </c>
      <c r="L94" s="120">
        <f t="shared" si="15"/>
        <v>300000</v>
      </c>
      <c r="M94" s="120">
        <f t="shared" si="21"/>
        <v>0</v>
      </c>
      <c r="N94" s="120">
        <f>1200000-200000-850000</f>
        <v>150000</v>
      </c>
      <c r="O94" s="120">
        <f t="shared" si="16"/>
        <v>1050000</v>
      </c>
      <c r="P94" s="120">
        <f t="shared" si="17"/>
        <v>0</v>
      </c>
      <c r="Q94" s="357"/>
      <c r="R94" s="120"/>
      <c r="S94" s="120">
        <f t="shared" si="12"/>
        <v>0</v>
      </c>
      <c r="T94" s="120">
        <f t="shared" si="18"/>
        <v>0</v>
      </c>
      <c r="U94" s="120">
        <f t="shared" si="19"/>
        <v>150000</v>
      </c>
      <c r="V94" s="120">
        <f t="shared" si="20"/>
        <v>150000</v>
      </c>
      <c r="W94" s="120"/>
      <c r="X94" s="120"/>
      <c r="Y94" s="120"/>
      <c r="Z94" s="120"/>
      <c r="AA94" s="135"/>
      <c r="AB94" s="3" t="s">
        <v>1431</v>
      </c>
      <c r="AC94" s="3">
        <v>829000</v>
      </c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217"/>
      <c r="AW94" s="217"/>
      <c r="AX94" s="217"/>
    </row>
    <row r="95" spans="1:51" s="5" customFormat="1" ht="45" customHeight="1">
      <c r="A95" s="135">
        <f t="shared" si="13"/>
        <v>91</v>
      </c>
      <c r="B95" s="19">
        <v>20015</v>
      </c>
      <c r="C95" s="3" t="s">
        <v>637</v>
      </c>
      <c r="D95" s="120">
        <f>2500000-360000-923</f>
        <v>2139077</v>
      </c>
      <c r="E95" s="120">
        <v>2500000</v>
      </c>
      <c r="F95" s="120">
        <f t="shared" si="14"/>
        <v>-360923</v>
      </c>
      <c r="G95" s="120">
        <f>2000000+100000</f>
        <v>2100000</v>
      </c>
      <c r="H95" s="120">
        <v>2139077</v>
      </c>
      <c r="I95" s="120"/>
      <c r="J95" s="120"/>
      <c r="K95" s="120">
        <f t="shared" si="11"/>
        <v>0</v>
      </c>
      <c r="L95" s="120">
        <f t="shared" si="15"/>
        <v>2139077</v>
      </c>
      <c r="M95" s="120">
        <f>P95+S95-300000-60000-923</f>
        <v>0</v>
      </c>
      <c r="N95" s="120"/>
      <c r="O95" s="120">
        <f t="shared" si="16"/>
        <v>0</v>
      </c>
      <c r="P95" s="120">
        <f t="shared" si="17"/>
        <v>-39077</v>
      </c>
      <c r="Q95" s="357">
        <f>500000-100000</f>
        <v>400000</v>
      </c>
      <c r="R95" s="120"/>
      <c r="S95" s="120">
        <f t="shared" si="12"/>
        <v>400000</v>
      </c>
      <c r="T95" s="120">
        <f t="shared" si="18"/>
        <v>360923</v>
      </c>
      <c r="U95" s="120">
        <f t="shared" si="19"/>
        <v>-360923</v>
      </c>
      <c r="V95" s="120">
        <f t="shared" si="20"/>
        <v>-360923</v>
      </c>
      <c r="W95" s="120"/>
      <c r="X95" s="120"/>
      <c r="Y95" s="120"/>
      <c r="Z95" s="120"/>
      <c r="AA95" s="135"/>
      <c r="AB95" s="3" t="s">
        <v>1432</v>
      </c>
      <c r="AC95" s="3">
        <v>829000</v>
      </c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217"/>
      <c r="AW95" s="217"/>
      <c r="AX95" s="217"/>
    </row>
    <row r="96" spans="1:51" s="5" customFormat="1" ht="55.2">
      <c r="A96" s="135">
        <f t="shared" si="13"/>
        <v>92</v>
      </c>
      <c r="B96" s="19">
        <v>20016</v>
      </c>
      <c r="C96" s="3" t="s">
        <v>664</v>
      </c>
      <c r="D96" s="120">
        <f>2500000</f>
        <v>2500000</v>
      </c>
      <c r="E96" s="120">
        <v>1000000</v>
      </c>
      <c r="F96" s="120">
        <f t="shared" si="14"/>
        <v>1500000</v>
      </c>
      <c r="G96" s="120">
        <f>500000+200000</f>
        <v>700000</v>
      </c>
      <c r="H96" s="120">
        <v>690530</v>
      </c>
      <c r="I96" s="120"/>
      <c r="J96" s="120"/>
      <c r="K96" s="120">
        <f t="shared" si="11"/>
        <v>0</v>
      </c>
      <c r="L96" s="120">
        <f t="shared" si="15"/>
        <v>690530</v>
      </c>
      <c r="M96" s="120">
        <f>P96+S96-305000</f>
        <v>4470</v>
      </c>
      <c r="N96" s="120">
        <f>1500000-500000-200000+305000-100000</f>
        <v>1005000</v>
      </c>
      <c r="O96" s="120">
        <f t="shared" si="16"/>
        <v>800000</v>
      </c>
      <c r="P96" s="120">
        <f t="shared" si="17"/>
        <v>9470</v>
      </c>
      <c r="Q96" s="357">
        <f>500000-200000</f>
        <v>300000</v>
      </c>
      <c r="R96" s="120"/>
      <c r="S96" s="120">
        <f t="shared" si="12"/>
        <v>300000</v>
      </c>
      <c r="T96" s="120">
        <f t="shared" si="18"/>
        <v>305000</v>
      </c>
      <c r="U96" s="120">
        <f t="shared" si="19"/>
        <v>700000</v>
      </c>
      <c r="V96" s="120">
        <f t="shared" si="20"/>
        <v>700000</v>
      </c>
      <c r="W96" s="120"/>
      <c r="X96" s="120"/>
      <c r="Y96" s="120"/>
      <c r="Z96" s="120"/>
      <c r="AA96" s="135"/>
      <c r="AB96" s="3" t="s">
        <v>661</v>
      </c>
      <c r="AC96" s="3">
        <v>826000</v>
      </c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217"/>
      <c r="AW96" s="217"/>
      <c r="AX96" s="217"/>
    </row>
    <row r="97" spans="1:59" s="5" customFormat="1" ht="45" customHeight="1">
      <c r="A97" s="135">
        <f t="shared" si="13"/>
        <v>93</v>
      </c>
      <c r="B97" s="19">
        <v>20017</v>
      </c>
      <c r="C97" s="3" t="s">
        <v>1441</v>
      </c>
      <c r="D97" s="120">
        <v>10000000</v>
      </c>
      <c r="E97" s="120">
        <v>10000000</v>
      </c>
      <c r="F97" s="120">
        <f t="shared" si="14"/>
        <v>0</v>
      </c>
      <c r="G97" s="120">
        <v>350000</v>
      </c>
      <c r="H97" s="120">
        <v>303035</v>
      </c>
      <c r="I97" s="120"/>
      <c r="J97" s="120"/>
      <c r="K97" s="120">
        <f t="shared" si="11"/>
        <v>0</v>
      </c>
      <c r="L97" s="120">
        <f t="shared" si="15"/>
        <v>303035</v>
      </c>
      <c r="M97" s="120">
        <f>P97+S97-1500000-545000</f>
        <v>1965</v>
      </c>
      <c r="N97" s="120">
        <f>7650000-3650000-1000000+545000-1000000</f>
        <v>2545000</v>
      </c>
      <c r="O97" s="120">
        <f t="shared" si="16"/>
        <v>7150000</v>
      </c>
      <c r="P97" s="120">
        <f t="shared" si="17"/>
        <v>46965</v>
      </c>
      <c r="Q97" s="357">
        <v>2000000</v>
      </c>
      <c r="R97" s="120"/>
      <c r="S97" s="120">
        <f t="shared" si="12"/>
        <v>2000000</v>
      </c>
      <c r="T97" s="120">
        <f t="shared" si="18"/>
        <v>2045000</v>
      </c>
      <c r="U97" s="120">
        <f t="shared" si="19"/>
        <v>500000</v>
      </c>
      <c r="V97" s="120">
        <f t="shared" si="20"/>
        <v>500000</v>
      </c>
      <c r="W97" s="120"/>
      <c r="X97" s="120"/>
      <c r="Y97" s="120"/>
      <c r="Z97" s="120"/>
      <c r="AA97" s="135"/>
      <c r="AB97" s="3" t="s">
        <v>1442</v>
      </c>
      <c r="AC97" s="3">
        <v>850000</v>
      </c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217"/>
      <c r="AW97" s="217"/>
      <c r="AX97" s="217"/>
    </row>
    <row r="98" spans="1:59" s="5" customFormat="1" ht="45" customHeight="1">
      <c r="A98" s="135">
        <f t="shared" si="13"/>
        <v>94</v>
      </c>
      <c r="B98" s="19">
        <v>20018</v>
      </c>
      <c r="C98" s="3" t="s">
        <v>662</v>
      </c>
      <c r="D98" s="120">
        <v>45000000</v>
      </c>
      <c r="E98" s="120">
        <v>1000000</v>
      </c>
      <c r="F98" s="120">
        <f t="shared" si="14"/>
        <v>44000000</v>
      </c>
      <c r="G98" s="120">
        <v>1000000</v>
      </c>
      <c r="H98" s="120">
        <v>956644</v>
      </c>
      <c r="I98" s="120"/>
      <c r="J98" s="120"/>
      <c r="K98" s="120">
        <f t="shared" si="11"/>
        <v>0</v>
      </c>
      <c r="L98" s="120">
        <f t="shared" si="15"/>
        <v>956644</v>
      </c>
      <c r="M98" s="120">
        <f>P98+S98-40000</f>
        <v>3356</v>
      </c>
      <c r="N98" s="120">
        <f>25000000-8000000-5000000+40000-500000</f>
        <v>11540000</v>
      </c>
      <c r="O98" s="120">
        <f t="shared" si="16"/>
        <v>32500000</v>
      </c>
      <c r="P98" s="120">
        <f t="shared" si="17"/>
        <v>43356</v>
      </c>
      <c r="Q98" s="357"/>
      <c r="R98" s="120"/>
      <c r="S98" s="120">
        <f t="shared" si="12"/>
        <v>0</v>
      </c>
      <c r="T98" s="120">
        <f t="shared" si="18"/>
        <v>40000</v>
      </c>
      <c r="U98" s="120">
        <f t="shared" si="19"/>
        <v>11500000</v>
      </c>
      <c r="V98" s="120">
        <f t="shared" si="20"/>
        <v>0</v>
      </c>
      <c r="W98" s="120"/>
      <c r="X98" s="120"/>
      <c r="Y98" s="120"/>
      <c r="Z98" s="120"/>
      <c r="AA98" s="120">
        <f>12000000+1500000-12000000+10000000</f>
        <v>11500000</v>
      </c>
      <c r="AB98" s="3" t="s">
        <v>1389</v>
      </c>
      <c r="AC98" s="3">
        <v>826000</v>
      </c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217"/>
      <c r="AW98" s="217"/>
      <c r="AX98" s="217"/>
    </row>
    <row r="99" spans="1:59" s="157" customFormat="1" ht="45" customHeight="1">
      <c r="A99" s="135">
        <f t="shared" si="13"/>
        <v>95</v>
      </c>
      <c r="B99" s="19">
        <v>20024</v>
      </c>
      <c r="C99" s="3" t="s">
        <v>704</v>
      </c>
      <c r="D99" s="120">
        <f>880000-62208</f>
        <v>817792</v>
      </c>
      <c r="E99" s="120">
        <v>880000</v>
      </c>
      <c r="F99" s="120">
        <f t="shared" si="14"/>
        <v>-62208</v>
      </c>
      <c r="G99" s="120">
        <v>880000</v>
      </c>
      <c r="H99" s="120">
        <v>817792</v>
      </c>
      <c r="I99" s="120"/>
      <c r="J99" s="120"/>
      <c r="K99" s="120">
        <f t="shared" si="11"/>
        <v>0</v>
      </c>
      <c r="L99" s="120">
        <f t="shared" si="15"/>
        <v>817792</v>
      </c>
      <c r="M99" s="120">
        <f>P99+S99-62208</f>
        <v>0</v>
      </c>
      <c r="N99" s="120"/>
      <c r="O99" s="120">
        <f t="shared" si="16"/>
        <v>0</v>
      </c>
      <c r="P99" s="120">
        <f t="shared" si="17"/>
        <v>62208</v>
      </c>
      <c r="Q99" s="357"/>
      <c r="R99" s="120"/>
      <c r="S99" s="120">
        <f t="shared" si="12"/>
        <v>0</v>
      </c>
      <c r="T99" s="120">
        <f t="shared" si="18"/>
        <v>62208</v>
      </c>
      <c r="U99" s="120">
        <f t="shared" si="19"/>
        <v>-62208</v>
      </c>
      <c r="V99" s="120">
        <f t="shared" si="20"/>
        <v>0</v>
      </c>
      <c r="W99" s="120">
        <v>-62208</v>
      </c>
      <c r="X99" s="120"/>
      <c r="Y99" s="120"/>
      <c r="Z99" s="120"/>
      <c r="AA99" s="135"/>
      <c r="AB99" s="3" t="s">
        <v>1461</v>
      </c>
      <c r="AC99" s="3">
        <v>747000</v>
      </c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217"/>
      <c r="AW99" s="217"/>
      <c r="AX99" s="217"/>
    </row>
    <row r="100" spans="1:59" customFormat="1" ht="82.8">
      <c r="A100" s="135">
        <f t="shared" si="13"/>
        <v>96</v>
      </c>
      <c r="B100" s="19">
        <v>20028</v>
      </c>
      <c r="C100" s="3" t="s">
        <v>660</v>
      </c>
      <c r="D100" s="120">
        <f>620000-21384</f>
        <v>598616</v>
      </c>
      <c r="E100" s="120">
        <v>620000</v>
      </c>
      <c r="F100" s="120">
        <f t="shared" si="14"/>
        <v>-21384</v>
      </c>
      <c r="G100" s="120">
        <v>620000</v>
      </c>
      <c r="H100" s="120">
        <v>598616</v>
      </c>
      <c r="I100" s="120"/>
      <c r="J100" s="120"/>
      <c r="K100" s="120">
        <f t="shared" si="11"/>
        <v>0</v>
      </c>
      <c r="L100" s="120">
        <f t="shared" si="15"/>
        <v>598616</v>
      </c>
      <c r="M100" s="120">
        <f>P100+S100-21384</f>
        <v>0</v>
      </c>
      <c r="N100" s="120"/>
      <c r="O100" s="120">
        <f t="shared" si="16"/>
        <v>0</v>
      </c>
      <c r="P100" s="120">
        <f t="shared" si="17"/>
        <v>21384</v>
      </c>
      <c r="Q100" s="357"/>
      <c r="R100" s="120"/>
      <c r="S100" s="120">
        <f t="shared" si="12"/>
        <v>0</v>
      </c>
      <c r="T100" s="120">
        <f t="shared" si="18"/>
        <v>21384</v>
      </c>
      <c r="U100" s="120">
        <f t="shared" si="19"/>
        <v>-21384</v>
      </c>
      <c r="V100" s="120">
        <f t="shared" si="20"/>
        <v>0</v>
      </c>
      <c r="W100" s="120">
        <v>-21384</v>
      </c>
      <c r="X100" s="120"/>
      <c r="Y100" s="120"/>
      <c r="Z100" s="120"/>
      <c r="AA100" s="135"/>
      <c r="AB100" s="3" t="s">
        <v>1462</v>
      </c>
      <c r="AC100" s="3">
        <v>810000</v>
      </c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217"/>
      <c r="AW100" s="217"/>
      <c r="AX100" s="217"/>
    </row>
    <row r="101" spans="1:59" s="5" customFormat="1" ht="55.2">
      <c r="A101" s="135">
        <f t="shared" si="13"/>
        <v>97</v>
      </c>
      <c r="B101" s="19">
        <v>20063</v>
      </c>
      <c r="C101" s="3" t="s">
        <v>913</v>
      </c>
      <c r="D101" s="120">
        <f>46500000-45500000+750000</f>
        <v>1750000</v>
      </c>
      <c r="E101" s="120">
        <v>1000000</v>
      </c>
      <c r="F101" s="120">
        <f t="shared" si="14"/>
        <v>750000</v>
      </c>
      <c r="G101" s="120">
        <v>150000</v>
      </c>
      <c r="H101" s="120">
        <v>379788</v>
      </c>
      <c r="I101" s="120"/>
      <c r="J101" s="120"/>
      <c r="K101" s="120">
        <f t="shared" si="11"/>
        <v>0</v>
      </c>
      <c r="L101" s="120">
        <f t="shared" si="15"/>
        <v>379788</v>
      </c>
      <c r="M101" s="120">
        <f>P101+S101-250000+130000</f>
        <v>212</v>
      </c>
      <c r="N101" s="120">
        <f>1500000-130000-500000</f>
        <v>870000</v>
      </c>
      <c r="O101" s="120">
        <f t="shared" si="16"/>
        <v>500000</v>
      </c>
      <c r="P101" s="120">
        <f t="shared" si="17"/>
        <v>-229788</v>
      </c>
      <c r="Q101" s="357">
        <v>350000</v>
      </c>
      <c r="R101" s="120"/>
      <c r="S101" s="120">
        <f t="shared" si="12"/>
        <v>350000</v>
      </c>
      <c r="T101" s="120">
        <f t="shared" si="18"/>
        <v>120000</v>
      </c>
      <c r="U101" s="120">
        <f t="shared" si="19"/>
        <v>750000</v>
      </c>
      <c r="V101" s="120">
        <f t="shared" si="20"/>
        <v>750000</v>
      </c>
      <c r="W101" s="120"/>
      <c r="X101" s="120"/>
      <c r="Y101" s="120"/>
      <c r="Z101" s="120"/>
      <c r="AA101" s="135"/>
      <c r="AB101" s="3" t="s">
        <v>837</v>
      </c>
      <c r="AC101" s="3">
        <v>850000</v>
      </c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217"/>
      <c r="AW101" s="217"/>
      <c r="AX101" s="217"/>
    </row>
    <row r="102" spans="1:59" s="5" customFormat="1" ht="45" customHeight="1">
      <c r="A102" s="135">
        <f t="shared" si="13"/>
        <v>98</v>
      </c>
      <c r="B102" s="3">
        <v>20064</v>
      </c>
      <c r="C102" s="3" t="s">
        <v>783</v>
      </c>
      <c r="D102" s="120">
        <v>2000000</v>
      </c>
      <c r="E102" s="120">
        <v>2000000</v>
      </c>
      <c r="F102" s="120">
        <f t="shared" si="14"/>
        <v>0</v>
      </c>
      <c r="G102" s="120">
        <v>100000</v>
      </c>
      <c r="H102" s="120">
        <v>125286</v>
      </c>
      <c r="I102" s="120"/>
      <c r="J102" s="120"/>
      <c r="K102" s="120">
        <f t="shared" si="11"/>
        <v>0</v>
      </c>
      <c r="L102" s="120">
        <f t="shared" si="15"/>
        <v>125286</v>
      </c>
      <c r="M102" s="120">
        <f>P102+S102-300000-70000</f>
        <v>4714</v>
      </c>
      <c r="N102" s="120">
        <f>300000+70000+100000</f>
        <v>470000</v>
      </c>
      <c r="O102" s="120">
        <f t="shared" si="16"/>
        <v>1400000</v>
      </c>
      <c r="P102" s="120">
        <f t="shared" si="17"/>
        <v>-25286</v>
      </c>
      <c r="Q102" s="357">
        <v>400000</v>
      </c>
      <c r="R102" s="120"/>
      <c r="S102" s="120">
        <f t="shared" si="12"/>
        <v>400000</v>
      </c>
      <c r="T102" s="120">
        <f t="shared" si="18"/>
        <v>370000</v>
      </c>
      <c r="U102" s="120">
        <f t="shared" si="19"/>
        <v>100000</v>
      </c>
      <c r="V102" s="120">
        <f t="shared" si="20"/>
        <v>100000</v>
      </c>
      <c r="W102" s="120"/>
      <c r="X102" s="120"/>
      <c r="Y102" s="120"/>
      <c r="Z102" s="120"/>
      <c r="AA102" s="135"/>
      <c r="AB102" s="3" t="s">
        <v>887</v>
      </c>
      <c r="AC102" s="3">
        <v>732000</v>
      </c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217"/>
      <c r="AW102" s="217"/>
      <c r="AX102" s="217"/>
    </row>
    <row r="103" spans="1:59" s="5" customFormat="1" ht="45" customHeight="1">
      <c r="A103" s="135">
        <f t="shared" si="13"/>
        <v>99</v>
      </c>
      <c r="B103" s="3">
        <v>20081</v>
      </c>
      <c r="C103" s="3" t="s">
        <v>946</v>
      </c>
      <c r="D103" s="120">
        <f>39000000+11000000+7500000</f>
        <v>57500000</v>
      </c>
      <c r="E103" s="120">
        <v>39000000</v>
      </c>
      <c r="F103" s="120">
        <f t="shared" si="14"/>
        <v>18500000</v>
      </c>
      <c r="G103" s="120">
        <f>10500000+28500000</f>
        <v>39000000</v>
      </c>
      <c r="H103" s="120">
        <v>33957035</v>
      </c>
      <c r="I103" s="120"/>
      <c r="J103" s="120"/>
      <c r="K103" s="120">
        <f t="shared" si="11"/>
        <v>0</v>
      </c>
      <c r="L103" s="120">
        <f t="shared" si="15"/>
        <v>33957035</v>
      </c>
      <c r="M103" s="120">
        <f>P103+S103-5000000-40000</f>
        <v>2965</v>
      </c>
      <c r="N103" s="120">
        <f>11000000+7500000+5000000-2000000+40000</f>
        <v>21540000</v>
      </c>
      <c r="O103" s="120">
        <f t="shared" si="16"/>
        <v>2000000</v>
      </c>
      <c r="P103" s="120">
        <f t="shared" si="17"/>
        <v>5042965</v>
      </c>
      <c r="Q103" s="357"/>
      <c r="R103" s="120">
        <f>28500000-28500000</f>
        <v>0</v>
      </c>
      <c r="S103" s="120">
        <f t="shared" si="12"/>
        <v>0</v>
      </c>
      <c r="T103" s="120">
        <f t="shared" si="18"/>
        <v>5040000</v>
      </c>
      <c r="U103" s="120">
        <f t="shared" si="19"/>
        <v>16500000</v>
      </c>
      <c r="V103" s="120">
        <f t="shared" si="20"/>
        <v>16500000</v>
      </c>
      <c r="W103" s="120"/>
      <c r="X103" s="120"/>
      <c r="Y103" s="120"/>
      <c r="Z103" s="120"/>
      <c r="AA103" s="135"/>
      <c r="AB103" s="3" t="s">
        <v>1646</v>
      </c>
      <c r="AC103" s="3">
        <v>829000</v>
      </c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217"/>
      <c r="AW103" s="217"/>
      <c r="AX103" s="217"/>
    </row>
    <row r="104" spans="1:59" s="5" customFormat="1" ht="45" customHeight="1">
      <c r="A104" s="135">
        <f t="shared" si="13"/>
        <v>100</v>
      </c>
      <c r="B104" s="3">
        <v>20082</v>
      </c>
      <c r="C104" s="3" t="s">
        <v>927</v>
      </c>
      <c r="D104" s="120">
        <v>500000</v>
      </c>
      <c r="E104" s="120">
        <v>500000</v>
      </c>
      <c r="F104" s="120">
        <f t="shared" si="14"/>
        <v>0</v>
      </c>
      <c r="G104" s="120">
        <v>500000</v>
      </c>
      <c r="H104" s="120">
        <v>7131</v>
      </c>
      <c r="I104" s="120"/>
      <c r="J104" s="120"/>
      <c r="K104" s="120">
        <f t="shared" si="11"/>
        <v>0</v>
      </c>
      <c r="L104" s="120">
        <f t="shared" si="15"/>
        <v>7131</v>
      </c>
      <c r="M104" s="120">
        <f>P104+S104-490000</f>
        <v>2869</v>
      </c>
      <c r="N104" s="120">
        <v>490000</v>
      </c>
      <c r="O104" s="120">
        <f t="shared" si="16"/>
        <v>0</v>
      </c>
      <c r="P104" s="120">
        <f t="shared" si="17"/>
        <v>492869</v>
      </c>
      <c r="Q104" s="357"/>
      <c r="R104" s="120"/>
      <c r="S104" s="120">
        <f t="shared" si="12"/>
        <v>0</v>
      </c>
      <c r="T104" s="120">
        <f t="shared" si="18"/>
        <v>490000</v>
      </c>
      <c r="U104" s="120">
        <f t="shared" si="19"/>
        <v>0</v>
      </c>
      <c r="V104" s="120">
        <f t="shared" si="20"/>
        <v>0</v>
      </c>
      <c r="W104" s="120"/>
      <c r="X104" s="120"/>
      <c r="Y104" s="120"/>
      <c r="Z104" s="120"/>
      <c r="AA104" s="135"/>
      <c r="AB104" s="3" t="s">
        <v>949</v>
      </c>
      <c r="AC104" s="3">
        <v>810000</v>
      </c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217"/>
      <c r="AW104" s="217"/>
      <c r="AX104" s="217"/>
    </row>
    <row r="105" spans="1:59" s="452" customFormat="1" ht="54" customHeight="1">
      <c r="A105" s="469">
        <f t="shared" si="13"/>
        <v>101</v>
      </c>
      <c r="B105" s="448">
        <v>20083</v>
      </c>
      <c r="C105" s="448" t="s">
        <v>928</v>
      </c>
      <c r="D105" s="419">
        <v>500000</v>
      </c>
      <c r="E105" s="419">
        <v>500000</v>
      </c>
      <c r="F105" s="419">
        <f>D105-E105</f>
        <v>0</v>
      </c>
      <c r="G105" s="419">
        <v>500000</v>
      </c>
      <c r="H105" s="419">
        <v>0</v>
      </c>
      <c r="I105" s="419"/>
      <c r="J105" s="419"/>
      <c r="K105" s="419">
        <f>SUM(I105:J105)</f>
        <v>0</v>
      </c>
      <c r="L105" s="419">
        <f>K105+H105</f>
        <v>0</v>
      </c>
      <c r="M105" s="419">
        <f>P105+S105-500000</f>
        <v>0</v>
      </c>
      <c r="N105" s="419">
        <v>250000</v>
      </c>
      <c r="O105" s="419">
        <f>D105-L105-M105-N105</f>
        <v>250000</v>
      </c>
      <c r="P105" s="419">
        <f>G105-L105</f>
        <v>500000</v>
      </c>
      <c r="Q105" s="626"/>
      <c r="R105" s="419"/>
      <c r="S105" s="419">
        <f>SUM(Q105:R105)</f>
        <v>0</v>
      </c>
      <c r="T105" s="419">
        <f>P105-M105+S105</f>
        <v>500000</v>
      </c>
      <c r="U105" s="419">
        <f>N105-T105</f>
        <v>-250000</v>
      </c>
      <c r="V105" s="419">
        <f>U105-Z105-X105-AA105-W105-Y105</f>
        <v>-250000</v>
      </c>
      <c r="W105" s="419"/>
      <c r="X105" s="419"/>
      <c r="Y105" s="419"/>
      <c r="Z105" s="419"/>
      <c r="AA105" s="469"/>
      <c r="AB105" s="448" t="s">
        <v>948</v>
      </c>
      <c r="AC105" s="448">
        <v>810000</v>
      </c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750"/>
      <c r="AW105" s="750"/>
      <c r="AX105" s="750"/>
    </row>
    <row r="106" spans="1:59" s="452" customFormat="1" ht="45" customHeight="1">
      <c r="A106" s="469">
        <f t="shared" si="13"/>
        <v>102</v>
      </c>
      <c r="B106" s="448">
        <v>20084</v>
      </c>
      <c r="C106" s="448" t="s">
        <v>929</v>
      </c>
      <c r="D106" s="419">
        <f>129500000-20500000</f>
        <v>109000000</v>
      </c>
      <c r="E106" s="419">
        <v>500000</v>
      </c>
      <c r="F106" s="419">
        <f>D106-E106</f>
        <v>108500000</v>
      </c>
      <c r="G106" s="419">
        <v>500000</v>
      </c>
      <c r="H106" s="419">
        <v>194491</v>
      </c>
      <c r="I106" s="419"/>
      <c r="J106" s="419">
        <v>300314</v>
      </c>
      <c r="K106" s="419">
        <f>SUM(I106:J106)</f>
        <v>300314</v>
      </c>
      <c r="L106" s="419">
        <f>K106+H106</f>
        <v>494805</v>
      </c>
      <c r="M106" s="419">
        <f>P106+S106</f>
        <v>5195</v>
      </c>
      <c r="N106" s="419">
        <f>33000000-8000000-10000000</f>
        <v>15000000</v>
      </c>
      <c r="O106" s="419">
        <f>D106-L106-M106-N106</f>
        <v>93500000</v>
      </c>
      <c r="P106" s="419">
        <f>G106-L106</f>
        <v>5195</v>
      </c>
      <c r="Q106" s="626"/>
      <c r="R106" s="419"/>
      <c r="S106" s="419">
        <f>SUM(Q106:R106)</f>
        <v>0</v>
      </c>
      <c r="T106" s="419">
        <f>P106-M106+S106</f>
        <v>0</v>
      </c>
      <c r="U106" s="419">
        <f>N106-T106</f>
        <v>15000000</v>
      </c>
      <c r="V106" s="419">
        <f>U106-Z106-X106-AA106-W106-Y106</f>
        <v>0</v>
      </c>
      <c r="W106" s="419"/>
      <c r="X106" s="419"/>
      <c r="Y106" s="419">
        <v>14736186</v>
      </c>
      <c r="Z106" s="419"/>
      <c r="AA106" s="419">
        <f>3510000+263814-3510000</f>
        <v>263814</v>
      </c>
      <c r="AB106" s="448" t="s">
        <v>1512</v>
      </c>
      <c r="AC106" s="448">
        <v>742000</v>
      </c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750"/>
      <c r="AW106" s="750"/>
      <c r="AX106" s="750"/>
    </row>
    <row r="107" spans="1:59" s="5" customFormat="1" ht="45" customHeight="1">
      <c r="A107" s="135">
        <f t="shared" si="13"/>
        <v>103</v>
      </c>
      <c r="B107" s="3">
        <v>20087</v>
      </c>
      <c r="C107" s="3" t="s">
        <v>930</v>
      </c>
      <c r="D107" s="120">
        <f>7500000+1000000</f>
        <v>8500000</v>
      </c>
      <c r="E107" s="120">
        <v>7500000</v>
      </c>
      <c r="F107" s="120">
        <f>D107-E107</f>
        <v>1000000</v>
      </c>
      <c r="G107" s="120">
        <v>0</v>
      </c>
      <c r="H107" s="120">
        <v>1624132</v>
      </c>
      <c r="I107" s="120"/>
      <c r="J107" s="120"/>
      <c r="K107" s="120">
        <f>SUM(I107:J107)</f>
        <v>0</v>
      </c>
      <c r="L107" s="120">
        <f>K107+H107</f>
        <v>1624132</v>
      </c>
      <c r="M107" s="120">
        <f>P107+S107-6500000+1000000+500000-870000</f>
        <v>5868</v>
      </c>
      <c r="N107" s="120">
        <f>6500000-1000000+1000000-500000+870000</f>
        <v>6870000</v>
      </c>
      <c r="O107" s="120">
        <f>D107-L107-M107-N107</f>
        <v>0</v>
      </c>
      <c r="P107" s="120">
        <f>G107-L107</f>
        <v>-1624132</v>
      </c>
      <c r="Q107" s="357"/>
      <c r="R107" s="120">
        <v>7500000</v>
      </c>
      <c r="S107" s="120">
        <f>SUM(Q107:R107)</f>
        <v>7500000</v>
      </c>
      <c r="T107" s="120">
        <f>P107-M107+S107</f>
        <v>5870000</v>
      </c>
      <c r="U107" s="120">
        <f>N107-T107</f>
        <v>1000000</v>
      </c>
      <c r="V107" s="120">
        <f>U107-Z107-X107-AA107-W107-Y107</f>
        <v>0</v>
      </c>
      <c r="W107" s="120"/>
      <c r="X107" s="120"/>
      <c r="Y107" s="120">
        <v>1000000</v>
      </c>
      <c r="Z107" s="120"/>
      <c r="AA107" s="135"/>
      <c r="AB107" s="3" t="s">
        <v>1511</v>
      </c>
      <c r="AC107" s="3">
        <v>742000</v>
      </c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217"/>
      <c r="AW107" s="217"/>
      <c r="AX107" s="217"/>
    </row>
    <row r="108" spans="1:59" s="5" customFormat="1" ht="55.2">
      <c r="A108" s="135">
        <f t="shared" si="13"/>
        <v>104</v>
      </c>
      <c r="B108" s="3">
        <v>20093</v>
      </c>
      <c r="C108" s="3" t="s">
        <v>931</v>
      </c>
      <c r="D108" s="120">
        <v>12000000</v>
      </c>
      <c r="E108" s="120">
        <v>250000</v>
      </c>
      <c r="F108" s="120">
        <f>D108-E108</f>
        <v>11750000</v>
      </c>
      <c r="G108" s="120">
        <v>250000</v>
      </c>
      <c r="H108" s="120">
        <v>14270</v>
      </c>
      <c r="I108" s="120"/>
      <c r="J108" s="120"/>
      <c r="K108" s="120">
        <f>SUM(I108:J108)</f>
        <v>0</v>
      </c>
      <c r="L108" s="120">
        <f>K108+H108</f>
        <v>14270</v>
      </c>
      <c r="M108" s="120">
        <f>P108+S108-230000</f>
        <v>5730</v>
      </c>
      <c r="N108" s="120">
        <f>11750000+230000-1750000</f>
        <v>10230000</v>
      </c>
      <c r="O108" s="120">
        <f>D108-L108-M108-N108</f>
        <v>1750000</v>
      </c>
      <c r="P108" s="120">
        <f>G108-L108</f>
        <v>235730</v>
      </c>
      <c r="Q108" s="357"/>
      <c r="R108" s="120"/>
      <c r="S108" s="120">
        <f>SUM(Q108:R108)</f>
        <v>0</v>
      </c>
      <c r="T108" s="120">
        <f>P108-M108+S108</f>
        <v>230000</v>
      </c>
      <c r="U108" s="120">
        <f>N108-T108</f>
        <v>10000000</v>
      </c>
      <c r="V108" s="120">
        <f>U108-Z108-X108-AA108-W108-Y108</f>
        <v>7523000</v>
      </c>
      <c r="W108" s="120"/>
      <c r="X108" s="120"/>
      <c r="Y108" s="120"/>
      <c r="Z108" s="120"/>
      <c r="AA108" s="120">
        <v>2477000</v>
      </c>
      <c r="AB108" s="3" t="s">
        <v>1390</v>
      </c>
      <c r="AC108" s="3">
        <v>829000</v>
      </c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217"/>
      <c r="AW108" s="217"/>
      <c r="AX108" s="217"/>
    </row>
    <row r="109" spans="1:59" s="5" customFormat="1" ht="45" customHeight="1">
      <c r="A109" s="135">
        <f t="shared" si="13"/>
        <v>105</v>
      </c>
      <c r="B109" s="3">
        <v>20097</v>
      </c>
      <c r="C109" s="3" t="s">
        <v>932</v>
      </c>
      <c r="D109" s="120">
        <v>2900000</v>
      </c>
      <c r="E109" s="120">
        <v>1000000</v>
      </c>
      <c r="F109" s="120">
        <f>D109-E109</f>
        <v>1900000</v>
      </c>
      <c r="G109" s="120">
        <v>0</v>
      </c>
      <c r="H109" s="120"/>
      <c r="I109" s="120"/>
      <c r="J109" s="120"/>
      <c r="K109" s="120">
        <f>SUM(I109:J109)</f>
        <v>0</v>
      </c>
      <c r="L109" s="120">
        <f>K109+H109</f>
        <v>0</v>
      </c>
      <c r="M109" s="120">
        <f>P109+S109</f>
        <v>0</v>
      </c>
      <c r="N109" s="120">
        <v>2900000</v>
      </c>
      <c r="O109" s="120">
        <f>D109-L109-M109-N109</f>
        <v>0</v>
      </c>
      <c r="P109" s="120">
        <f>G109-L109</f>
        <v>0</v>
      </c>
      <c r="Q109" s="357"/>
      <c r="R109" s="120"/>
      <c r="S109" s="120">
        <f>SUM(Q109:R109)</f>
        <v>0</v>
      </c>
      <c r="T109" s="120">
        <f>P109-M109+S109</f>
        <v>0</v>
      </c>
      <c r="U109" s="120">
        <f>N109-T109</f>
        <v>2900000</v>
      </c>
      <c r="V109" s="120">
        <f>U109-Z109-X109-AA109-W109-Y109</f>
        <v>2300000</v>
      </c>
      <c r="W109" s="120"/>
      <c r="X109" s="120"/>
      <c r="Y109" s="120"/>
      <c r="Z109" s="120"/>
      <c r="AA109" s="120">
        <v>600000</v>
      </c>
      <c r="AB109" s="3" t="s">
        <v>1647</v>
      </c>
      <c r="AC109" s="3">
        <v>930000</v>
      </c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217"/>
      <c r="AW109" s="217"/>
      <c r="AX109" s="217"/>
    </row>
    <row r="110" spans="1:59" s="5" customFormat="1" ht="40.200000000000003" customHeight="1">
      <c r="A110" s="135">
        <f t="shared" si="13"/>
        <v>106</v>
      </c>
      <c r="B110" s="3">
        <v>20098</v>
      </c>
      <c r="C110" s="3" t="s">
        <v>933</v>
      </c>
      <c r="D110" s="120">
        <f>250000+250000</f>
        <v>500000</v>
      </c>
      <c r="E110" s="120">
        <v>250000</v>
      </c>
      <c r="F110" s="120">
        <f t="shared" si="14"/>
        <v>250000</v>
      </c>
      <c r="G110" s="120">
        <v>250000</v>
      </c>
      <c r="H110" s="120">
        <v>24336</v>
      </c>
      <c r="I110" s="120"/>
      <c r="J110" s="120"/>
      <c r="K110" s="120">
        <f t="shared" si="11"/>
        <v>0</v>
      </c>
      <c r="L110" s="120">
        <f t="shared" si="15"/>
        <v>24336</v>
      </c>
      <c r="M110" s="120">
        <f>P110+S110-200000-25000</f>
        <v>664</v>
      </c>
      <c r="N110" s="120">
        <f>450000-250000+25000</f>
        <v>225000</v>
      </c>
      <c r="O110" s="120">
        <f t="shared" si="16"/>
        <v>250000</v>
      </c>
      <c r="P110" s="120">
        <f t="shared" si="17"/>
        <v>225664</v>
      </c>
      <c r="Q110" s="357"/>
      <c r="R110" s="120"/>
      <c r="S110" s="120">
        <f t="shared" si="12"/>
        <v>0</v>
      </c>
      <c r="T110" s="120">
        <f t="shared" si="18"/>
        <v>225000</v>
      </c>
      <c r="U110" s="120">
        <f t="shared" si="19"/>
        <v>0</v>
      </c>
      <c r="V110" s="120">
        <f t="shared" si="20"/>
        <v>0</v>
      </c>
      <c r="W110" s="120"/>
      <c r="X110" s="120"/>
      <c r="Y110" s="120"/>
      <c r="Z110" s="120"/>
      <c r="AA110" s="135"/>
      <c r="AB110" s="3" t="s">
        <v>947</v>
      </c>
      <c r="AC110" s="3">
        <v>742000</v>
      </c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217"/>
      <c r="AW110" s="217"/>
      <c r="AX110" s="217"/>
    </row>
    <row r="111" spans="1:59" s="5" customFormat="1" ht="40.200000000000003" customHeight="1">
      <c r="A111" s="135">
        <f t="shared" si="13"/>
        <v>107</v>
      </c>
      <c r="B111" s="19">
        <v>20109</v>
      </c>
      <c r="C111" s="135" t="s">
        <v>962</v>
      </c>
      <c r="D111" s="419">
        <v>1500000</v>
      </c>
      <c r="E111" s="419"/>
      <c r="F111" s="419">
        <f t="shared" si="14"/>
        <v>1500000</v>
      </c>
      <c r="G111" s="419">
        <v>0</v>
      </c>
      <c r="H111" s="419"/>
      <c r="I111" s="419"/>
      <c r="J111" s="419"/>
      <c r="K111" s="419">
        <f t="shared" ref="K111:K112" si="22">I111+J111</f>
        <v>0</v>
      </c>
      <c r="L111" s="419">
        <f t="shared" ref="L111:L112" si="23">H111+K111</f>
        <v>0</v>
      </c>
      <c r="M111" s="419">
        <f t="shared" ref="M111:M112" si="24">P111+S111</f>
        <v>0</v>
      </c>
      <c r="N111" s="419">
        <v>1500000</v>
      </c>
      <c r="O111" s="120">
        <f t="shared" si="16"/>
        <v>0</v>
      </c>
      <c r="P111" s="120">
        <f t="shared" si="17"/>
        <v>0</v>
      </c>
      <c r="Q111" s="120"/>
      <c r="R111" s="120"/>
      <c r="S111" s="120">
        <f t="shared" ref="S111:S112" si="25">SUM(Q111:R111)</f>
        <v>0</v>
      </c>
      <c r="T111" s="120">
        <f t="shared" si="18"/>
        <v>0</v>
      </c>
      <c r="U111" s="120">
        <f t="shared" si="19"/>
        <v>1500000</v>
      </c>
      <c r="V111" s="120">
        <f t="shared" ref="V111:V114" si="26">U111-W111-Z111-AA111</f>
        <v>1500000</v>
      </c>
      <c r="W111" s="120"/>
      <c r="X111" s="120"/>
      <c r="Y111" s="120"/>
      <c r="Z111" s="120"/>
      <c r="AA111" s="120"/>
      <c r="AB111" s="3" t="s">
        <v>1648</v>
      </c>
      <c r="AC111" s="3">
        <v>840000</v>
      </c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272"/>
      <c r="AZ111" s="272"/>
      <c r="BA111" s="272"/>
      <c r="BB111" s="272"/>
      <c r="BC111" s="272"/>
      <c r="BD111" s="272"/>
      <c r="BE111" s="272"/>
      <c r="BF111" s="272"/>
      <c r="BG111" s="272"/>
    </row>
    <row r="112" spans="1:59" s="5" customFormat="1" ht="40.200000000000003" customHeight="1">
      <c r="A112" s="135">
        <f t="shared" si="13"/>
        <v>108</v>
      </c>
      <c r="B112" s="19">
        <v>20110</v>
      </c>
      <c r="C112" s="135" t="s">
        <v>965</v>
      </c>
      <c r="D112" s="120">
        <v>600000</v>
      </c>
      <c r="E112" s="120"/>
      <c r="F112" s="120">
        <f t="shared" si="14"/>
        <v>600000</v>
      </c>
      <c r="G112" s="120">
        <v>0</v>
      </c>
      <c r="H112" s="120"/>
      <c r="I112" s="120"/>
      <c r="J112" s="120"/>
      <c r="K112" s="120">
        <f t="shared" si="22"/>
        <v>0</v>
      </c>
      <c r="L112" s="120">
        <f t="shared" si="23"/>
        <v>0</v>
      </c>
      <c r="M112" s="120">
        <f t="shared" si="24"/>
        <v>0</v>
      </c>
      <c r="N112" s="120">
        <f>600000-100000</f>
        <v>500000</v>
      </c>
      <c r="O112" s="120">
        <f t="shared" si="16"/>
        <v>100000</v>
      </c>
      <c r="P112" s="120">
        <f t="shared" si="17"/>
        <v>0</v>
      </c>
      <c r="Q112" s="120"/>
      <c r="R112" s="120"/>
      <c r="S112" s="120">
        <f t="shared" si="25"/>
        <v>0</v>
      </c>
      <c r="T112" s="120">
        <f t="shared" si="18"/>
        <v>0</v>
      </c>
      <c r="U112" s="120">
        <f t="shared" si="19"/>
        <v>500000</v>
      </c>
      <c r="V112" s="120">
        <f>U112-W112-Z112-AA112-Y112</f>
        <v>0</v>
      </c>
      <c r="W112" s="120"/>
      <c r="X112" s="120"/>
      <c r="Y112" s="120">
        <v>500000</v>
      </c>
      <c r="Z112" s="120"/>
      <c r="AA112" s="120"/>
      <c r="AB112" s="3" t="s">
        <v>1411</v>
      </c>
      <c r="AC112" s="3">
        <v>810000</v>
      </c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272"/>
      <c r="AZ112" s="272"/>
      <c r="BA112" s="272"/>
      <c r="BB112" s="272"/>
      <c r="BC112" s="272"/>
      <c r="BD112" s="272"/>
      <c r="BE112" s="272"/>
      <c r="BF112" s="272"/>
      <c r="BG112" s="272"/>
    </row>
    <row r="113" spans="1:51" s="5" customFormat="1" ht="45" customHeight="1">
      <c r="A113" s="135">
        <f t="shared" si="13"/>
        <v>109</v>
      </c>
      <c r="B113" s="19">
        <v>20111</v>
      </c>
      <c r="C113" s="135" t="s">
        <v>1313</v>
      </c>
      <c r="D113" s="120">
        <v>3400000</v>
      </c>
      <c r="E113" s="120"/>
      <c r="F113" s="120">
        <f t="shared" si="14"/>
        <v>3400000</v>
      </c>
      <c r="G113" s="120"/>
      <c r="H113" s="120"/>
      <c r="I113" s="120"/>
      <c r="J113" s="120"/>
      <c r="K113" s="120"/>
      <c r="L113" s="120"/>
      <c r="M113" s="120"/>
      <c r="N113" s="120">
        <f>2500000-1000000</f>
        <v>1500000</v>
      </c>
      <c r="O113" s="120">
        <f t="shared" si="16"/>
        <v>1900000</v>
      </c>
      <c r="P113" s="120"/>
      <c r="Q113" s="120"/>
      <c r="R113" s="120"/>
      <c r="S113" s="120"/>
      <c r="T113" s="120"/>
      <c r="U113" s="120">
        <f t="shared" si="19"/>
        <v>1500000</v>
      </c>
      <c r="V113" s="120">
        <f t="shared" si="26"/>
        <v>1500000</v>
      </c>
      <c r="W113" s="120"/>
      <c r="X113" s="120"/>
      <c r="Y113" s="120"/>
      <c r="Z113" s="120"/>
      <c r="AA113" s="120"/>
      <c r="AB113" s="3" t="s">
        <v>1342</v>
      </c>
      <c r="AC113" s="3">
        <v>742000</v>
      </c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</row>
    <row r="114" spans="1:51" s="5" customFormat="1" ht="45" customHeight="1">
      <c r="A114" s="135">
        <f t="shared" si="13"/>
        <v>110</v>
      </c>
      <c r="B114" s="19">
        <v>20112</v>
      </c>
      <c r="C114" s="135" t="s">
        <v>1314</v>
      </c>
      <c r="D114" s="120">
        <f>5500000-800000</f>
        <v>4700000</v>
      </c>
      <c r="E114" s="120"/>
      <c r="F114" s="120">
        <f t="shared" si="14"/>
        <v>4700000</v>
      </c>
      <c r="G114" s="120"/>
      <c r="H114" s="120"/>
      <c r="I114" s="120"/>
      <c r="J114" s="120"/>
      <c r="K114" s="120"/>
      <c r="L114" s="120"/>
      <c r="M114" s="120"/>
      <c r="N114" s="120">
        <f>2750000-1750000</f>
        <v>1000000</v>
      </c>
      <c r="O114" s="120">
        <f t="shared" si="16"/>
        <v>3700000</v>
      </c>
      <c r="P114" s="120"/>
      <c r="Q114" s="120"/>
      <c r="R114" s="120"/>
      <c r="S114" s="120"/>
      <c r="T114" s="120"/>
      <c r="U114" s="120">
        <f t="shared" si="19"/>
        <v>1000000</v>
      </c>
      <c r="V114" s="120">
        <f t="shared" si="26"/>
        <v>1000000</v>
      </c>
      <c r="W114" s="120"/>
      <c r="X114" s="120"/>
      <c r="Y114" s="120"/>
      <c r="Z114" s="120"/>
      <c r="AA114" s="120"/>
      <c r="AB114" s="3" t="s">
        <v>1352</v>
      </c>
      <c r="AC114" s="3">
        <v>746000</v>
      </c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</row>
    <row r="115" spans="1:51" s="5" customFormat="1" ht="45" customHeight="1">
      <c r="A115" s="135">
        <f t="shared" si="13"/>
        <v>111</v>
      </c>
      <c r="B115" s="19">
        <v>20113</v>
      </c>
      <c r="C115" s="135" t="s">
        <v>1340</v>
      </c>
      <c r="D115" s="120">
        <v>2030000</v>
      </c>
      <c r="E115" s="120"/>
      <c r="F115" s="120">
        <f>D115-E115</f>
        <v>2030000</v>
      </c>
      <c r="G115" s="120"/>
      <c r="H115" s="120"/>
      <c r="I115" s="120"/>
      <c r="J115" s="120"/>
      <c r="K115" s="120"/>
      <c r="L115" s="120"/>
      <c r="M115" s="120"/>
      <c r="N115" s="120">
        <f>2030000-1030000</f>
        <v>1000000</v>
      </c>
      <c r="O115" s="120">
        <f>D115-L115-M115-N115</f>
        <v>1030000</v>
      </c>
      <c r="P115" s="120"/>
      <c r="Q115" s="120"/>
      <c r="R115" s="120"/>
      <c r="S115" s="120"/>
      <c r="T115" s="120"/>
      <c r="U115" s="120">
        <f>N115-T115</f>
        <v>1000000</v>
      </c>
      <c r="V115" s="120">
        <f>U115-W115-Z115-AA115</f>
        <v>1000000</v>
      </c>
      <c r="W115" s="120"/>
      <c r="X115" s="120"/>
      <c r="Y115" s="120"/>
      <c r="Z115" s="120"/>
      <c r="AA115" s="120"/>
      <c r="AB115" s="3" t="s">
        <v>1341</v>
      </c>
      <c r="AC115" s="3">
        <v>742000</v>
      </c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</row>
    <row r="116" spans="1:51" s="5" customFormat="1" ht="51" customHeight="1">
      <c r="A116" s="135">
        <f t="shared" si="13"/>
        <v>112</v>
      </c>
      <c r="B116" s="19">
        <v>20114</v>
      </c>
      <c r="C116" s="135" t="s">
        <v>1377</v>
      </c>
      <c r="D116" s="120">
        <v>5000000</v>
      </c>
      <c r="E116" s="120"/>
      <c r="F116" s="120">
        <f>D116-E116</f>
        <v>5000000</v>
      </c>
      <c r="G116" s="120"/>
      <c r="H116" s="120"/>
      <c r="I116" s="120"/>
      <c r="J116" s="120"/>
      <c r="K116" s="120"/>
      <c r="L116" s="120"/>
      <c r="M116" s="120"/>
      <c r="N116" s="120">
        <f>5000000-3000000</f>
        <v>2000000</v>
      </c>
      <c r="O116" s="120">
        <f>D116-L116-M116-N116</f>
        <v>3000000</v>
      </c>
      <c r="P116" s="120"/>
      <c r="Q116" s="120"/>
      <c r="R116" s="120"/>
      <c r="S116" s="120"/>
      <c r="T116" s="120"/>
      <c r="U116" s="120">
        <f>N116-T116</f>
        <v>2000000</v>
      </c>
      <c r="V116" s="120">
        <f>U116-W116-Z116-AA116</f>
        <v>1790000</v>
      </c>
      <c r="W116" s="120"/>
      <c r="X116" s="120"/>
      <c r="Y116" s="120"/>
      <c r="Z116" s="120"/>
      <c r="AA116" s="120">
        <f>70000*3</f>
        <v>210000</v>
      </c>
      <c r="AB116" s="3" t="s">
        <v>1410</v>
      </c>
      <c r="AC116" s="3">
        <v>810000</v>
      </c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</row>
    <row r="117" spans="1:51" s="223" customFormat="1" ht="45" customHeight="1">
      <c r="A117" s="137">
        <f>COUNT(A5:A116)</f>
        <v>112</v>
      </c>
      <c r="B117" s="222"/>
      <c r="C117" s="137" t="s">
        <v>167</v>
      </c>
      <c r="D117" s="138">
        <f t="shared" ref="D117:AA117" si="27">SUM(D5:D116)</f>
        <v>2719909650</v>
      </c>
      <c r="E117" s="138">
        <f t="shared" si="27"/>
        <v>2371453556</v>
      </c>
      <c r="F117" s="138">
        <f t="shared" si="27"/>
        <v>348456094</v>
      </c>
      <c r="G117" s="138">
        <f t="shared" si="27"/>
        <v>1028072314</v>
      </c>
      <c r="H117" s="138">
        <f t="shared" si="27"/>
        <v>1002704785</v>
      </c>
      <c r="I117" s="138">
        <f t="shared" si="27"/>
        <v>449944</v>
      </c>
      <c r="J117" s="138">
        <f t="shared" si="27"/>
        <v>1996222</v>
      </c>
      <c r="K117" s="138">
        <f t="shared" si="27"/>
        <v>2446166</v>
      </c>
      <c r="L117" s="138">
        <f t="shared" si="27"/>
        <v>1005150951</v>
      </c>
      <c r="M117" s="138">
        <f t="shared" si="27"/>
        <v>617780</v>
      </c>
      <c r="N117" s="138">
        <f t="shared" si="27"/>
        <v>364647940</v>
      </c>
      <c r="O117" s="138">
        <f t="shared" si="27"/>
        <v>1349492979</v>
      </c>
      <c r="P117" s="138">
        <f t="shared" si="27"/>
        <v>22921363</v>
      </c>
      <c r="Q117" s="138">
        <f t="shared" si="27"/>
        <v>84241899</v>
      </c>
      <c r="R117" s="138">
        <f t="shared" si="27"/>
        <v>7500000</v>
      </c>
      <c r="S117" s="138">
        <f t="shared" si="27"/>
        <v>91741899</v>
      </c>
      <c r="T117" s="138">
        <f t="shared" si="27"/>
        <v>114045482</v>
      </c>
      <c r="U117" s="138">
        <f t="shared" si="27"/>
        <v>250602458</v>
      </c>
      <c r="V117" s="138">
        <f t="shared" si="27"/>
        <v>170276061</v>
      </c>
      <c r="W117" s="138">
        <f t="shared" si="27"/>
        <v>2216408</v>
      </c>
      <c r="X117" s="138">
        <f t="shared" si="27"/>
        <v>0</v>
      </c>
      <c r="Y117" s="138">
        <f t="shared" si="27"/>
        <v>16236186</v>
      </c>
      <c r="Z117" s="138">
        <f t="shared" si="27"/>
        <v>0</v>
      </c>
      <c r="AA117" s="138">
        <f t="shared" si="27"/>
        <v>61873803</v>
      </c>
      <c r="AB117" s="138">
        <f>SUM(AB5:AB110)</f>
        <v>0</v>
      </c>
      <c r="AC117" s="138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217"/>
      <c r="AW117" s="217"/>
      <c r="AX117" s="217"/>
      <c r="AY117" s="225"/>
    </row>
    <row r="118" spans="1:51" s="223" customFormat="1" ht="25.2" customHeight="1">
      <c r="A118" s="137"/>
      <c r="B118" s="222"/>
      <c r="C118" s="137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20">
        <f>G118-L118</f>
        <v>0</v>
      </c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217"/>
      <c r="AW118" s="217"/>
      <c r="AX118" s="217"/>
    </row>
    <row r="119" spans="1:51" s="223" customFormat="1" ht="30" customHeight="1">
      <c r="A119" s="137"/>
      <c r="B119" s="222"/>
      <c r="C119" s="137" t="s">
        <v>124</v>
      </c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20">
        <f>G119-L119</f>
        <v>0</v>
      </c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3"/>
      <c r="AC119" s="137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217"/>
      <c r="AW119" s="217"/>
      <c r="AX119" s="217"/>
    </row>
    <row r="120" spans="1:51" s="134" customFormat="1" ht="55.2">
      <c r="A120" s="135">
        <f>A117+1</f>
        <v>113</v>
      </c>
      <c r="B120" s="135">
        <v>1547</v>
      </c>
      <c r="C120" s="135" t="s">
        <v>383</v>
      </c>
      <c r="D120" s="120">
        <v>144000000</v>
      </c>
      <c r="E120" s="120">
        <v>144000000</v>
      </c>
      <c r="F120" s="120">
        <f>D120-E120</f>
        <v>0</v>
      </c>
      <c r="G120" s="120">
        <v>114000000</v>
      </c>
      <c r="H120" s="120">
        <v>113874221</v>
      </c>
      <c r="I120" s="120"/>
      <c r="J120" s="120"/>
      <c r="K120" s="120">
        <f>SUM(I120:J120)</f>
        <v>0</v>
      </c>
      <c r="L120" s="120">
        <f>K120+H120</f>
        <v>113874221</v>
      </c>
      <c r="M120" s="120">
        <f>P120+S120-125000</f>
        <v>779</v>
      </c>
      <c r="N120" s="120">
        <f>15000000-7000000-2000000+125000-125000</f>
        <v>6000000</v>
      </c>
      <c r="O120" s="120">
        <f>D120-L120-M120-N120</f>
        <v>24125000</v>
      </c>
      <c r="P120" s="120">
        <f>G120-L120</f>
        <v>125779</v>
      </c>
      <c r="Q120" s="357"/>
      <c r="R120" s="120"/>
      <c r="S120" s="120">
        <f>SUM(Q120:R120)</f>
        <v>0</v>
      </c>
      <c r="T120" s="120">
        <f>P120-M120+S120</f>
        <v>125000</v>
      </c>
      <c r="U120" s="120">
        <f>N120-T120</f>
        <v>5875000</v>
      </c>
      <c r="V120" s="120">
        <f>U120-Z120-X120-AA120-W120-Y120</f>
        <v>375000</v>
      </c>
      <c r="W120" s="120"/>
      <c r="X120" s="120"/>
      <c r="Y120" s="120"/>
      <c r="Z120" s="120"/>
      <c r="AA120" s="120">
        <v>5500000</v>
      </c>
      <c r="AB120" s="135" t="s">
        <v>1391</v>
      </c>
      <c r="AC120" s="135">
        <v>742000</v>
      </c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217"/>
      <c r="AW120" s="217"/>
      <c r="AX120" s="217"/>
    </row>
    <row r="121" spans="1:51" ht="45" customHeight="1">
      <c r="A121" s="135">
        <f t="shared" ref="A121:A131" si="28">A120+1</f>
        <v>114</v>
      </c>
      <c r="B121" s="220">
        <v>1827</v>
      </c>
      <c r="C121" s="135" t="s">
        <v>384</v>
      </c>
      <c r="D121" s="120">
        <v>100000000</v>
      </c>
      <c r="E121" s="120">
        <v>100000000</v>
      </c>
      <c r="F121" s="120">
        <f t="shared" ref="F121:F131" si="29">D121-E121</f>
        <v>0</v>
      </c>
      <c r="G121" s="120">
        <v>89000000</v>
      </c>
      <c r="H121" s="120">
        <v>92668742</v>
      </c>
      <c r="I121" s="120"/>
      <c r="J121" s="120"/>
      <c r="K121" s="120">
        <f t="shared" ref="K121:K131" si="30">SUM(I121:J121)</f>
        <v>0</v>
      </c>
      <c r="L121" s="120">
        <f t="shared" ref="L121:L131" si="31">K121+H121</f>
        <v>92668742</v>
      </c>
      <c r="M121" s="120">
        <f>P121+S121-7300000</f>
        <v>31258</v>
      </c>
      <c r="N121" s="120">
        <v>7300000</v>
      </c>
      <c r="O121" s="120">
        <f t="shared" ref="O121:O131" si="32">D121-L121-M121-N121</f>
        <v>0</v>
      </c>
      <c r="P121" s="120">
        <f t="shared" ref="P121:P131" si="33">G121-L121</f>
        <v>-3668742</v>
      </c>
      <c r="Q121" s="357">
        <v>11000000</v>
      </c>
      <c r="R121" s="120"/>
      <c r="S121" s="120">
        <f t="shared" ref="S121:S131" si="34">SUM(Q121:R121)</f>
        <v>11000000</v>
      </c>
      <c r="T121" s="120">
        <f t="shared" ref="T121:T131" si="35">P121-M121+S121</f>
        <v>7300000</v>
      </c>
      <c r="U121" s="120">
        <f t="shared" ref="U121:U131" si="36">N121-T121</f>
        <v>0</v>
      </c>
      <c r="V121" s="120">
        <f t="shared" ref="V121:V131" si="37">U121-Z121-X121-AA121-W121-Y121</f>
        <v>0</v>
      </c>
      <c r="W121" s="120"/>
      <c r="X121" s="120"/>
      <c r="Y121" s="120"/>
      <c r="Z121" s="120"/>
      <c r="AA121" s="135"/>
      <c r="AB121" s="135" t="s">
        <v>1330</v>
      </c>
      <c r="AC121" s="135">
        <v>746000</v>
      </c>
    </row>
    <row r="122" spans="1:51" s="134" customFormat="1" ht="45" customHeight="1">
      <c r="A122" s="135">
        <f t="shared" si="28"/>
        <v>115</v>
      </c>
      <c r="B122" s="135">
        <v>1905</v>
      </c>
      <c r="C122" s="135" t="s">
        <v>101</v>
      </c>
      <c r="D122" s="120">
        <v>3366000</v>
      </c>
      <c r="E122" s="120">
        <v>3366000</v>
      </c>
      <c r="F122" s="120">
        <f t="shared" si="29"/>
        <v>0</v>
      </c>
      <c r="G122" s="120">
        <v>3366000</v>
      </c>
      <c r="H122" s="120"/>
      <c r="I122" s="120"/>
      <c r="J122" s="120"/>
      <c r="K122" s="120">
        <f t="shared" si="30"/>
        <v>0</v>
      </c>
      <c r="L122" s="120">
        <f t="shared" si="31"/>
        <v>0</v>
      </c>
      <c r="M122" s="120">
        <f>P122+S122-3366000</f>
        <v>0</v>
      </c>
      <c r="N122" s="120">
        <v>3366000</v>
      </c>
      <c r="O122" s="120">
        <f t="shared" si="32"/>
        <v>0</v>
      </c>
      <c r="P122" s="120">
        <f t="shared" si="33"/>
        <v>3366000</v>
      </c>
      <c r="Q122" s="357"/>
      <c r="R122" s="120"/>
      <c r="S122" s="120">
        <f t="shared" si="34"/>
        <v>0</v>
      </c>
      <c r="T122" s="120">
        <f t="shared" si="35"/>
        <v>3366000</v>
      </c>
      <c r="U122" s="120">
        <f t="shared" si="36"/>
        <v>0</v>
      </c>
      <c r="V122" s="120">
        <f t="shared" si="37"/>
        <v>0</v>
      </c>
      <c r="W122" s="120"/>
      <c r="X122" s="120"/>
      <c r="Y122" s="120"/>
      <c r="Z122" s="120"/>
      <c r="AA122" s="135"/>
      <c r="AB122" s="135" t="s">
        <v>332</v>
      </c>
      <c r="AC122" s="135">
        <v>746000</v>
      </c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217"/>
      <c r="AW122" s="217"/>
      <c r="AX122" s="217"/>
    </row>
    <row r="123" spans="1:51" s="134" customFormat="1" ht="45" customHeight="1">
      <c r="A123" s="135">
        <f t="shared" si="28"/>
        <v>116</v>
      </c>
      <c r="B123" s="135">
        <v>1908</v>
      </c>
      <c r="C123" s="135" t="s">
        <v>115</v>
      </c>
      <c r="D123" s="120">
        <f>19054496-849</f>
        <v>19053647</v>
      </c>
      <c r="E123" s="120">
        <v>19054496</v>
      </c>
      <c r="F123" s="120">
        <f t="shared" si="29"/>
        <v>-849</v>
      </c>
      <c r="G123" s="120">
        <v>19054496</v>
      </c>
      <c r="H123" s="120">
        <v>19053647</v>
      </c>
      <c r="I123" s="120"/>
      <c r="J123" s="120"/>
      <c r="K123" s="120">
        <f t="shared" si="30"/>
        <v>0</v>
      </c>
      <c r="L123" s="120">
        <f t="shared" si="31"/>
        <v>19053647</v>
      </c>
      <c r="M123" s="120">
        <f>P123+S123-849</f>
        <v>0</v>
      </c>
      <c r="N123" s="120"/>
      <c r="O123" s="120">
        <f t="shared" si="32"/>
        <v>0</v>
      </c>
      <c r="P123" s="120">
        <f t="shared" si="33"/>
        <v>849</v>
      </c>
      <c r="Q123" s="357"/>
      <c r="R123" s="120"/>
      <c r="S123" s="120">
        <f t="shared" si="34"/>
        <v>0</v>
      </c>
      <c r="T123" s="120">
        <f t="shared" si="35"/>
        <v>849</v>
      </c>
      <c r="U123" s="120">
        <f t="shared" si="36"/>
        <v>-849</v>
      </c>
      <c r="V123" s="120">
        <f t="shared" si="37"/>
        <v>-849</v>
      </c>
      <c r="W123" s="120"/>
      <c r="X123" s="120"/>
      <c r="Y123" s="120"/>
      <c r="Z123" s="120"/>
      <c r="AA123" s="135"/>
      <c r="AB123" s="224" t="s">
        <v>1469</v>
      </c>
      <c r="AC123" s="135">
        <v>810000</v>
      </c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217"/>
      <c r="AW123" s="217"/>
      <c r="AX123" s="217"/>
    </row>
    <row r="124" spans="1:51" ht="69">
      <c r="A124" s="135">
        <f t="shared" si="28"/>
        <v>117</v>
      </c>
      <c r="B124" s="220">
        <v>1909</v>
      </c>
      <c r="C124" s="135" t="s">
        <v>412</v>
      </c>
      <c r="D124" s="120">
        <v>184500000</v>
      </c>
      <c r="E124" s="120">
        <v>184500000</v>
      </c>
      <c r="F124" s="120">
        <f t="shared" si="29"/>
        <v>0</v>
      </c>
      <c r="G124" s="120">
        <v>169145785</v>
      </c>
      <c r="H124" s="120">
        <v>169128282</v>
      </c>
      <c r="I124" s="120"/>
      <c r="J124" s="120"/>
      <c r="K124" s="120">
        <f t="shared" si="30"/>
        <v>0</v>
      </c>
      <c r="L124" s="120">
        <f t="shared" si="31"/>
        <v>169128282</v>
      </c>
      <c r="M124" s="120">
        <f>P124+S124-15000</f>
        <v>2503</v>
      </c>
      <c r="N124" s="120">
        <f>15354215+15000-4000000</f>
        <v>11369215</v>
      </c>
      <c r="O124" s="120">
        <f t="shared" si="32"/>
        <v>4000000</v>
      </c>
      <c r="P124" s="120">
        <f t="shared" si="33"/>
        <v>17503</v>
      </c>
      <c r="Q124" s="357"/>
      <c r="R124" s="120"/>
      <c r="S124" s="120">
        <f t="shared" si="34"/>
        <v>0</v>
      </c>
      <c r="T124" s="120">
        <f t="shared" si="35"/>
        <v>15000</v>
      </c>
      <c r="U124" s="120">
        <f t="shared" si="36"/>
        <v>11354215</v>
      </c>
      <c r="V124" s="120">
        <f t="shared" si="37"/>
        <v>6147109</v>
      </c>
      <c r="W124" s="120"/>
      <c r="X124" s="120"/>
      <c r="Y124" s="120"/>
      <c r="Z124" s="120"/>
      <c r="AA124" s="120">
        <f>4470073+737033</f>
        <v>5207106</v>
      </c>
      <c r="AB124" s="221" t="s">
        <v>701</v>
      </c>
      <c r="AC124" s="135">
        <v>810000</v>
      </c>
    </row>
    <row r="125" spans="1:51" ht="45" customHeight="1">
      <c r="A125" s="135">
        <f t="shared" si="28"/>
        <v>118</v>
      </c>
      <c r="B125" s="220">
        <v>1911</v>
      </c>
      <c r="C125" s="135" t="s">
        <v>264</v>
      </c>
      <c r="D125" s="120">
        <f>27236240-300000</f>
        <v>26936240</v>
      </c>
      <c r="E125" s="120">
        <v>27236240</v>
      </c>
      <c r="F125" s="120">
        <f t="shared" si="29"/>
        <v>-300000</v>
      </c>
      <c r="G125" s="120">
        <v>27236240</v>
      </c>
      <c r="H125" s="120">
        <v>26634223</v>
      </c>
      <c r="I125" s="120"/>
      <c r="J125" s="120"/>
      <c r="K125" s="120">
        <f t="shared" si="30"/>
        <v>0</v>
      </c>
      <c r="L125" s="120">
        <f t="shared" si="31"/>
        <v>26634223</v>
      </c>
      <c r="M125" s="120">
        <f>P125+S125-600000</f>
        <v>2017</v>
      </c>
      <c r="N125" s="120">
        <v>300000</v>
      </c>
      <c r="O125" s="120">
        <f t="shared" si="32"/>
        <v>0</v>
      </c>
      <c r="P125" s="120">
        <f t="shared" si="33"/>
        <v>602017</v>
      </c>
      <c r="Q125" s="357"/>
      <c r="R125" s="120"/>
      <c r="S125" s="120">
        <f t="shared" si="34"/>
        <v>0</v>
      </c>
      <c r="T125" s="120">
        <f t="shared" si="35"/>
        <v>600000</v>
      </c>
      <c r="U125" s="120">
        <f t="shared" si="36"/>
        <v>-300000</v>
      </c>
      <c r="V125" s="120">
        <f t="shared" si="37"/>
        <v>-300000</v>
      </c>
      <c r="W125" s="120"/>
      <c r="X125" s="120"/>
      <c r="Y125" s="120"/>
      <c r="Z125" s="120"/>
      <c r="AA125" s="135"/>
      <c r="AB125" s="221" t="s">
        <v>1371</v>
      </c>
      <c r="AC125" s="135">
        <v>810000</v>
      </c>
    </row>
    <row r="126" spans="1:51" ht="55.2">
      <c r="A126" s="135">
        <f t="shared" si="28"/>
        <v>119</v>
      </c>
      <c r="B126" s="220">
        <v>1912</v>
      </c>
      <c r="C126" s="135" t="s">
        <v>385</v>
      </c>
      <c r="D126" s="120">
        <v>430000000</v>
      </c>
      <c r="E126" s="120">
        <v>430000000</v>
      </c>
      <c r="F126" s="120">
        <f t="shared" si="29"/>
        <v>0</v>
      </c>
      <c r="G126" s="120">
        <f>287713073+11691178</f>
        <v>299404251</v>
      </c>
      <c r="H126" s="120">
        <v>299054983</v>
      </c>
      <c r="I126" s="120"/>
      <c r="J126" s="120"/>
      <c r="K126" s="120">
        <f t="shared" si="30"/>
        <v>0</v>
      </c>
      <c r="L126" s="120">
        <f t="shared" si="31"/>
        <v>299054983</v>
      </c>
      <c r="M126" s="120">
        <f>P126+S126-345000</f>
        <v>4268</v>
      </c>
      <c r="N126" s="120">
        <f>100000000-30000000+345000-5000000</f>
        <v>65345000</v>
      </c>
      <c r="O126" s="120">
        <f t="shared" si="32"/>
        <v>65595749</v>
      </c>
      <c r="P126" s="120">
        <f t="shared" si="33"/>
        <v>349268</v>
      </c>
      <c r="Q126" s="357"/>
      <c r="R126" s="120"/>
      <c r="S126" s="120">
        <f t="shared" si="34"/>
        <v>0</v>
      </c>
      <c r="T126" s="120">
        <f t="shared" si="35"/>
        <v>345000</v>
      </c>
      <c r="U126" s="120">
        <f t="shared" si="36"/>
        <v>65000000</v>
      </c>
      <c r="V126" s="120">
        <f t="shared" si="37"/>
        <v>52872606</v>
      </c>
      <c r="W126" s="120"/>
      <c r="X126" s="120"/>
      <c r="Y126" s="120"/>
      <c r="Z126" s="120"/>
      <c r="AA126" s="120">
        <f>2741672+3436847+5948875</f>
        <v>12127394</v>
      </c>
      <c r="AB126" s="221" t="s">
        <v>1372</v>
      </c>
      <c r="AC126" s="135">
        <v>810000</v>
      </c>
    </row>
    <row r="127" spans="1:51" ht="45" customHeight="1">
      <c r="A127" s="135">
        <f t="shared" si="28"/>
        <v>120</v>
      </c>
      <c r="B127" s="220">
        <v>1914</v>
      </c>
      <c r="C127" s="135" t="s">
        <v>114</v>
      </c>
      <c r="D127" s="120">
        <v>8100000</v>
      </c>
      <c r="E127" s="120">
        <v>8100000</v>
      </c>
      <c r="F127" s="120">
        <f t="shared" si="29"/>
        <v>0</v>
      </c>
      <c r="G127" s="120">
        <v>8100000</v>
      </c>
      <c r="H127" s="120">
        <v>7872635</v>
      </c>
      <c r="I127" s="120"/>
      <c r="J127" s="120"/>
      <c r="K127" s="120">
        <f t="shared" si="30"/>
        <v>0</v>
      </c>
      <c r="L127" s="120">
        <f t="shared" si="31"/>
        <v>7872635</v>
      </c>
      <c r="M127" s="120">
        <f>P127+S127-225000</f>
        <v>2365</v>
      </c>
      <c r="N127" s="120">
        <v>225000</v>
      </c>
      <c r="O127" s="120">
        <f t="shared" si="32"/>
        <v>0</v>
      </c>
      <c r="P127" s="120">
        <f t="shared" si="33"/>
        <v>227365</v>
      </c>
      <c r="Q127" s="357"/>
      <c r="R127" s="120"/>
      <c r="S127" s="120">
        <f t="shared" si="34"/>
        <v>0</v>
      </c>
      <c r="T127" s="120">
        <f t="shared" si="35"/>
        <v>225000</v>
      </c>
      <c r="U127" s="120">
        <f t="shared" si="36"/>
        <v>0</v>
      </c>
      <c r="V127" s="120">
        <f t="shared" si="37"/>
        <v>0</v>
      </c>
      <c r="W127" s="120"/>
      <c r="X127" s="120"/>
      <c r="Y127" s="120"/>
      <c r="Z127" s="120"/>
      <c r="AA127" s="135"/>
      <c r="AB127" s="278" t="s">
        <v>1326</v>
      </c>
      <c r="AC127" s="135">
        <v>810000</v>
      </c>
    </row>
    <row r="128" spans="1:51" ht="45" customHeight="1">
      <c r="A128" s="135">
        <f t="shared" si="28"/>
        <v>121</v>
      </c>
      <c r="B128" s="220">
        <v>1919</v>
      </c>
      <c r="C128" s="135" t="s">
        <v>104</v>
      </c>
      <c r="D128" s="120">
        <v>135100000</v>
      </c>
      <c r="E128" s="120">
        <v>135100000</v>
      </c>
      <c r="F128" s="120"/>
      <c r="G128" s="120">
        <v>72024834</v>
      </c>
      <c r="H128" s="120">
        <v>72015642</v>
      </c>
      <c r="I128" s="120"/>
      <c r="J128" s="120"/>
      <c r="K128" s="120">
        <f t="shared" si="30"/>
        <v>0</v>
      </c>
      <c r="L128" s="120">
        <f t="shared" si="31"/>
        <v>72015642</v>
      </c>
      <c r="M128" s="120">
        <f t="shared" ref="M128" si="38">P128+S128</f>
        <v>9192</v>
      </c>
      <c r="N128" s="120">
        <f>13500000-5500000</f>
        <v>8000000</v>
      </c>
      <c r="O128" s="120">
        <f t="shared" si="32"/>
        <v>55075166</v>
      </c>
      <c r="P128" s="120">
        <f t="shared" si="33"/>
        <v>9192</v>
      </c>
      <c r="Q128" s="357"/>
      <c r="R128" s="120"/>
      <c r="S128" s="120">
        <f t="shared" si="34"/>
        <v>0</v>
      </c>
      <c r="T128" s="120">
        <f t="shared" si="35"/>
        <v>0</v>
      </c>
      <c r="U128" s="120">
        <f t="shared" si="36"/>
        <v>8000000</v>
      </c>
      <c r="V128" s="120">
        <f t="shared" si="37"/>
        <v>8000000</v>
      </c>
      <c r="W128" s="120"/>
      <c r="X128" s="120"/>
      <c r="Y128" s="120"/>
      <c r="Z128" s="120"/>
      <c r="AA128" s="135"/>
      <c r="AB128" s="135" t="s">
        <v>1459</v>
      </c>
      <c r="AC128" s="135">
        <v>742000</v>
      </c>
    </row>
    <row r="129" spans="1:51" ht="45" customHeight="1">
      <c r="A129" s="135">
        <f t="shared" si="28"/>
        <v>122</v>
      </c>
      <c r="B129" s="220">
        <v>1960</v>
      </c>
      <c r="C129" s="135" t="s">
        <v>265</v>
      </c>
      <c r="D129" s="120">
        <f>24710000-3230000</f>
        <v>21480000</v>
      </c>
      <c r="E129" s="120">
        <v>24710000</v>
      </c>
      <c r="F129" s="120">
        <f t="shared" si="29"/>
        <v>-3230000</v>
      </c>
      <c r="G129" s="120">
        <v>22421744</v>
      </c>
      <c r="H129" s="120">
        <v>20975550</v>
      </c>
      <c r="I129" s="120"/>
      <c r="J129" s="120"/>
      <c r="K129" s="120">
        <f t="shared" si="30"/>
        <v>0</v>
      </c>
      <c r="L129" s="120">
        <f t="shared" si="31"/>
        <v>20975550</v>
      </c>
      <c r="M129" s="120">
        <f>P129+S129-3730000</f>
        <v>4450</v>
      </c>
      <c r="N129" s="120">
        <v>500000</v>
      </c>
      <c r="O129" s="120">
        <f t="shared" si="32"/>
        <v>0</v>
      </c>
      <c r="P129" s="120">
        <f t="shared" si="33"/>
        <v>1446194</v>
      </c>
      <c r="Q129" s="357">
        <v>2288256</v>
      </c>
      <c r="R129" s="120"/>
      <c r="S129" s="120">
        <f t="shared" si="34"/>
        <v>2288256</v>
      </c>
      <c r="T129" s="120">
        <f t="shared" si="35"/>
        <v>3730000</v>
      </c>
      <c r="U129" s="120">
        <f t="shared" si="36"/>
        <v>-3230000</v>
      </c>
      <c r="V129" s="120">
        <f t="shared" si="37"/>
        <v>-3352590</v>
      </c>
      <c r="W129" s="120"/>
      <c r="X129" s="120"/>
      <c r="Y129" s="120"/>
      <c r="Z129" s="120"/>
      <c r="AA129" s="120">
        <f>2846661-2724071</f>
        <v>122590</v>
      </c>
      <c r="AB129" s="221" t="s">
        <v>1418</v>
      </c>
      <c r="AC129" s="135">
        <v>810000</v>
      </c>
    </row>
    <row r="130" spans="1:51" ht="45" customHeight="1">
      <c r="A130" s="135">
        <f t="shared" si="28"/>
        <v>123</v>
      </c>
      <c r="B130" s="220">
        <v>1962</v>
      </c>
      <c r="C130" s="135" t="s">
        <v>122</v>
      </c>
      <c r="D130" s="120">
        <v>20000000</v>
      </c>
      <c r="E130" s="120">
        <v>20000000</v>
      </c>
      <c r="F130" s="120">
        <f t="shared" si="29"/>
        <v>0</v>
      </c>
      <c r="G130" s="120">
        <v>100000</v>
      </c>
      <c r="H130" s="120"/>
      <c r="I130" s="120"/>
      <c r="J130" s="120"/>
      <c r="K130" s="120">
        <f t="shared" si="30"/>
        <v>0</v>
      </c>
      <c r="L130" s="120">
        <f t="shared" si="31"/>
        <v>0</v>
      </c>
      <c r="M130" s="120">
        <f>P130+S130-100000</f>
        <v>0</v>
      </c>
      <c r="N130" s="120">
        <v>100000</v>
      </c>
      <c r="O130" s="120">
        <f t="shared" si="32"/>
        <v>19900000</v>
      </c>
      <c r="P130" s="120">
        <f t="shared" si="33"/>
        <v>100000</v>
      </c>
      <c r="Q130" s="357"/>
      <c r="R130" s="120"/>
      <c r="S130" s="120">
        <f t="shared" si="34"/>
        <v>0</v>
      </c>
      <c r="T130" s="120">
        <f t="shared" si="35"/>
        <v>100000</v>
      </c>
      <c r="U130" s="120">
        <f t="shared" si="36"/>
        <v>0</v>
      </c>
      <c r="V130" s="120">
        <f t="shared" si="37"/>
        <v>0</v>
      </c>
      <c r="W130" s="120"/>
      <c r="X130" s="120"/>
      <c r="Y130" s="120"/>
      <c r="Z130" s="120"/>
      <c r="AA130" s="135"/>
      <c r="AB130" s="221" t="s">
        <v>475</v>
      </c>
      <c r="AC130" s="135">
        <v>742000</v>
      </c>
    </row>
    <row r="131" spans="1:51" ht="45" customHeight="1">
      <c r="A131" s="135">
        <f t="shared" si="28"/>
        <v>124</v>
      </c>
      <c r="B131" s="135">
        <v>1965</v>
      </c>
      <c r="C131" s="135" t="s">
        <v>266</v>
      </c>
      <c r="D131" s="120">
        <f>97500000-8500000-2000000</f>
        <v>87000000</v>
      </c>
      <c r="E131" s="120">
        <v>35000000</v>
      </c>
      <c r="F131" s="120">
        <f t="shared" si="29"/>
        <v>52000000</v>
      </c>
      <c r="G131" s="120">
        <v>2100000</v>
      </c>
      <c r="H131" s="120">
        <v>2066817</v>
      </c>
      <c r="I131" s="120"/>
      <c r="J131" s="120"/>
      <c r="K131" s="120">
        <f t="shared" si="30"/>
        <v>0</v>
      </c>
      <c r="L131" s="120">
        <f t="shared" si="31"/>
        <v>2066817</v>
      </c>
      <c r="M131" s="120">
        <f>P131+S131-30000</f>
        <v>3183</v>
      </c>
      <c r="N131" s="120">
        <f>60000000-40000000+30000-2000000</f>
        <v>18030000</v>
      </c>
      <c r="O131" s="120">
        <f t="shared" si="32"/>
        <v>66900000</v>
      </c>
      <c r="P131" s="120">
        <f t="shared" si="33"/>
        <v>33183</v>
      </c>
      <c r="Q131" s="357"/>
      <c r="R131" s="120"/>
      <c r="S131" s="120">
        <f t="shared" si="34"/>
        <v>0</v>
      </c>
      <c r="T131" s="120">
        <f t="shared" si="35"/>
        <v>30000</v>
      </c>
      <c r="U131" s="120">
        <f t="shared" si="36"/>
        <v>18000000</v>
      </c>
      <c r="V131" s="120">
        <f t="shared" si="37"/>
        <v>6751594</v>
      </c>
      <c r="W131" s="120"/>
      <c r="X131" s="120"/>
      <c r="Y131" s="120"/>
      <c r="Z131" s="120"/>
      <c r="AA131" s="120">
        <f>9696902+1551504</f>
        <v>11248406</v>
      </c>
      <c r="AB131" s="278" t="s">
        <v>1514</v>
      </c>
      <c r="AC131" s="135">
        <v>810000</v>
      </c>
    </row>
    <row r="132" spans="1:51" s="223" customFormat="1" ht="45" customHeight="1">
      <c r="A132" s="219">
        <f>COUNT(A120:A131)</f>
        <v>12</v>
      </c>
      <c r="B132" s="222"/>
      <c r="C132" s="137" t="s">
        <v>267</v>
      </c>
      <c r="D132" s="138">
        <f t="shared" ref="D132:AB132" si="39">SUM(D120:D131)</f>
        <v>1179535887</v>
      </c>
      <c r="E132" s="138">
        <f t="shared" si="39"/>
        <v>1131066736</v>
      </c>
      <c r="F132" s="138">
        <f t="shared" si="39"/>
        <v>48469151</v>
      </c>
      <c r="G132" s="138">
        <f t="shared" si="39"/>
        <v>825953350</v>
      </c>
      <c r="H132" s="138">
        <f t="shared" si="39"/>
        <v>823344742</v>
      </c>
      <c r="I132" s="138">
        <f t="shared" si="39"/>
        <v>0</v>
      </c>
      <c r="J132" s="138">
        <f t="shared" si="39"/>
        <v>0</v>
      </c>
      <c r="K132" s="138">
        <f t="shared" si="39"/>
        <v>0</v>
      </c>
      <c r="L132" s="138">
        <f t="shared" si="39"/>
        <v>823344742</v>
      </c>
      <c r="M132" s="138">
        <f t="shared" si="39"/>
        <v>60015</v>
      </c>
      <c r="N132" s="138">
        <f t="shared" si="39"/>
        <v>120535215</v>
      </c>
      <c r="O132" s="138">
        <f t="shared" si="39"/>
        <v>235595915</v>
      </c>
      <c r="P132" s="138">
        <f t="shared" si="39"/>
        <v>2608608</v>
      </c>
      <c r="Q132" s="138">
        <f t="shared" si="39"/>
        <v>13288256</v>
      </c>
      <c r="R132" s="138">
        <f t="shared" si="39"/>
        <v>0</v>
      </c>
      <c r="S132" s="138">
        <f t="shared" si="39"/>
        <v>13288256</v>
      </c>
      <c r="T132" s="138">
        <f t="shared" si="39"/>
        <v>15836849</v>
      </c>
      <c r="U132" s="138">
        <f t="shared" si="39"/>
        <v>104698366</v>
      </c>
      <c r="V132" s="138">
        <f t="shared" si="39"/>
        <v>70492870</v>
      </c>
      <c r="W132" s="138">
        <f t="shared" si="39"/>
        <v>0</v>
      </c>
      <c r="X132" s="138">
        <f t="shared" si="39"/>
        <v>0</v>
      </c>
      <c r="Y132" s="138">
        <f t="shared" si="39"/>
        <v>0</v>
      </c>
      <c r="Z132" s="138">
        <f t="shared" si="39"/>
        <v>0</v>
      </c>
      <c r="AA132" s="138">
        <f t="shared" si="39"/>
        <v>34205496</v>
      </c>
      <c r="AB132" s="138">
        <f t="shared" si="39"/>
        <v>0</v>
      </c>
      <c r="AC132" s="138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217"/>
      <c r="AW132" s="217"/>
      <c r="AX132" s="217"/>
    </row>
    <row r="133" spans="1:51" s="288" customFormat="1" ht="45" customHeight="1">
      <c r="A133" s="246">
        <f>A131</f>
        <v>124</v>
      </c>
      <c r="B133" s="246"/>
      <c r="C133" s="20" t="s">
        <v>435</v>
      </c>
      <c r="D133" s="287">
        <f t="shared" ref="D133:AC133" si="40">D132+D117</f>
        <v>3899445537</v>
      </c>
      <c r="E133" s="287">
        <f t="shared" si="40"/>
        <v>3502520292</v>
      </c>
      <c r="F133" s="287">
        <f t="shared" si="40"/>
        <v>396925245</v>
      </c>
      <c r="G133" s="287">
        <f t="shared" si="40"/>
        <v>1854025664</v>
      </c>
      <c r="H133" s="287">
        <f t="shared" si="40"/>
        <v>1826049527</v>
      </c>
      <c r="I133" s="287">
        <f t="shared" si="40"/>
        <v>449944</v>
      </c>
      <c r="J133" s="287">
        <f t="shared" si="40"/>
        <v>1996222</v>
      </c>
      <c r="K133" s="287">
        <f t="shared" si="40"/>
        <v>2446166</v>
      </c>
      <c r="L133" s="287">
        <f t="shared" si="40"/>
        <v>1828495693</v>
      </c>
      <c r="M133" s="287">
        <f t="shared" si="40"/>
        <v>677795</v>
      </c>
      <c r="N133" s="287">
        <f t="shared" si="40"/>
        <v>485183155</v>
      </c>
      <c r="O133" s="287">
        <f t="shared" si="40"/>
        <v>1585088894</v>
      </c>
      <c r="P133" s="287">
        <f t="shared" si="40"/>
        <v>25529971</v>
      </c>
      <c r="Q133" s="287">
        <f t="shared" si="40"/>
        <v>97530155</v>
      </c>
      <c r="R133" s="287">
        <f t="shared" si="40"/>
        <v>7500000</v>
      </c>
      <c r="S133" s="287">
        <f t="shared" si="40"/>
        <v>105030155</v>
      </c>
      <c r="T133" s="287">
        <f t="shared" si="40"/>
        <v>129882331</v>
      </c>
      <c r="U133" s="287">
        <f t="shared" si="40"/>
        <v>355300824</v>
      </c>
      <c r="V133" s="287">
        <f t="shared" si="40"/>
        <v>240768931</v>
      </c>
      <c r="W133" s="287">
        <f t="shared" si="40"/>
        <v>2216408</v>
      </c>
      <c r="X133" s="287">
        <f t="shared" si="40"/>
        <v>0</v>
      </c>
      <c r="Y133" s="287">
        <f t="shared" si="40"/>
        <v>16236186</v>
      </c>
      <c r="Z133" s="287">
        <f t="shared" si="40"/>
        <v>0</v>
      </c>
      <c r="AA133" s="287">
        <f t="shared" si="40"/>
        <v>96079299</v>
      </c>
      <c r="AB133" s="287">
        <f t="shared" si="40"/>
        <v>0</v>
      </c>
      <c r="AC133" s="287">
        <f t="shared" si="40"/>
        <v>0</v>
      </c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217"/>
      <c r="AW133" s="217"/>
      <c r="AX133" s="217"/>
      <c r="AY133" s="358"/>
    </row>
    <row r="134" spans="1:51" hidden="1">
      <c r="D134" s="348">
        <f>SUM(L133:O133)</f>
        <v>3899445537</v>
      </c>
      <c r="F134" s="132">
        <f>D133-E133</f>
        <v>396925245</v>
      </c>
      <c r="L134" s="348">
        <f>H133+K133</f>
        <v>1828495693</v>
      </c>
      <c r="P134" s="348">
        <f>G133-L134</f>
        <v>25529971</v>
      </c>
      <c r="T134" s="348">
        <f>P134+S133-M133</f>
        <v>129882331</v>
      </c>
      <c r="U134" s="348">
        <f>N133-T134</f>
        <v>355300824</v>
      </c>
      <c r="V134" s="132"/>
      <c r="W134" s="132"/>
      <c r="X134" s="132"/>
      <c r="Y134" s="132"/>
      <c r="Z134" s="132"/>
      <c r="AA134" s="132"/>
    </row>
    <row r="135" spans="1:51" hidden="1">
      <c r="D135" s="348">
        <f>D133-D134</f>
        <v>0</v>
      </c>
      <c r="L135" s="348">
        <f>L133-L134</f>
        <v>0</v>
      </c>
      <c r="P135" s="348">
        <f>P133-P134</f>
        <v>0</v>
      </c>
      <c r="T135" s="348">
        <f>T133-T134</f>
        <v>0</v>
      </c>
      <c r="U135" s="348">
        <f>U133-U134</f>
        <v>0</v>
      </c>
      <c r="V135" s="132"/>
      <c r="W135" s="132"/>
      <c r="X135" s="132"/>
      <c r="Y135" s="132"/>
      <c r="Z135" s="132"/>
      <c r="AA135" s="132"/>
    </row>
    <row r="136" spans="1:51" hidden="1">
      <c r="U136" s="132"/>
      <c r="V136" s="132"/>
      <c r="W136" s="132"/>
      <c r="X136" s="132"/>
      <c r="Y136" s="132"/>
      <c r="Z136" s="132"/>
      <c r="AA136" s="132"/>
      <c r="AB136" s="132"/>
      <c r="AC136" s="132"/>
    </row>
    <row r="137" spans="1:51">
      <c r="U137" s="132"/>
      <c r="V137" s="132"/>
      <c r="W137" s="132"/>
      <c r="X137" s="132"/>
      <c r="Y137" s="132"/>
      <c r="Z137" s="132"/>
      <c r="AA137" s="132"/>
      <c r="AB137" s="132"/>
      <c r="AC137" s="132"/>
    </row>
    <row r="138" spans="1:51">
      <c r="U138" s="132"/>
      <c r="V138" s="132"/>
      <c r="W138" s="132"/>
      <c r="X138" s="132"/>
      <c r="Y138" s="132"/>
      <c r="Z138" s="132"/>
      <c r="AA138" s="132"/>
      <c r="AB138" s="132"/>
      <c r="AC138" s="132"/>
    </row>
    <row r="139" spans="1:51">
      <c r="U139" s="132"/>
      <c r="V139" s="132"/>
      <c r="W139" s="132"/>
      <c r="X139" s="132"/>
      <c r="Y139" s="132"/>
      <c r="Z139" s="132"/>
      <c r="AA139" s="132"/>
      <c r="AB139" s="132"/>
      <c r="AC139" s="132"/>
    </row>
    <row r="140" spans="1:51">
      <c r="U140" s="132"/>
      <c r="V140" s="132"/>
      <c r="W140" s="132"/>
      <c r="X140" s="132"/>
      <c r="Y140" s="132"/>
      <c r="Z140" s="132"/>
      <c r="AA140" s="132"/>
      <c r="AB140" s="132"/>
      <c r="AC140" s="132"/>
    </row>
    <row r="141" spans="1:51">
      <c r="AB141" s="131"/>
    </row>
    <row r="142" spans="1:51">
      <c r="AB142" s="131"/>
    </row>
    <row r="143" spans="1:51">
      <c r="AB143" s="131"/>
    </row>
    <row r="144" spans="1:51">
      <c r="AB144" s="131"/>
    </row>
    <row r="145" spans="28:28">
      <c r="AB145" s="131"/>
    </row>
    <row r="146" spans="28:28">
      <c r="AB146" s="131"/>
    </row>
    <row r="147" spans="28:28">
      <c r="AB147" s="131"/>
    </row>
    <row r="148" spans="28:28">
      <c r="AB148" s="131"/>
    </row>
    <row r="149" spans="28:28">
      <c r="AB149" s="131"/>
    </row>
    <row r="150" spans="28:28">
      <c r="AB150" s="131"/>
    </row>
    <row r="151" spans="28:28">
      <c r="AB151" s="131"/>
    </row>
    <row r="152" spans="28:28">
      <c r="AB152" s="131"/>
    </row>
    <row r="153" spans="28:28">
      <c r="AB153" s="131"/>
    </row>
    <row r="154" spans="28:28">
      <c r="AB154" s="131"/>
    </row>
    <row r="155" spans="28:28">
      <c r="AB155" s="131"/>
    </row>
    <row r="156" spans="28:28">
      <c r="AB156" s="131"/>
    </row>
    <row r="157" spans="28:28">
      <c r="AB157" s="131"/>
    </row>
    <row r="158" spans="28:28">
      <c r="AB158" s="131"/>
    </row>
  </sheetData>
  <sheetProtection formatCells="0" formatColumns="0" formatRows="0" insertColumns="0" insertRows="0" insertHyperlinks="0" deleteColumns="0" deleteRows="0" sort="0" autoFilter="0" pivotTables="0"/>
  <conditionalFormatting sqref="O18">
    <cfRule type="cellIs" dxfId="433" priority="6" operator="lessThan">
      <formula>0</formula>
    </cfRule>
  </conditionalFormatting>
  <conditionalFormatting sqref="O74">
    <cfRule type="cellIs" dxfId="432" priority="5" operator="lessThan">
      <formula>0</formula>
    </cfRule>
  </conditionalFormatting>
  <conditionalFormatting sqref="O90">
    <cfRule type="cellIs" dxfId="431" priority="4" operator="lessThan">
      <formula>0</formula>
    </cfRule>
  </conditionalFormatting>
  <conditionalFormatting sqref="AB4">
    <cfRule type="cellIs" dxfId="430" priority="7" operator="equal">
      <formula>0</formula>
    </cfRule>
  </conditionalFormatting>
  <conditionalFormatting sqref="AF4">
    <cfRule type="cellIs" dxfId="429" priority="3" operator="equal">
      <formula>0</formula>
    </cfRule>
  </conditionalFormatting>
  <conditionalFormatting sqref="AG4">
    <cfRule type="cellIs" dxfId="428" priority="2" operator="equal">
      <formula>0</formula>
    </cfRule>
  </conditionalFormatting>
  <conditionalFormatting sqref="AJ4">
    <cfRule type="cellIs" dxfId="427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76"/>
  <sheetViews>
    <sheetView showZeros="0" rightToLeft="1" zoomScaleNormal="100" workbookViewId="0">
      <pane xSplit="3" ySplit="4" topLeftCell="D73" activePane="bottomRight" state="frozen"/>
      <selection activeCell="S45" sqref="S45"/>
      <selection pane="topRight" activeCell="S45" sqref="S45"/>
      <selection pane="bottomLeft" activeCell="S45" sqref="S45"/>
      <selection pane="bottomRight" activeCell="M80" sqref="M80"/>
    </sheetView>
  </sheetViews>
  <sheetFormatPr defaultColWidth="9.109375" defaultRowHeight="13.8"/>
  <cols>
    <col min="1" max="1" width="5" style="131" customWidth="1"/>
    <col min="2" max="2" width="5.33203125" style="216" customWidth="1"/>
    <col min="3" max="3" width="17.6640625" style="139" customWidth="1"/>
    <col min="4" max="4" width="11.5546875" style="132" customWidth="1"/>
    <col min="5" max="5" width="12.6640625" style="132" hidden="1" customWidth="1"/>
    <col min="6" max="6" width="11.6640625" style="132" hidden="1" customWidth="1"/>
    <col min="7" max="7" width="13" style="132" hidden="1" customWidth="1"/>
    <col min="8" max="8" width="14.33203125" style="132" hidden="1" customWidth="1"/>
    <col min="9" max="11" width="10.6640625" style="132" hidden="1" customWidth="1"/>
    <col min="12" max="12" width="11.6640625" style="132" customWidth="1"/>
    <col min="13" max="13" width="7.33203125" style="132" customWidth="1"/>
    <col min="14" max="14" width="10" style="132" customWidth="1"/>
    <col min="15" max="15" width="11.5546875" style="132" customWidth="1"/>
    <col min="16" max="17" width="11.109375" style="132" hidden="1" customWidth="1"/>
    <col min="18" max="18" width="11.88671875" style="132" hidden="1" customWidth="1"/>
    <col min="19" max="19" width="13" style="132" hidden="1" customWidth="1"/>
    <col min="20" max="20" width="10" style="132" customWidth="1"/>
    <col min="21" max="21" width="10.5546875" style="131" customWidth="1"/>
    <col min="22" max="22" width="10.33203125" style="131" customWidth="1"/>
    <col min="23" max="23" width="10.109375" style="131" customWidth="1"/>
    <col min="24" max="24" width="10.6640625" style="131" hidden="1" customWidth="1"/>
    <col min="25" max="25" width="9.6640625" style="131" customWidth="1"/>
    <col min="26" max="26" width="8.33203125" style="131" hidden="1" customWidth="1"/>
    <col min="27" max="27" width="9.44140625" style="131" customWidth="1"/>
    <col min="28" max="28" width="26.5546875" style="234" customWidth="1"/>
    <col min="29" max="29" width="10.6640625" style="131" customWidth="1"/>
    <col min="30" max="30" width="24.6640625" style="131" customWidth="1"/>
    <col min="31" max="31" width="27.6640625" style="131" customWidth="1"/>
    <col min="32" max="32" width="12" style="131" customWidth="1"/>
    <col min="33" max="33" width="10.6640625" style="131" customWidth="1"/>
    <col min="34" max="34" width="28.109375" style="131" customWidth="1"/>
    <col min="35" max="35" width="6.6640625" style="131" customWidth="1"/>
    <col min="36" max="36" width="12" style="131" customWidth="1"/>
    <col min="37" max="37" width="16.109375" style="131" customWidth="1"/>
    <col min="38" max="38" width="23.88671875" style="131" customWidth="1"/>
    <col min="39" max="39" width="10.33203125" style="131" customWidth="1"/>
    <col min="40" max="40" width="15" style="131" customWidth="1"/>
    <col min="41" max="41" width="16.33203125" style="131" customWidth="1"/>
    <col min="42" max="42" width="23.88671875" style="131" customWidth="1"/>
    <col min="43" max="44" width="11.109375" style="131" bestFit="1" customWidth="1"/>
    <col min="45" max="47" width="10.6640625" style="131" customWidth="1"/>
    <col min="48" max="50" width="10.6640625" style="217" customWidth="1"/>
    <col min="51" max="51" width="11.109375" style="131" bestFit="1" customWidth="1"/>
    <col min="52" max="16384" width="9.109375" style="131"/>
  </cols>
  <sheetData>
    <row r="1" spans="1:59" s="141" customFormat="1" ht="18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215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217"/>
      <c r="AW1" s="217"/>
      <c r="AX1" s="217"/>
    </row>
    <row r="2" spans="1:59" ht="18">
      <c r="A2" s="154" t="s">
        <v>171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764">
        <f>AA75-566515</f>
        <v>-566515</v>
      </c>
      <c r="Y2" s="154"/>
      <c r="Z2" s="154"/>
      <c r="AA2" s="154"/>
      <c r="AB2" s="765"/>
    </row>
    <row r="3" spans="1:59">
      <c r="U3" s="132"/>
      <c r="V3" s="896" t="s">
        <v>79</v>
      </c>
      <c r="W3" s="896"/>
      <c r="X3" s="896"/>
      <c r="Y3" s="896"/>
      <c r="Z3" s="896"/>
      <c r="AA3" s="896"/>
    </row>
    <row r="4" spans="1:59" s="217" customFormat="1" ht="93" customHeight="1">
      <c r="A4" s="326" t="s">
        <v>623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296" t="s">
        <v>11</v>
      </c>
      <c r="M4" s="133" t="s">
        <v>917</v>
      </c>
      <c r="N4" s="133" t="s">
        <v>918</v>
      </c>
      <c r="O4" s="2" t="s">
        <v>919</v>
      </c>
      <c r="P4" s="2" t="s">
        <v>12</v>
      </c>
      <c r="Q4" s="133" t="s">
        <v>920</v>
      </c>
      <c r="R4" s="133" t="s">
        <v>921</v>
      </c>
      <c r="S4" s="2" t="s">
        <v>922</v>
      </c>
      <c r="T4" s="2" t="s">
        <v>923</v>
      </c>
      <c r="U4" s="2" t="s">
        <v>924</v>
      </c>
      <c r="V4" s="13" t="s">
        <v>13</v>
      </c>
      <c r="W4" s="1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356" t="s">
        <v>242</v>
      </c>
      <c r="AC4" s="133" t="s">
        <v>16</v>
      </c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</row>
    <row r="5" spans="1:59" s="217" customFormat="1" ht="24.6" customHeight="1">
      <c r="A5" s="326"/>
      <c r="B5" s="133"/>
      <c r="C5" s="138">
        <v>73</v>
      </c>
      <c r="D5" s="133"/>
      <c r="E5" s="133"/>
      <c r="F5" s="133"/>
      <c r="G5" s="133"/>
      <c r="H5" s="133"/>
      <c r="I5" s="133"/>
      <c r="J5" s="133"/>
      <c r="K5" s="133"/>
      <c r="L5" s="296"/>
      <c r="M5" s="133"/>
      <c r="N5" s="133"/>
      <c r="O5" s="2"/>
      <c r="P5" s="2"/>
      <c r="Q5" s="133"/>
      <c r="R5" s="133"/>
      <c r="S5" s="2"/>
      <c r="T5" s="2"/>
      <c r="U5" s="2"/>
      <c r="V5" s="13"/>
      <c r="W5" s="13"/>
      <c r="X5" s="133"/>
      <c r="Y5" s="133"/>
      <c r="Z5" s="133"/>
      <c r="AA5" s="133"/>
      <c r="AB5" s="356"/>
      <c r="AC5" s="133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</row>
    <row r="6" spans="1:59" s="134" customFormat="1" ht="63" customHeight="1">
      <c r="A6" s="135">
        <v>1</v>
      </c>
      <c r="B6" s="3">
        <v>1620</v>
      </c>
      <c r="C6" s="19" t="s">
        <v>1374</v>
      </c>
      <c r="D6" s="4">
        <v>4200000</v>
      </c>
      <c r="E6" s="4">
        <v>4200000</v>
      </c>
      <c r="F6" s="4">
        <f t="shared" ref="F6:F12" si="0">D6-E6</f>
        <v>0</v>
      </c>
      <c r="G6" s="4">
        <v>100000</v>
      </c>
      <c r="H6" s="4"/>
      <c r="I6" s="4"/>
      <c r="J6" s="4"/>
      <c r="K6" s="4">
        <f t="shared" ref="K6:K12" si="1">SUM(I6:J6)</f>
        <v>0</v>
      </c>
      <c r="L6" s="4">
        <f>H6+K6</f>
        <v>0</v>
      </c>
      <c r="M6" s="4">
        <f>P6+S6-200000</f>
        <v>0</v>
      </c>
      <c r="N6" s="4">
        <f>1500000-750000-750000+200000</f>
        <v>200000</v>
      </c>
      <c r="O6" s="4">
        <f t="shared" ref="O6:O12" si="2">D6-L6-M6-N6</f>
        <v>4000000</v>
      </c>
      <c r="P6" s="4">
        <f t="shared" ref="P6:P12" si="3">G6-L6</f>
        <v>100000</v>
      </c>
      <c r="Q6" s="354">
        <v>100000</v>
      </c>
      <c r="R6" s="4"/>
      <c r="S6" s="4">
        <f t="shared" ref="S6:S12" si="4">SUM(Q6:R6)</f>
        <v>100000</v>
      </c>
      <c r="T6" s="4">
        <f t="shared" ref="T6:T12" si="5">P6-M6+S6</f>
        <v>200000</v>
      </c>
      <c r="U6" s="4">
        <f t="shared" ref="U6:U12" si="6">N6-T6</f>
        <v>0</v>
      </c>
      <c r="V6" s="4">
        <f>U6-AA6-W6-Z6-Y6-X6</f>
        <v>0</v>
      </c>
      <c r="W6" s="4"/>
      <c r="X6" s="4"/>
      <c r="Y6" s="4"/>
      <c r="Z6" s="4"/>
      <c r="AA6" s="3"/>
      <c r="AB6" s="3" t="s">
        <v>786</v>
      </c>
      <c r="AC6" s="3">
        <v>732000</v>
      </c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8"/>
      <c r="AW6" s="18"/>
      <c r="AX6" s="18"/>
      <c r="AY6" s="18"/>
      <c r="AZ6" s="5"/>
      <c r="BA6" s="5"/>
      <c r="BB6" s="5"/>
      <c r="BC6" s="5"/>
      <c r="BD6" s="5"/>
      <c r="BE6" s="5"/>
      <c r="BF6" s="5"/>
      <c r="BG6" s="5"/>
    </row>
    <row r="7" spans="1:59" s="136" customFormat="1" ht="35.4" customHeight="1">
      <c r="A7" s="135">
        <f>A6+1</f>
        <v>2</v>
      </c>
      <c r="B7" s="3">
        <v>1693</v>
      </c>
      <c r="C7" s="3" t="s">
        <v>100</v>
      </c>
      <c r="D7" s="120">
        <v>4500000</v>
      </c>
      <c r="E7" s="120">
        <v>4500000</v>
      </c>
      <c r="F7" s="120">
        <f t="shared" si="0"/>
        <v>0</v>
      </c>
      <c r="G7" s="120">
        <v>2416703</v>
      </c>
      <c r="H7" s="120">
        <v>708955</v>
      </c>
      <c r="I7" s="120">
        <f>449944</f>
        <v>449944</v>
      </c>
      <c r="J7" s="120">
        <v>166720</v>
      </c>
      <c r="K7" s="120">
        <f t="shared" si="1"/>
        <v>616664</v>
      </c>
      <c r="L7" s="120">
        <f>K7+H7</f>
        <v>1325619</v>
      </c>
      <c r="M7" s="120">
        <f>P7+S7-700000-390000</f>
        <v>1084</v>
      </c>
      <c r="N7" s="120">
        <f>700000+390000</f>
        <v>1090000</v>
      </c>
      <c r="O7" s="120">
        <f t="shared" si="2"/>
        <v>2083297</v>
      </c>
      <c r="P7" s="120">
        <f t="shared" si="3"/>
        <v>1091084</v>
      </c>
      <c r="Q7" s="357"/>
      <c r="R7" s="120"/>
      <c r="S7" s="120">
        <f t="shared" si="4"/>
        <v>0</v>
      </c>
      <c r="T7" s="120">
        <f t="shared" si="5"/>
        <v>1090000</v>
      </c>
      <c r="U7" s="120">
        <f t="shared" si="6"/>
        <v>0</v>
      </c>
      <c r="V7" s="120">
        <f>U7-Z7-X7-AA7-W7-Y7</f>
        <v>0</v>
      </c>
      <c r="W7" s="120"/>
      <c r="X7" s="120"/>
      <c r="Y7" s="120"/>
      <c r="Z7" s="120"/>
      <c r="AA7" s="135"/>
      <c r="AB7" s="3" t="s">
        <v>774</v>
      </c>
      <c r="AC7" s="3">
        <v>732000</v>
      </c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217"/>
      <c r="AW7" s="217"/>
      <c r="AX7" s="217"/>
      <c r="AY7" s="5"/>
      <c r="AZ7" s="5"/>
      <c r="BA7" s="5"/>
      <c r="BB7" s="5"/>
      <c r="BC7" s="5"/>
      <c r="BD7" s="5"/>
      <c r="BE7" s="5"/>
      <c r="BF7" s="5"/>
      <c r="BG7" s="5"/>
    </row>
    <row r="8" spans="1:59" s="136" customFormat="1" ht="50.4" customHeight="1">
      <c r="A8" s="135">
        <f t="shared" ref="A8:A79" si="7">A7+1</f>
        <v>3</v>
      </c>
      <c r="B8" s="135">
        <v>1723</v>
      </c>
      <c r="C8" s="135" t="s">
        <v>27</v>
      </c>
      <c r="D8" s="120">
        <v>1978521</v>
      </c>
      <c r="E8" s="120">
        <v>1978521</v>
      </c>
      <c r="F8" s="120">
        <f t="shared" si="0"/>
        <v>0</v>
      </c>
      <c r="G8" s="120">
        <v>1978521</v>
      </c>
      <c r="H8" s="120">
        <v>1651128</v>
      </c>
      <c r="I8" s="120"/>
      <c r="J8" s="120">
        <f>94349-94349</f>
        <v>0</v>
      </c>
      <c r="K8" s="120">
        <f t="shared" si="1"/>
        <v>0</v>
      </c>
      <c r="L8" s="120">
        <f>K8+H8</f>
        <v>1651128</v>
      </c>
      <c r="M8" s="120">
        <f>P8+S8-320000</f>
        <v>7393</v>
      </c>
      <c r="N8" s="120">
        <v>120000</v>
      </c>
      <c r="O8" s="120">
        <f t="shared" si="2"/>
        <v>200000</v>
      </c>
      <c r="P8" s="120">
        <f t="shared" si="3"/>
        <v>327393</v>
      </c>
      <c r="Q8" s="357"/>
      <c r="R8" s="120"/>
      <c r="S8" s="120">
        <f t="shared" si="4"/>
        <v>0</v>
      </c>
      <c r="T8" s="120">
        <f t="shared" si="5"/>
        <v>320000</v>
      </c>
      <c r="U8" s="120">
        <f t="shared" si="6"/>
        <v>-200000</v>
      </c>
      <c r="V8" s="120">
        <f>U8-Z8-X8-AA8-W8-Y8</f>
        <v>-200000</v>
      </c>
      <c r="W8" s="120"/>
      <c r="X8" s="120"/>
      <c r="Y8" s="120"/>
      <c r="Z8" s="120"/>
      <c r="AA8" s="135"/>
      <c r="AB8" s="135" t="s">
        <v>1315</v>
      </c>
      <c r="AC8" s="135">
        <v>732000</v>
      </c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217"/>
      <c r="AW8" s="217"/>
      <c r="AX8" s="217"/>
      <c r="AY8" s="134"/>
      <c r="AZ8" s="134"/>
      <c r="BA8" s="134"/>
      <c r="BB8" s="134"/>
      <c r="BC8" s="134"/>
      <c r="BD8" s="134"/>
      <c r="BE8" s="134"/>
      <c r="BF8" s="134"/>
      <c r="BG8" s="134"/>
    </row>
    <row r="9" spans="1:59" s="134" customFormat="1" ht="24" customHeight="1">
      <c r="A9" s="135">
        <f t="shared" si="7"/>
        <v>4</v>
      </c>
      <c r="B9" s="19">
        <v>2115</v>
      </c>
      <c r="C9" s="3" t="s">
        <v>252</v>
      </c>
      <c r="D9" s="120">
        <f>3100000+600000</f>
        <v>3700000</v>
      </c>
      <c r="E9" s="120">
        <v>3100000</v>
      </c>
      <c r="F9" s="120">
        <f t="shared" si="0"/>
        <v>600000</v>
      </c>
      <c r="G9" s="120">
        <v>2300000</v>
      </c>
      <c r="H9" s="120">
        <v>2300000</v>
      </c>
      <c r="I9" s="120"/>
      <c r="J9" s="120"/>
      <c r="K9" s="120">
        <f t="shared" si="1"/>
        <v>0</v>
      </c>
      <c r="L9" s="120">
        <f>K9+H9</f>
        <v>2300000</v>
      </c>
      <c r="M9" s="120">
        <f>P9+S9</f>
        <v>0</v>
      </c>
      <c r="N9" s="120">
        <f>500000+300000+600000</f>
        <v>1400000</v>
      </c>
      <c r="O9" s="120">
        <f t="shared" si="2"/>
        <v>0</v>
      </c>
      <c r="P9" s="120">
        <f t="shared" si="3"/>
        <v>0</v>
      </c>
      <c r="Q9" s="357"/>
      <c r="R9" s="120"/>
      <c r="S9" s="120">
        <f t="shared" si="4"/>
        <v>0</v>
      </c>
      <c r="T9" s="120">
        <f t="shared" si="5"/>
        <v>0</v>
      </c>
      <c r="U9" s="120">
        <f t="shared" si="6"/>
        <v>1400000</v>
      </c>
      <c r="V9" s="120">
        <f>U9-Z9-X9-AA9-W9-Y9</f>
        <v>1400000</v>
      </c>
      <c r="W9" s="120"/>
      <c r="X9" s="120"/>
      <c r="Y9" s="120"/>
      <c r="Z9" s="120"/>
      <c r="AA9" s="135"/>
      <c r="AB9" s="3" t="s">
        <v>1370</v>
      </c>
      <c r="AC9" s="3">
        <v>732000</v>
      </c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217"/>
      <c r="AW9" s="217"/>
      <c r="AX9" s="217"/>
      <c r="AY9" s="6"/>
      <c r="AZ9" s="6"/>
      <c r="BA9" s="6"/>
      <c r="BB9" s="6"/>
      <c r="BC9" s="6"/>
      <c r="BD9" s="6"/>
      <c r="BE9" s="6"/>
      <c r="BF9" s="6"/>
      <c r="BG9" s="6"/>
    </row>
    <row r="10" spans="1:59" s="136" customFormat="1" ht="30" customHeight="1">
      <c r="A10" s="135">
        <f t="shared" si="7"/>
        <v>5</v>
      </c>
      <c r="B10" s="455">
        <v>2180</v>
      </c>
      <c r="C10" s="448" t="s">
        <v>427</v>
      </c>
      <c r="D10" s="419">
        <f>1000000+1600000</f>
        <v>2600000</v>
      </c>
      <c r="E10" s="419">
        <v>1000000</v>
      </c>
      <c r="F10" s="419">
        <f t="shared" si="0"/>
        <v>1600000</v>
      </c>
      <c r="G10" s="419">
        <v>1000000</v>
      </c>
      <c r="H10" s="419">
        <v>481929</v>
      </c>
      <c r="I10" s="419"/>
      <c r="J10" s="419"/>
      <c r="K10" s="419">
        <f t="shared" si="1"/>
        <v>0</v>
      </c>
      <c r="L10" s="419">
        <f>K10+H10</f>
        <v>481929</v>
      </c>
      <c r="M10" s="419">
        <f>P10+S10-515000</f>
        <v>3071</v>
      </c>
      <c r="N10" s="419">
        <f>1600000-300000-500000+515000-800000</f>
        <v>515000</v>
      </c>
      <c r="O10" s="419">
        <f t="shared" si="2"/>
        <v>1600000</v>
      </c>
      <c r="P10" s="419">
        <f t="shared" si="3"/>
        <v>518071</v>
      </c>
      <c r="Q10" s="626"/>
      <c r="R10" s="419"/>
      <c r="S10" s="419">
        <f t="shared" si="4"/>
        <v>0</v>
      </c>
      <c r="T10" s="419">
        <f t="shared" si="5"/>
        <v>515000</v>
      </c>
      <c r="U10" s="419">
        <f t="shared" si="6"/>
        <v>0</v>
      </c>
      <c r="V10" s="419">
        <f>U10-Z10-X10-AA10-W10-Y10</f>
        <v>0</v>
      </c>
      <c r="W10" s="419"/>
      <c r="X10" s="419"/>
      <c r="Y10" s="419"/>
      <c r="Z10" s="419"/>
      <c r="AA10" s="469"/>
      <c r="AB10" s="448" t="s">
        <v>473</v>
      </c>
      <c r="AC10" s="448">
        <v>732000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750"/>
      <c r="AW10" s="750"/>
      <c r="AX10" s="750"/>
      <c r="AY10" s="452"/>
      <c r="AZ10" s="452"/>
      <c r="BA10" s="452"/>
      <c r="BB10" s="452"/>
      <c r="BC10" s="452"/>
      <c r="BD10" s="452"/>
      <c r="BE10" s="452"/>
      <c r="BF10" s="452"/>
      <c r="BG10" s="452"/>
    </row>
    <row r="11" spans="1:59" s="136" customFormat="1" ht="47.4" customHeight="1">
      <c r="A11" s="135">
        <f t="shared" si="7"/>
        <v>6</v>
      </c>
      <c r="B11" s="19">
        <v>20009</v>
      </c>
      <c r="C11" s="3" t="s">
        <v>657</v>
      </c>
      <c r="D11" s="4">
        <v>2150000</v>
      </c>
      <c r="E11" s="4">
        <v>2150000</v>
      </c>
      <c r="F11" s="4">
        <f t="shared" si="0"/>
        <v>0</v>
      </c>
      <c r="G11" s="4">
        <f>150000+50000</f>
        <v>200000</v>
      </c>
      <c r="H11" s="4">
        <v>162220</v>
      </c>
      <c r="I11" s="4"/>
      <c r="J11" s="4"/>
      <c r="K11" s="4">
        <f t="shared" si="1"/>
        <v>0</v>
      </c>
      <c r="L11" s="4">
        <f>H11+K11</f>
        <v>162220</v>
      </c>
      <c r="M11" s="4">
        <f>P11+S11-35000</f>
        <v>2780</v>
      </c>
      <c r="N11" s="4">
        <f>400000-100000+35000</f>
        <v>335000</v>
      </c>
      <c r="O11" s="4">
        <f t="shared" si="2"/>
        <v>1650000</v>
      </c>
      <c r="P11" s="4">
        <f t="shared" si="3"/>
        <v>37780</v>
      </c>
      <c r="Q11" s="354"/>
      <c r="R11" s="4"/>
      <c r="S11" s="4">
        <f t="shared" si="4"/>
        <v>0</v>
      </c>
      <c r="T11" s="4">
        <f t="shared" si="5"/>
        <v>35000</v>
      </c>
      <c r="U11" s="4">
        <f t="shared" si="6"/>
        <v>300000</v>
      </c>
      <c r="V11" s="4">
        <f>U11-AA11-W11-Z11-Y11-X11</f>
        <v>300000</v>
      </c>
      <c r="W11" s="4"/>
      <c r="X11" s="4"/>
      <c r="Y11" s="4"/>
      <c r="Z11" s="4"/>
      <c r="AA11" s="3"/>
      <c r="AB11" s="3" t="s">
        <v>801</v>
      </c>
      <c r="AC11" s="3">
        <v>732000</v>
      </c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8"/>
      <c r="AW11" s="18"/>
      <c r="AX11" s="18"/>
      <c r="AY11" s="18"/>
      <c r="AZ11" s="5"/>
      <c r="BA11" s="5"/>
      <c r="BB11" s="5"/>
      <c r="BC11" s="5"/>
      <c r="BD11" s="5"/>
      <c r="BE11" s="5"/>
      <c r="BF11" s="5"/>
      <c r="BG11" s="5"/>
    </row>
    <row r="12" spans="1:59" s="136" customFormat="1" ht="28.2" customHeight="1">
      <c r="A12" s="135">
        <f t="shared" si="7"/>
        <v>7</v>
      </c>
      <c r="B12" s="3">
        <v>20064</v>
      </c>
      <c r="C12" s="3" t="s">
        <v>783</v>
      </c>
      <c r="D12" s="120">
        <v>2000000</v>
      </c>
      <c r="E12" s="120">
        <v>2000000</v>
      </c>
      <c r="F12" s="120">
        <f t="shared" si="0"/>
        <v>0</v>
      </c>
      <c r="G12" s="120">
        <v>100000</v>
      </c>
      <c r="H12" s="120">
        <v>125286</v>
      </c>
      <c r="I12" s="120"/>
      <c r="J12" s="120"/>
      <c r="K12" s="120">
        <f t="shared" si="1"/>
        <v>0</v>
      </c>
      <c r="L12" s="120">
        <f>K12+H12</f>
        <v>125286</v>
      </c>
      <c r="M12" s="120">
        <f>P12+S12-300000-70000</f>
        <v>4714</v>
      </c>
      <c r="N12" s="120">
        <f>300000+70000+100000</f>
        <v>470000</v>
      </c>
      <c r="O12" s="120">
        <f t="shared" si="2"/>
        <v>1400000</v>
      </c>
      <c r="P12" s="120">
        <f t="shared" si="3"/>
        <v>-25286</v>
      </c>
      <c r="Q12" s="357">
        <v>400000</v>
      </c>
      <c r="R12" s="120"/>
      <c r="S12" s="120">
        <f t="shared" si="4"/>
        <v>400000</v>
      </c>
      <c r="T12" s="120">
        <f t="shared" si="5"/>
        <v>370000</v>
      </c>
      <c r="U12" s="120">
        <f t="shared" si="6"/>
        <v>100000</v>
      </c>
      <c r="V12" s="120">
        <f>U12-Z12-X12-AA12-W12-Y12</f>
        <v>100000</v>
      </c>
      <c r="W12" s="120"/>
      <c r="X12" s="120"/>
      <c r="Y12" s="120"/>
      <c r="Z12" s="120"/>
      <c r="AA12" s="135"/>
      <c r="AB12" s="3" t="s">
        <v>887</v>
      </c>
      <c r="AC12" s="3">
        <v>732000</v>
      </c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217"/>
      <c r="AW12" s="217"/>
      <c r="AX12" s="217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38" customFormat="1" ht="28.2" customHeight="1">
      <c r="A13" s="219"/>
      <c r="B13" s="20"/>
      <c r="C13" s="20" t="s">
        <v>1557</v>
      </c>
      <c r="D13" s="249">
        <f>SUM(D6:D12)</f>
        <v>21128521</v>
      </c>
      <c r="E13" s="249">
        <f t="shared" ref="E13:AA13" si="8">SUM(E6:E12)</f>
        <v>18928521</v>
      </c>
      <c r="F13" s="249">
        <f t="shared" si="8"/>
        <v>2200000</v>
      </c>
      <c r="G13" s="249">
        <f t="shared" si="8"/>
        <v>8095224</v>
      </c>
      <c r="H13" s="249">
        <f t="shared" si="8"/>
        <v>5429518</v>
      </c>
      <c r="I13" s="249">
        <f t="shared" si="8"/>
        <v>449944</v>
      </c>
      <c r="J13" s="249">
        <f t="shared" si="8"/>
        <v>166720</v>
      </c>
      <c r="K13" s="249">
        <f t="shared" si="8"/>
        <v>616664</v>
      </c>
      <c r="L13" s="249">
        <f t="shared" si="8"/>
        <v>6046182</v>
      </c>
      <c r="M13" s="249">
        <f t="shared" si="8"/>
        <v>19042</v>
      </c>
      <c r="N13" s="249">
        <f t="shared" si="8"/>
        <v>4130000</v>
      </c>
      <c r="O13" s="249">
        <f t="shared" si="8"/>
        <v>10933297</v>
      </c>
      <c r="P13" s="249">
        <f t="shared" si="8"/>
        <v>2049042</v>
      </c>
      <c r="Q13" s="249">
        <f t="shared" si="8"/>
        <v>500000</v>
      </c>
      <c r="R13" s="249">
        <f t="shared" si="8"/>
        <v>0</v>
      </c>
      <c r="S13" s="249">
        <f t="shared" si="8"/>
        <v>500000</v>
      </c>
      <c r="T13" s="249">
        <f t="shared" si="8"/>
        <v>2530000</v>
      </c>
      <c r="U13" s="249">
        <f t="shared" si="8"/>
        <v>1600000</v>
      </c>
      <c r="V13" s="249">
        <f t="shared" si="8"/>
        <v>1600000</v>
      </c>
      <c r="W13" s="249">
        <f t="shared" si="8"/>
        <v>0</v>
      </c>
      <c r="X13" s="249">
        <f t="shared" si="8"/>
        <v>0</v>
      </c>
      <c r="Y13" s="249">
        <f t="shared" si="8"/>
        <v>0</v>
      </c>
      <c r="Z13" s="249">
        <f t="shared" si="8"/>
        <v>0</v>
      </c>
      <c r="AA13" s="249">
        <f t="shared" si="8"/>
        <v>0</v>
      </c>
      <c r="AB13" s="20"/>
      <c r="AC13" s="20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815"/>
      <c r="AW13" s="815"/>
      <c r="AX13" s="815"/>
      <c r="AY13" s="48"/>
      <c r="AZ13" s="48"/>
      <c r="BA13" s="48"/>
      <c r="BB13" s="48"/>
      <c r="BC13" s="48"/>
      <c r="BD13" s="48"/>
      <c r="BE13" s="48"/>
      <c r="BF13" s="48"/>
      <c r="BG13" s="48"/>
    </row>
    <row r="14" spans="1:59" s="238" customFormat="1" ht="28.2" customHeight="1">
      <c r="A14" s="219"/>
      <c r="B14" s="20"/>
      <c r="C14" s="20">
        <v>74</v>
      </c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814"/>
      <c r="R14" s="249"/>
      <c r="S14" s="249"/>
      <c r="T14" s="249"/>
      <c r="U14" s="249"/>
      <c r="V14" s="249"/>
      <c r="W14" s="249"/>
      <c r="X14" s="249"/>
      <c r="Y14" s="249"/>
      <c r="Z14" s="249"/>
      <c r="AA14" s="219"/>
      <c r="AB14" s="20"/>
      <c r="AC14" s="20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815"/>
      <c r="AW14" s="815"/>
      <c r="AX14" s="815"/>
      <c r="AY14" s="48"/>
      <c r="AZ14" s="48"/>
      <c r="BA14" s="48"/>
      <c r="BB14" s="48"/>
      <c r="BC14" s="48"/>
      <c r="BD14" s="48"/>
      <c r="BE14" s="48"/>
      <c r="BF14" s="48"/>
      <c r="BG14" s="48"/>
    </row>
    <row r="15" spans="1:59" s="5" customFormat="1" ht="41.4" customHeight="1">
      <c r="A15" s="135">
        <f>A12+1</f>
        <v>8</v>
      </c>
      <c r="B15" s="135">
        <v>382</v>
      </c>
      <c r="C15" s="135" t="s">
        <v>366</v>
      </c>
      <c r="D15" s="120">
        <v>111381330</v>
      </c>
      <c r="E15" s="120">
        <v>111381330</v>
      </c>
      <c r="F15" s="120">
        <f t="shared" ref="F15:F56" si="9">D15-E15</f>
        <v>0</v>
      </c>
      <c r="G15" s="120">
        <v>71381330</v>
      </c>
      <c r="H15" s="120">
        <v>63822457</v>
      </c>
      <c r="I15" s="120"/>
      <c r="J15" s="120"/>
      <c r="K15" s="120">
        <f t="shared" ref="K15:K53" si="10">SUM(I15:J15)</f>
        <v>0</v>
      </c>
      <c r="L15" s="120">
        <f t="shared" ref="L15:L45" si="11">K15+H15</f>
        <v>63822457</v>
      </c>
      <c r="M15" s="120">
        <f>P15+S15-6000000-7550000</f>
        <v>8873</v>
      </c>
      <c r="N15" s="120">
        <f>7000000+6500000+6000000-4000000-2000000+50000</f>
        <v>13550000</v>
      </c>
      <c r="O15" s="120">
        <f t="shared" ref="O15:O46" si="12">D15-L15-M15-N15</f>
        <v>34000000</v>
      </c>
      <c r="P15" s="120">
        <f t="shared" ref="P15:P53" si="13">G15-L15</f>
        <v>7558873</v>
      </c>
      <c r="Q15" s="357">
        <v>6000000</v>
      </c>
      <c r="R15" s="120"/>
      <c r="S15" s="120">
        <f t="shared" ref="S15:S53" si="14">SUM(Q15:R15)</f>
        <v>6000000</v>
      </c>
      <c r="T15" s="120">
        <f t="shared" ref="T15:T53" si="15">P15-M15+S15</f>
        <v>13550000</v>
      </c>
      <c r="U15" s="120">
        <f t="shared" ref="U15:U46" si="16">N15-T15</f>
        <v>0</v>
      </c>
      <c r="V15" s="120">
        <f t="shared" ref="V15:V45" si="17">U15-Z15-X15-AA15-W15-Y15</f>
        <v>-1200000</v>
      </c>
      <c r="W15" s="120"/>
      <c r="X15" s="120"/>
      <c r="Y15" s="120"/>
      <c r="Z15" s="120"/>
      <c r="AA15" s="120">
        <v>1200000</v>
      </c>
      <c r="AB15" s="218" t="s">
        <v>1426</v>
      </c>
      <c r="AC15" s="135">
        <v>742000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217"/>
      <c r="AW15" s="217"/>
      <c r="AX15" s="217"/>
      <c r="AY15" s="134"/>
      <c r="AZ15" s="134"/>
      <c r="BA15" s="134"/>
      <c r="BB15" s="134"/>
      <c r="BC15" s="134"/>
      <c r="BD15" s="134"/>
      <c r="BE15" s="134"/>
      <c r="BF15" s="134"/>
      <c r="BG15" s="134"/>
    </row>
    <row r="16" spans="1:59" s="5" customFormat="1" ht="45" customHeight="1">
      <c r="A16" s="135">
        <f t="shared" si="7"/>
        <v>9</v>
      </c>
      <c r="B16" s="135">
        <v>532</v>
      </c>
      <c r="C16" s="135" t="s">
        <v>68</v>
      </c>
      <c r="D16" s="120">
        <v>80090000</v>
      </c>
      <c r="E16" s="120">
        <v>80090000</v>
      </c>
      <c r="F16" s="120">
        <f t="shared" si="9"/>
        <v>0</v>
      </c>
      <c r="G16" s="120">
        <v>80090000</v>
      </c>
      <c r="H16" s="120">
        <v>79860343</v>
      </c>
      <c r="I16" s="120"/>
      <c r="J16" s="120">
        <f>279440-279440</f>
        <v>0</v>
      </c>
      <c r="K16" s="120">
        <f t="shared" si="10"/>
        <v>0</v>
      </c>
      <c r="L16" s="120">
        <f t="shared" si="11"/>
        <v>79860343</v>
      </c>
      <c r="M16" s="120">
        <f>P16+S16-220000</f>
        <v>9657</v>
      </c>
      <c r="N16" s="120">
        <v>70000</v>
      </c>
      <c r="O16" s="120">
        <f t="shared" si="12"/>
        <v>150000</v>
      </c>
      <c r="P16" s="120">
        <f t="shared" si="13"/>
        <v>229657</v>
      </c>
      <c r="Q16" s="357"/>
      <c r="R16" s="120"/>
      <c r="S16" s="120">
        <f t="shared" si="14"/>
        <v>0</v>
      </c>
      <c r="T16" s="120">
        <f t="shared" si="15"/>
        <v>220000</v>
      </c>
      <c r="U16" s="120">
        <f t="shared" si="16"/>
        <v>-150000</v>
      </c>
      <c r="V16" s="120">
        <f t="shared" si="17"/>
        <v>-150000</v>
      </c>
      <c r="W16" s="120"/>
      <c r="X16" s="120"/>
      <c r="Y16" s="120"/>
      <c r="Z16" s="120"/>
      <c r="AA16" s="135"/>
      <c r="AB16" s="221" t="s">
        <v>1321</v>
      </c>
      <c r="AC16" s="135">
        <v>742000</v>
      </c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217"/>
      <c r="AW16" s="217"/>
      <c r="AX16" s="217"/>
      <c r="AY16" s="136"/>
      <c r="AZ16" s="136"/>
      <c r="BA16" s="136"/>
      <c r="BB16" s="136"/>
      <c r="BC16" s="136"/>
      <c r="BD16" s="136"/>
      <c r="BE16" s="136"/>
      <c r="BF16" s="136"/>
      <c r="BG16" s="136"/>
    </row>
    <row r="17" spans="1:59" s="5" customFormat="1" ht="24.6" customHeight="1">
      <c r="A17" s="135">
        <f t="shared" si="7"/>
        <v>10</v>
      </c>
      <c r="B17" s="135">
        <v>1067</v>
      </c>
      <c r="C17" s="135" t="s">
        <v>70</v>
      </c>
      <c r="D17" s="120">
        <f>4975000+500000</f>
        <v>5475000</v>
      </c>
      <c r="E17" s="120">
        <v>4975000</v>
      </c>
      <c r="F17" s="120">
        <f t="shared" si="9"/>
        <v>500000</v>
      </c>
      <c r="G17" s="120">
        <v>4475000</v>
      </c>
      <c r="H17" s="120">
        <v>4513801</v>
      </c>
      <c r="I17" s="120"/>
      <c r="J17" s="120">
        <f>81104-81104</f>
        <v>0</v>
      </c>
      <c r="K17" s="120">
        <f t="shared" si="10"/>
        <v>0</v>
      </c>
      <c r="L17" s="120">
        <f t="shared" si="11"/>
        <v>4513801</v>
      </c>
      <c r="M17" s="120">
        <f>P17+S17-460000</f>
        <v>1199</v>
      </c>
      <c r="N17" s="120">
        <f>500000+460000-300000</f>
        <v>660000</v>
      </c>
      <c r="O17" s="120">
        <f t="shared" si="12"/>
        <v>300000</v>
      </c>
      <c r="P17" s="120">
        <f t="shared" si="13"/>
        <v>-38801</v>
      </c>
      <c r="Q17" s="357">
        <v>500000</v>
      </c>
      <c r="R17" s="120"/>
      <c r="S17" s="120">
        <f t="shared" si="14"/>
        <v>500000</v>
      </c>
      <c r="T17" s="120">
        <f t="shared" si="15"/>
        <v>460000</v>
      </c>
      <c r="U17" s="120">
        <f t="shared" si="16"/>
        <v>200000</v>
      </c>
      <c r="V17" s="120">
        <f t="shared" si="17"/>
        <v>200000</v>
      </c>
      <c r="W17" s="120"/>
      <c r="X17" s="120"/>
      <c r="Y17" s="120"/>
      <c r="Z17" s="120"/>
      <c r="AA17" s="135"/>
      <c r="AB17" s="221" t="s">
        <v>256</v>
      </c>
      <c r="AC17" s="135">
        <v>742000</v>
      </c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217"/>
      <c r="AW17" s="217"/>
      <c r="AX17" s="217"/>
      <c r="AY17" s="134"/>
      <c r="AZ17" s="134"/>
      <c r="BA17" s="134"/>
      <c r="BB17" s="134"/>
      <c r="BC17" s="134"/>
      <c r="BD17" s="134"/>
      <c r="BE17" s="134"/>
      <c r="BF17" s="134"/>
      <c r="BG17" s="134"/>
    </row>
    <row r="18" spans="1:59" s="134" customFormat="1" ht="28.2" customHeight="1">
      <c r="A18" s="135">
        <f t="shared" si="7"/>
        <v>11</v>
      </c>
      <c r="B18" s="135">
        <v>1207</v>
      </c>
      <c r="C18" s="135" t="s">
        <v>71</v>
      </c>
      <c r="D18" s="120">
        <v>45650000</v>
      </c>
      <c r="E18" s="120">
        <v>45650000</v>
      </c>
      <c r="F18" s="120">
        <f t="shared" si="9"/>
        <v>0</v>
      </c>
      <c r="G18" s="120">
        <v>44770000</v>
      </c>
      <c r="H18" s="120">
        <v>43349903</v>
      </c>
      <c r="I18" s="120"/>
      <c r="J18" s="120"/>
      <c r="K18" s="120">
        <f t="shared" si="10"/>
        <v>0</v>
      </c>
      <c r="L18" s="120">
        <f t="shared" si="11"/>
        <v>43349903</v>
      </c>
      <c r="M18" s="120">
        <f>P18+S18-1400000</f>
        <v>20097</v>
      </c>
      <c r="N18" s="120"/>
      <c r="O18" s="120">
        <f t="shared" si="12"/>
        <v>2280000</v>
      </c>
      <c r="P18" s="120">
        <f t="shared" si="13"/>
        <v>1420097</v>
      </c>
      <c r="Q18" s="357"/>
      <c r="R18" s="120"/>
      <c r="S18" s="120">
        <f t="shared" si="14"/>
        <v>0</v>
      </c>
      <c r="T18" s="120">
        <f t="shared" si="15"/>
        <v>1400000</v>
      </c>
      <c r="U18" s="120">
        <f t="shared" si="16"/>
        <v>-1400000</v>
      </c>
      <c r="V18" s="120">
        <f t="shared" si="17"/>
        <v>-1400000</v>
      </c>
      <c r="W18" s="120"/>
      <c r="X18" s="120"/>
      <c r="Y18" s="120"/>
      <c r="Z18" s="120"/>
      <c r="AA18" s="135"/>
      <c r="AB18" s="221" t="s">
        <v>805</v>
      </c>
      <c r="AC18" s="135">
        <v>742000</v>
      </c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217"/>
      <c r="AW18" s="217"/>
      <c r="AX18" s="217"/>
      <c r="AY18" s="136"/>
      <c r="AZ18" s="136"/>
      <c r="BA18" s="136"/>
      <c r="BB18" s="136"/>
      <c r="BC18" s="136"/>
      <c r="BD18" s="136"/>
      <c r="BE18" s="136"/>
      <c r="BF18" s="136"/>
      <c r="BG18" s="136"/>
    </row>
    <row r="19" spans="1:59" s="134" customFormat="1" ht="60" customHeight="1">
      <c r="A19" s="135">
        <f t="shared" si="7"/>
        <v>12</v>
      </c>
      <c r="B19" s="135">
        <v>1238</v>
      </c>
      <c r="C19" s="135" t="s">
        <v>718</v>
      </c>
      <c r="D19" s="120">
        <v>40500000</v>
      </c>
      <c r="E19" s="120">
        <v>40500000</v>
      </c>
      <c r="F19" s="120">
        <f t="shared" si="9"/>
        <v>0</v>
      </c>
      <c r="G19" s="120">
        <v>26000000</v>
      </c>
      <c r="H19" s="120">
        <v>26038535</v>
      </c>
      <c r="I19" s="120"/>
      <c r="J19" s="120">
        <f>214321-214321</f>
        <v>0</v>
      </c>
      <c r="K19" s="120">
        <f t="shared" si="10"/>
        <v>0</v>
      </c>
      <c r="L19" s="120">
        <f t="shared" si="11"/>
        <v>26038535</v>
      </c>
      <c r="M19" s="120">
        <f>P19+S19-1960000</f>
        <v>1465</v>
      </c>
      <c r="N19" s="120">
        <f>12500000-7500000+1960000</f>
        <v>6960000</v>
      </c>
      <c r="O19" s="120">
        <f t="shared" si="12"/>
        <v>7500000</v>
      </c>
      <c r="P19" s="120">
        <f t="shared" si="13"/>
        <v>-38535</v>
      </c>
      <c r="Q19" s="357">
        <f>2250000-250000</f>
        <v>2000000</v>
      </c>
      <c r="R19" s="120"/>
      <c r="S19" s="120">
        <f t="shared" si="14"/>
        <v>2000000</v>
      </c>
      <c r="T19" s="120">
        <f t="shared" si="15"/>
        <v>1960000</v>
      </c>
      <c r="U19" s="120">
        <f t="shared" si="16"/>
        <v>5000000</v>
      </c>
      <c r="V19" s="120">
        <f t="shared" si="17"/>
        <v>500000</v>
      </c>
      <c r="W19" s="120"/>
      <c r="X19" s="120"/>
      <c r="Y19" s="120"/>
      <c r="Z19" s="120"/>
      <c r="AA19" s="120">
        <v>4500000</v>
      </c>
      <c r="AB19" s="235" t="s">
        <v>1383</v>
      </c>
      <c r="AC19" s="135">
        <v>742000</v>
      </c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217"/>
      <c r="AW19" s="217"/>
      <c r="AX19" s="217"/>
      <c r="AY19" s="136"/>
      <c r="AZ19" s="136"/>
      <c r="BA19" s="136"/>
      <c r="BB19" s="136"/>
      <c r="BC19" s="136"/>
      <c r="BD19" s="136"/>
      <c r="BE19" s="136"/>
      <c r="BF19" s="136"/>
      <c r="BG19" s="136"/>
    </row>
    <row r="20" spans="1:59" s="134" customFormat="1" ht="33" customHeight="1">
      <c r="A20" s="135">
        <f t="shared" si="7"/>
        <v>13</v>
      </c>
      <c r="B20" s="135">
        <v>1298</v>
      </c>
      <c r="C20" s="135" t="s">
        <v>32</v>
      </c>
      <c r="D20" s="120">
        <f>6100000+500000</f>
        <v>6600000</v>
      </c>
      <c r="E20" s="120">
        <v>6100000</v>
      </c>
      <c r="F20" s="120">
        <f t="shared" si="9"/>
        <v>500000</v>
      </c>
      <c r="G20" s="120">
        <v>5800000</v>
      </c>
      <c r="H20" s="120">
        <v>5766092</v>
      </c>
      <c r="I20" s="120"/>
      <c r="J20" s="120">
        <f>73889-73889</f>
        <v>0</v>
      </c>
      <c r="K20" s="120">
        <f t="shared" si="10"/>
        <v>0</v>
      </c>
      <c r="L20" s="120">
        <f t="shared" si="11"/>
        <v>5766092</v>
      </c>
      <c r="M20" s="120">
        <f>P20+S20-330000</f>
        <v>3908</v>
      </c>
      <c r="N20" s="120">
        <f>500000+330000-230000</f>
        <v>600000</v>
      </c>
      <c r="O20" s="120">
        <f t="shared" si="12"/>
        <v>230000</v>
      </c>
      <c r="P20" s="120">
        <f t="shared" si="13"/>
        <v>33908</v>
      </c>
      <c r="Q20" s="357">
        <f>400000-100000</f>
        <v>300000</v>
      </c>
      <c r="R20" s="120"/>
      <c r="S20" s="120">
        <f t="shared" si="14"/>
        <v>300000</v>
      </c>
      <c r="T20" s="120">
        <f t="shared" si="15"/>
        <v>330000</v>
      </c>
      <c r="U20" s="120">
        <f t="shared" si="16"/>
        <v>270000</v>
      </c>
      <c r="V20" s="120">
        <f t="shared" si="17"/>
        <v>270000</v>
      </c>
      <c r="W20" s="120"/>
      <c r="X20" s="120"/>
      <c r="Y20" s="120"/>
      <c r="Z20" s="120"/>
      <c r="AA20" s="135"/>
      <c r="AB20" s="221" t="s">
        <v>257</v>
      </c>
      <c r="AC20" s="135">
        <v>742000</v>
      </c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217"/>
      <c r="AW20" s="217"/>
      <c r="AX20" s="217"/>
      <c r="AY20" s="136"/>
      <c r="AZ20" s="136"/>
      <c r="BA20" s="136"/>
      <c r="BB20" s="136"/>
      <c r="BC20" s="136"/>
      <c r="BD20" s="136"/>
      <c r="BE20" s="136"/>
      <c r="BF20" s="136"/>
      <c r="BG20" s="136"/>
    </row>
    <row r="21" spans="1:59" s="5" customFormat="1" ht="84" customHeight="1">
      <c r="A21" s="135">
        <f t="shared" si="7"/>
        <v>14</v>
      </c>
      <c r="B21" s="3">
        <v>1314</v>
      </c>
      <c r="C21" s="3" t="s">
        <v>39</v>
      </c>
      <c r="D21" s="120">
        <v>5200000</v>
      </c>
      <c r="E21" s="120">
        <v>5200000</v>
      </c>
      <c r="F21" s="120">
        <f t="shared" si="9"/>
        <v>0</v>
      </c>
      <c r="G21" s="120">
        <v>5200000</v>
      </c>
      <c r="H21" s="120">
        <v>5177082</v>
      </c>
      <c r="I21" s="120"/>
      <c r="J21" s="120">
        <f>423663-423663</f>
        <v>0</v>
      </c>
      <c r="K21" s="120">
        <f t="shared" si="10"/>
        <v>0</v>
      </c>
      <c r="L21" s="120">
        <f t="shared" si="11"/>
        <v>5177082</v>
      </c>
      <c r="M21" s="120">
        <f>P21+S21-20000-2918</f>
        <v>0</v>
      </c>
      <c r="N21" s="120"/>
      <c r="O21" s="120">
        <f t="shared" si="12"/>
        <v>22918</v>
      </c>
      <c r="P21" s="120">
        <f t="shared" si="13"/>
        <v>22918</v>
      </c>
      <c r="Q21" s="357"/>
      <c r="R21" s="120"/>
      <c r="S21" s="120">
        <f t="shared" si="14"/>
        <v>0</v>
      </c>
      <c r="T21" s="120">
        <f t="shared" si="15"/>
        <v>22918</v>
      </c>
      <c r="U21" s="120">
        <f t="shared" si="16"/>
        <v>-22918</v>
      </c>
      <c r="V21" s="120">
        <f t="shared" si="17"/>
        <v>-22918</v>
      </c>
      <c r="W21" s="120"/>
      <c r="X21" s="120"/>
      <c r="Y21" s="120"/>
      <c r="Z21" s="120"/>
      <c r="AA21" s="135"/>
      <c r="AB21" s="3" t="s">
        <v>1419</v>
      </c>
      <c r="AC21" s="3">
        <v>742000</v>
      </c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217"/>
      <c r="AW21" s="217"/>
      <c r="AX21" s="217"/>
    </row>
    <row r="22" spans="1:59" s="134" customFormat="1" ht="37.950000000000003" customHeight="1">
      <c r="A22" s="135">
        <f t="shared" si="7"/>
        <v>15</v>
      </c>
      <c r="B22" s="3">
        <v>1322</v>
      </c>
      <c r="C22" s="3" t="s">
        <v>33</v>
      </c>
      <c r="D22" s="120">
        <v>18500000</v>
      </c>
      <c r="E22" s="120">
        <v>18500000</v>
      </c>
      <c r="F22" s="120">
        <f t="shared" si="9"/>
        <v>0</v>
      </c>
      <c r="G22" s="120">
        <v>10850000</v>
      </c>
      <c r="H22" s="120">
        <v>9799391</v>
      </c>
      <c r="I22" s="120"/>
      <c r="J22" s="120"/>
      <c r="K22" s="120">
        <f t="shared" si="10"/>
        <v>0</v>
      </c>
      <c r="L22" s="120">
        <f t="shared" si="11"/>
        <v>9799391</v>
      </c>
      <c r="M22" s="120">
        <f>P22+S22-1000000-50000</f>
        <v>609</v>
      </c>
      <c r="N22" s="120">
        <f>1000000+50000</f>
        <v>1050000</v>
      </c>
      <c r="O22" s="120">
        <f t="shared" si="12"/>
        <v>7650000</v>
      </c>
      <c r="P22" s="120">
        <f t="shared" si="13"/>
        <v>1050609</v>
      </c>
      <c r="Q22" s="357"/>
      <c r="R22" s="120"/>
      <c r="S22" s="120">
        <f t="shared" si="14"/>
        <v>0</v>
      </c>
      <c r="T22" s="120">
        <f t="shared" si="15"/>
        <v>1050000</v>
      </c>
      <c r="U22" s="120">
        <f t="shared" si="16"/>
        <v>0</v>
      </c>
      <c r="V22" s="120">
        <f t="shared" si="17"/>
        <v>0</v>
      </c>
      <c r="W22" s="120"/>
      <c r="X22" s="120"/>
      <c r="Y22" s="120"/>
      <c r="Z22" s="120"/>
      <c r="AA22" s="135"/>
      <c r="AB22" s="3" t="s">
        <v>509</v>
      </c>
      <c r="AC22" s="3">
        <v>742000</v>
      </c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217"/>
      <c r="AW22" s="217"/>
      <c r="AX22" s="217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5" customFormat="1" ht="50.4" customHeight="1">
      <c r="A23" s="135">
        <f t="shared" si="7"/>
        <v>16</v>
      </c>
      <c r="B23" s="135">
        <v>1588</v>
      </c>
      <c r="C23" s="135" t="s">
        <v>24</v>
      </c>
      <c r="D23" s="120">
        <f>50500000+3000000</f>
        <v>53500000</v>
      </c>
      <c r="E23" s="120">
        <v>50500000</v>
      </c>
      <c r="F23" s="120">
        <f t="shared" si="9"/>
        <v>3000000</v>
      </c>
      <c r="G23" s="120">
        <v>45500000</v>
      </c>
      <c r="H23" s="120">
        <v>40127873</v>
      </c>
      <c r="I23" s="120"/>
      <c r="J23" s="120">
        <f>768552-768552</f>
        <v>0</v>
      </c>
      <c r="K23" s="120">
        <f t="shared" si="10"/>
        <v>0</v>
      </c>
      <c r="L23" s="120">
        <f t="shared" si="11"/>
        <v>40127873</v>
      </c>
      <c r="M23" s="120">
        <f>P23+S23-5000000+1000000-1370000</f>
        <v>2127</v>
      </c>
      <c r="N23" s="120">
        <f>5000000+5000000-1000000+1370000-3000000-500000</f>
        <v>6870000</v>
      </c>
      <c r="O23" s="120">
        <f t="shared" si="12"/>
        <v>6500000</v>
      </c>
      <c r="P23" s="120">
        <f t="shared" si="13"/>
        <v>5372127</v>
      </c>
      <c r="Q23" s="357"/>
      <c r="R23" s="120"/>
      <c r="S23" s="120">
        <f t="shared" si="14"/>
        <v>0</v>
      </c>
      <c r="T23" s="120">
        <f t="shared" si="15"/>
        <v>5370000</v>
      </c>
      <c r="U23" s="120">
        <f t="shared" si="16"/>
        <v>1500000</v>
      </c>
      <c r="V23" s="120">
        <f t="shared" si="17"/>
        <v>-2962592</v>
      </c>
      <c r="W23" s="120"/>
      <c r="X23" s="120"/>
      <c r="Y23" s="120"/>
      <c r="Z23" s="120"/>
      <c r="AA23" s="120">
        <v>4462592</v>
      </c>
      <c r="AB23" s="135" t="s">
        <v>1384</v>
      </c>
      <c r="AC23" s="135">
        <v>742000</v>
      </c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217"/>
      <c r="AW23" s="217"/>
      <c r="AX23" s="217"/>
      <c r="AY23" s="134"/>
      <c r="AZ23" s="134"/>
      <c r="BA23" s="134"/>
      <c r="BB23" s="134"/>
      <c r="BC23" s="134"/>
      <c r="BD23" s="134"/>
      <c r="BE23" s="134"/>
      <c r="BF23" s="134"/>
      <c r="BG23" s="134"/>
    </row>
    <row r="24" spans="1:59" s="5" customFormat="1" ht="45" customHeight="1">
      <c r="A24" s="135">
        <f t="shared" si="7"/>
        <v>17</v>
      </c>
      <c r="B24" s="135">
        <v>1615</v>
      </c>
      <c r="C24" s="135" t="s">
        <v>98</v>
      </c>
      <c r="D24" s="120">
        <v>27700000</v>
      </c>
      <c r="E24" s="120">
        <v>27700000</v>
      </c>
      <c r="F24" s="120">
        <f t="shared" si="9"/>
        <v>0</v>
      </c>
      <c r="G24" s="120">
        <v>23700000</v>
      </c>
      <c r="H24" s="120">
        <v>22547620</v>
      </c>
      <c r="I24" s="120"/>
      <c r="J24" s="120">
        <f>405629-405629</f>
        <v>0</v>
      </c>
      <c r="K24" s="120">
        <f t="shared" si="10"/>
        <v>0</v>
      </c>
      <c r="L24" s="120">
        <f t="shared" si="11"/>
        <v>22547620</v>
      </c>
      <c r="M24" s="120">
        <f>P24+S24-1100000-50000</f>
        <v>2380</v>
      </c>
      <c r="N24" s="120">
        <f>100000+50000</f>
        <v>150000</v>
      </c>
      <c r="O24" s="120">
        <f t="shared" si="12"/>
        <v>5000000</v>
      </c>
      <c r="P24" s="120">
        <f t="shared" si="13"/>
        <v>1152380</v>
      </c>
      <c r="Q24" s="357"/>
      <c r="R24" s="120"/>
      <c r="S24" s="120">
        <f t="shared" si="14"/>
        <v>0</v>
      </c>
      <c r="T24" s="120">
        <f t="shared" si="15"/>
        <v>1150000</v>
      </c>
      <c r="U24" s="120">
        <f t="shared" si="16"/>
        <v>-1000000</v>
      </c>
      <c r="V24" s="120">
        <f t="shared" si="17"/>
        <v>-1000000</v>
      </c>
      <c r="W24" s="120"/>
      <c r="X24" s="120"/>
      <c r="Y24" s="120"/>
      <c r="Z24" s="120"/>
      <c r="AA24" s="135"/>
      <c r="AB24" s="135" t="s">
        <v>1322</v>
      </c>
      <c r="AC24" s="135">
        <v>742000</v>
      </c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217"/>
      <c r="AW24" s="217"/>
      <c r="AX24" s="217"/>
      <c r="AY24" s="134"/>
      <c r="AZ24" s="134"/>
      <c r="BA24" s="134"/>
      <c r="BB24" s="134"/>
      <c r="BC24" s="134"/>
      <c r="BD24" s="134"/>
      <c r="BE24" s="134"/>
      <c r="BF24" s="134"/>
      <c r="BG24" s="134"/>
    </row>
    <row r="25" spans="1:59" s="134" customFormat="1" ht="40.950000000000003" customHeight="1">
      <c r="A25" s="135">
        <f t="shared" si="7"/>
        <v>18</v>
      </c>
      <c r="B25" s="135">
        <v>1657</v>
      </c>
      <c r="C25" s="135" t="s">
        <v>26</v>
      </c>
      <c r="D25" s="4">
        <f>60000000+5000000</f>
        <v>65000000</v>
      </c>
      <c r="E25" s="120">
        <v>60000000</v>
      </c>
      <c r="F25" s="120">
        <f t="shared" si="9"/>
        <v>5000000</v>
      </c>
      <c r="G25" s="120">
        <v>41519789</v>
      </c>
      <c r="H25" s="120">
        <v>53294967</v>
      </c>
      <c r="I25" s="120"/>
      <c r="J25" s="120">
        <f>478613-478613</f>
        <v>0</v>
      </c>
      <c r="K25" s="120">
        <f t="shared" si="10"/>
        <v>0</v>
      </c>
      <c r="L25" s="120">
        <f t="shared" si="11"/>
        <v>53294967</v>
      </c>
      <c r="M25" s="120">
        <f>P25+S25-1220000</f>
        <v>4822</v>
      </c>
      <c r="N25" s="4">
        <v>1220000</v>
      </c>
      <c r="O25" s="120">
        <f t="shared" si="12"/>
        <v>10480211</v>
      </c>
      <c r="P25" s="120">
        <f t="shared" si="13"/>
        <v>-11775178</v>
      </c>
      <c r="Q25" s="357">
        <v>13000000</v>
      </c>
      <c r="R25" s="120"/>
      <c r="S25" s="120">
        <f t="shared" si="14"/>
        <v>13000000</v>
      </c>
      <c r="T25" s="120">
        <f t="shared" si="15"/>
        <v>1220000</v>
      </c>
      <c r="U25" s="120">
        <f t="shared" si="16"/>
        <v>0</v>
      </c>
      <c r="V25" s="120">
        <f t="shared" si="17"/>
        <v>0</v>
      </c>
      <c r="W25" s="120"/>
      <c r="X25" s="120"/>
      <c r="Y25" s="120"/>
      <c r="Z25" s="120"/>
      <c r="AA25" s="135"/>
      <c r="AB25" s="3" t="s">
        <v>1427</v>
      </c>
      <c r="AC25" s="135">
        <v>742000</v>
      </c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217"/>
      <c r="AW25" s="217"/>
      <c r="AX25" s="217"/>
    </row>
    <row r="26" spans="1:59" s="5" customFormat="1" ht="33" customHeight="1">
      <c r="A26" s="135">
        <f t="shared" si="7"/>
        <v>19</v>
      </c>
      <c r="B26" s="3">
        <v>1670</v>
      </c>
      <c r="C26" s="3" t="s">
        <v>90</v>
      </c>
      <c r="D26" s="120">
        <f>17800000+19900000</f>
        <v>37700000</v>
      </c>
      <c r="E26" s="120">
        <v>17800000</v>
      </c>
      <c r="F26" s="120">
        <f t="shared" si="9"/>
        <v>19900000</v>
      </c>
      <c r="G26" s="120">
        <v>6050000</v>
      </c>
      <c r="H26" s="120">
        <v>5792275</v>
      </c>
      <c r="I26" s="120"/>
      <c r="J26" s="120">
        <v>17295</v>
      </c>
      <c r="K26" s="120">
        <f t="shared" si="10"/>
        <v>17295</v>
      </c>
      <c r="L26" s="120">
        <f t="shared" si="11"/>
        <v>5809570</v>
      </c>
      <c r="M26" s="120">
        <f>P26+S26-240000</f>
        <v>430</v>
      </c>
      <c r="N26" s="120">
        <f>15000000-5000000-3000000+240000-2000000</f>
        <v>5240000</v>
      </c>
      <c r="O26" s="120">
        <f t="shared" si="12"/>
        <v>26650000</v>
      </c>
      <c r="P26" s="120">
        <f t="shared" si="13"/>
        <v>240430</v>
      </c>
      <c r="Q26" s="357"/>
      <c r="R26" s="120"/>
      <c r="S26" s="120">
        <f t="shared" si="14"/>
        <v>0</v>
      </c>
      <c r="T26" s="120">
        <f t="shared" si="15"/>
        <v>240000</v>
      </c>
      <c r="U26" s="120">
        <f t="shared" si="16"/>
        <v>5000000</v>
      </c>
      <c r="V26" s="120">
        <f t="shared" si="17"/>
        <v>5000000</v>
      </c>
      <c r="W26" s="120"/>
      <c r="X26" s="120"/>
      <c r="Y26" s="120"/>
      <c r="Z26" s="120"/>
      <c r="AA26" s="135"/>
      <c r="AB26" s="3" t="s">
        <v>484</v>
      </c>
      <c r="AC26" s="3">
        <v>742000</v>
      </c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217"/>
      <c r="AW26" s="217"/>
      <c r="AX26" s="217"/>
    </row>
    <row r="27" spans="1:59" ht="34.200000000000003" customHeight="1">
      <c r="A27" s="135">
        <f t="shared" si="7"/>
        <v>20</v>
      </c>
      <c r="B27" s="220">
        <v>1819</v>
      </c>
      <c r="C27" s="135" t="s">
        <v>365</v>
      </c>
      <c r="D27" s="120">
        <v>17545000</v>
      </c>
      <c r="E27" s="120">
        <v>17545000</v>
      </c>
      <c r="F27" s="120">
        <f t="shared" si="9"/>
        <v>0</v>
      </c>
      <c r="G27" s="120">
        <v>17545000</v>
      </c>
      <c r="H27" s="120">
        <v>15717150</v>
      </c>
      <c r="I27" s="120"/>
      <c r="J27" s="120"/>
      <c r="K27" s="120">
        <f t="shared" si="10"/>
        <v>0</v>
      </c>
      <c r="L27" s="120">
        <f t="shared" si="11"/>
        <v>15717150</v>
      </c>
      <c r="M27" s="120">
        <f>P27+S27-1820000</f>
        <v>7850</v>
      </c>
      <c r="N27" s="120">
        <v>320000</v>
      </c>
      <c r="O27" s="120">
        <f t="shared" si="12"/>
        <v>1500000</v>
      </c>
      <c r="P27" s="120">
        <f t="shared" si="13"/>
        <v>1827850</v>
      </c>
      <c r="Q27" s="120"/>
      <c r="R27" s="120"/>
      <c r="S27" s="120">
        <f t="shared" si="14"/>
        <v>0</v>
      </c>
      <c r="T27" s="120">
        <f t="shared" si="15"/>
        <v>1820000</v>
      </c>
      <c r="U27" s="120">
        <f t="shared" si="16"/>
        <v>-1500000</v>
      </c>
      <c r="V27" s="120">
        <f t="shared" si="17"/>
        <v>-1500000</v>
      </c>
      <c r="W27" s="120"/>
      <c r="X27" s="120"/>
      <c r="Y27" s="120"/>
      <c r="Z27" s="120"/>
      <c r="AA27" s="135"/>
      <c r="AB27" s="135" t="s">
        <v>1323</v>
      </c>
      <c r="AC27" s="135">
        <v>742000</v>
      </c>
    </row>
    <row r="28" spans="1:59" ht="34.200000000000003" customHeight="1">
      <c r="A28" s="135">
        <f t="shared" si="7"/>
        <v>21</v>
      </c>
      <c r="B28" s="220">
        <v>1845</v>
      </c>
      <c r="C28" s="135" t="s">
        <v>1328</v>
      </c>
      <c r="D28" s="120">
        <f>6000000+131500000</f>
        <v>137500000</v>
      </c>
      <c r="E28" s="120">
        <v>6000000</v>
      </c>
      <c r="F28" s="120">
        <f t="shared" si="9"/>
        <v>131500000</v>
      </c>
      <c r="G28" s="120">
        <v>2740000</v>
      </c>
      <c r="H28" s="120">
        <v>2721383</v>
      </c>
      <c r="I28" s="120"/>
      <c r="J28" s="120"/>
      <c r="K28" s="120">
        <f t="shared" si="10"/>
        <v>0</v>
      </c>
      <c r="L28" s="120">
        <f t="shared" si="11"/>
        <v>2721383</v>
      </c>
      <c r="M28" s="120">
        <f>P28+S28</f>
        <v>18617</v>
      </c>
      <c r="N28" s="120">
        <f>40000000-40000000</f>
        <v>0</v>
      </c>
      <c r="O28" s="120">
        <f t="shared" si="12"/>
        <v>134760000</v>
      </c>
      <c r="P28" s="120">
        <f t="shared" si="13"/>
        <v>18617</v>
      </c>
      <c r="Q28" s="357"/>
      <c r="R28" s="120"/>
      <c r="S28" s="120">
        <f t="shared" si="14"/>
        <v>0</v>
      </c>
      <c r="T28" s="120">
        <f t="shared" si="15"/>
        <v>0</v>
      </c>
      <c r="U28" s="120">
        <f t="shared" si="16"/>
        <v>0</v>
      </c>
      <c r="V28" s="120">
        <f t="shared" si="17"/>
        <v>0</v>
      </c>
      <c r="W28" s="120"/>
      <c r="X28" s="120"/>
      <c r="Y28" s="120"/>
      <c r="Z28" s="120"/>
      <c r="AA28" s="135"/>
      <c r="AB28" s="135" t="s">
        <v>1375</v>
      </c>
      <c r="AC28" s="135">
        <v>742000</v>
      </c>
    </row>
    <row r="29" spans="1:59" s="134" customFormat="1" ht="55.95" customHeight="1">
      <c r="A29" s="135">
        <f t="shared" si="7"/>
        <v>22</v>
      </c>
      <c r="B29" s="220">
        <v>1961</v>
      </c>
      <c r="C29" s="135" t="s">
        <v>121</v>
      </c>
      <c r="D29" s="120">
        <f>128000000-127500000-200000</f>
        <v>300000</v>
      </c>
      <c r="E29" s="120">
        <v>128000000</v>
      </c>
      <c r="F29" s="120">
        <f t="shared" si="9"/>
        <v>-127700000</v>
      </c>
      <c r="G29" s="120">
        <v>500000</v>
      </c>
      <c r="H29" s="120"/>
      <c r="I29" s="120"/>
      <c r="J29" s="120"/>
      <c r="K29" s="120">
        <f t="shared" si="10"/>
        <v>0</v>
      </c>
      <c r="L29" s="120">
        <f t="shared" si="11"/>
        <v>0</v>
      </c>
      <c r="M29" s="120">
        <f>P29+S29-500000</f>
        <v>0</v>
      </c>
      <c r="N29" s="120">
        <v>300000</v>
      </c>
      <c r="O29" s="120">
        <f t="shared" si="12"/>
        <v>0</v>
      </c>
      <c r="P29" s="120">
        <f t="shared" si="13"/>
        <v>500000</v>
      </c>
      <c r="Q29" s="357"/>
      <c r="R29" s="120"/>
      <c r="S29" s="120">
        <f t="shared" si="14"/>
        <v>0</v>
      </c>
      <c r="T29" s="120">
        <f t="shared" si="15"/>
        <v>500000</v>
      </c>
      <c r="U29" s="120">
        <f t="shared" si="16"/>
        <v>-200000</v>
      </c>
      <c r="V29" s="120">
        <f t="shared" si="17"/>
        <v>-200000</v>
      </c>
      <c r="W29" s="120"/>
      <c r="X29" s="120"/>
      <c r="Y29" s="120"/>
      <c r="Z29" s="120"/>
      <c r="AA29" s="135"/>
      <c r="AB29" s="250" t="s">
        <v>1507</v>
      </c>
      <c r="AC29" s="135">
        <v>742000</v>
      </c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217"/>
      <c r="AW29" s="217"/>
      <c r="AX29" s="217"/>
      <c r="AY29" s="131"/>
      <c r="AZ29" s="131"/>
      <c r="BA29" s="131"/>
      <c r="BB29" s="131"/>
      <c r="BC29" s="131"/>
      <c r="BD29" s="131"/>
      <c r="BE29" s="131"/>
      <c r="BF29" s="131"/>
      <c r="BG29" s="131"/>
    </row>
    <row r="30" spans="1:59" s="134" customFormat="1" ht="64.95" customHeight="1">
      <c r="A30" s="135">
        <f t="shared" si="7"/>
        <v>23</v>
      </c>
      <c r="B30" s="135">
        <v>2002</v>
      </c>
      <c r="C30" s="135" t="s">
        <v>132</v>
      </c>
      <c r="D30" s="120">
        <f>1500000+500000+300000</f>
        <v>2300000</v>
      </c>
      <c r="E30" s="120">
        <v>1500000</v>
      </c>
      <c r="F30" s="120">
        <f t="shared" si="9"/>
        <v>800000</v>
      </c>
      <c r="G30" s="120">
        <v>1500000</v>
      </c>
      <c r="H30" s="120">
        <v>1495997</v>
      </c>
      <c r="I30" s="120"/>
      <c r="J30" s="120"/>
      <c r="K30" s="120">
        <f t="shared" si="10"/>
        <v>0</v>
      </c>
      <c r="L30" s="120">
        <f t="shared" si="11"/>
        <v>1495997</v>
      </c>
      <c r="M30" s="120">
        <f>P30+S30</f>
        <v>4003</v>
      </c>
      <c r="N30" s="120">
        <v>500000</v>
      </c>
      <c r="O30" s="120">
        <f t="shared" si="12"/>
        <v>300000</v>
      </c>
      <c r="P30" s="120">
        <f t="shared" si="13"/>
        <v>4003</v>
      </c>
      <c r="Q30" s="357"/>
      <c r="R30" s="120"/>
      <c r="S30" s="120">
        <f t="shared" si="14"/>
        <v>0</v>
      </c>
      <c r="T30" s="120">
        <f t="shared" si="15"/>
        <v>0</v>
      </c>
      <c r="U30" s="120">
        <f t="shared" si="16"/>
        <v>500000</v>
      </c>
      <c r="V30" s="120">
        <f t="shared" si="17"/>
        <v>500000</v>
      </c>
      <c r="W30" s="120"/>
      <c r="X30" s="120"/>
      <c r="Y30" s="120"/>
      <c r="Z30" s="120"/>
      <c r="AA30" s="135"/>
      <c r="AB30" s="135" t="s">
        <v>964</v>
      </c>
      <c r="AC30" s="135">
        <v>742000</v>
      </c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217"/>
      <c r="AW30" s="217"/>
      <c r="AX30" s="217"/>
      <c r="AY30" s="139"/>
      <c r="AZ30" s="139"/>
      <c r="BA30" s="139"/>
      <c r="BB30" s="139"/>
      <c r="BC30" s="139"/>
      <c r="BD30" s="139"/>
      <c r="BE30" s="139"/>
      <c r="BF30" s="139"/>
      <c r="BG30" s="139"/>
    </row>
    <row r="31" spans="1:59" ht="48" customHeight="1">
      <c r="A31" s="135">
        <f t="shared" si="7"/>
        <v>24</v>
      </c>
      <c r="B31" s="135">
        <v>2008</v>
      </c>
      <c r="C31" s="135" t="s">
        <v>246</v>
      </c>
      <c r="D31" s="120">
        <v>2500000</v>
      </c>
      <c r="E31" s="120">
        <v>2500000</v>
      </c>
      <c r="F31" s="120">
        <f t="shared" si="9"/>
        <v>0</v>
      </c>
      <c r="G31" s="120">
        <v>450000</v>
      </c>
      <c r="H31" s="120">
        <v>41210</v>
      </c>
      <c r="I31" s="120"/>
      <c r="J31" s="120"/>
      <c r="K31" s="120">
        <f t="shared" si="10"/>
        <v>0</v>
      </c>
      <c r="L31" s="120">
        <f t="shared" si="11"/>
        <v>41210</v>
      </c>
      <c r="M31" s="120">
        <f>P31+S31-700000</f>
        <v>8790</v>
      </c>
      <c r="N31" s="120">
        <f>1750000+700000-750000</f>
        <v>1700000</v>
      </c>
      <c r="O31" s="120">
        <f t="shared" si="12"/>
        <v>750000</v>
      </c>
      <c r="P31" s="120">
        <f t="shared" si="13"/>
        <v>408790</v>
      </c>
      <c r="Q31" s="357">
        <v>300000</v>
      </c>
      <c r="R31" s="120"/>
      <c r="S31" s="120">
        <f t="shared" si="14"/>
        <v>300000</v>
      </c>
      <c r="T31" s="120">
        <f t="shared" si="15"/>
        <v>700000</v>
      </c>
      <c r="U31" s="120">
        <f t="shared" si="16"/>
        <v>1000000</v>
      </c>
      <c r="V31" s="120">
        <f t="shared" si="17"/>
        <v>1000000</v>
      </c>
      <c r="W31" s="120"/>
      <c r="X31" s="120"/>
      <c r="Y31" s="120"/>
      <c r="Z31" s="120"/>
      <c r="AA31" s="135"/>
      <c r="AB31" s="292" t="s">
        <v>468</v>
      </c>
      <c r="AC31" s="135">
        <v>742000</v>
      </c>
      <c r="AY31" s="139"/>
      <c r="AZ31" s="139"/>
      <c r="BA31" s="139"/>
      <c r="BB31" s="139"/>
      <c r="BC31" s="139"/>
      <c r="BD31" s="139"/>
      <c r="BE31" s="139"/>
      <c r="BF31" s="139"/>
      <c r="BG31" s="139"/>
    </row>
    <row r="32" spans="1:59" ht="36.6" customHeight="1">
      <c r="A32" s="135">
        <f t="shared" si="7"/>
        <v>25</v>
      </c>
      <c r="B32" s="3">
        <v>2009</v>
      </c>
      <c r="C32" s="3" t="s">
        <v>215</v>
      </c>
      <c r="D32" s="120">
        <v>13700000</v>
      </c>
      <c r="E32" s="120">
        <v>13700000</v>
      </c>
      <c r="F32" s="120">
        <f t="shared" si="9"/>
        <v>0</v>
      </c>
      <c r="G32" s="120">
        <v>2200000</v>
      </c>
      <c r="H32" s="120">
        <v>3711086</v>
      </c>
      <c r="I32" s="120"/>
      <c r="J32" s="120"/>
      <c r="K32" s="120">
        <f t="shared" si="10"/>
        <v>0</v>
      </c>
      <c r="L32" s="120">
        <f t="shared" si="11"/>
        <v>3711086</v>
      </c>
      <c r="M32" s="120">
        <f>P32+S32-485000</f>
        <v>3914</v>
      </c>
      <c r="N32" s="120">
        <f>9500000-3500000+485000-1000000</f>
        <v>5485000</v>
      </c>
      <c r="O32" s="120">
        <f t="shared" si="12"/>
        <v>4500000</v>
      </c>
      <c r="P32" s="120">
        <f t="shared" si="13"/>
        <v>-1511086</v>
      </c>
      <c r="Q32" s="357">
        <v>2000000</v>
      </c>
      <c r="R32" s="120"/>
      <c r="S32" s="120">
        <f t="shared" si="14"/>
        <v>2000000</v>
      </c>
      <c r="T32" s="120">
        <f t="shared" si="15"/>
        <v>485000</v>
      </c>
      <c r="U32" s="120">
        <f t="shared" si="16"/>
        <v>5000000</v>
      </c>
      <c r="V32" s="120">
        <f t="shared" si="17"/>
        <v>-300952</v>
      </c>
      <c r="W32" s="120"/>
      <c r="X32" s="120"/>
      <c r="Y32" s="120"/>
      <c r="Z32" s="120"/>
      <c r="AA32" s="120">
        <v>5300952</v>
      </c>
      <c r="AB32" s="3" t="s">
        <v>1385</v>
      </c>
      <c r="AC32" s="3">
        <v>742000</v>
      </c>
      <c r="AY32" s="5"/>
      <c r="AZ32" s="5"/>
      <c r="BA32" s="5"/>
      <c r="BB32" s="5"/>
      <c r="BC32" s="5"/>
      <c r="BD32" s="5"/>
      <c r="BE32" s="5"/>
      <c r="BF32" s="5"/>
      <c r="BG32" s="5"/>
    </row>
    <row r="33" spans="1:59" ht="69" customHeight="1">
      <c r="A33" s="135">
        <f t="shared" si="7"/>
        <v>26</v>
      </c>
      <c r="B33" s="3">
        <v>2011</v>
      </c>
      <c r="C33" s="19" t="s">
        <v>571</v>
      </c>
      <c r="D33" s="120">
        <v>80000000</v>
      </c>
      <c r="E33" s="120">
        <v>80000000</v>
      </c>
      <c r="F33" s="120">
        <f t="shared" si="9"/>
        <v>0</v>
      </c>
      <c r="G33" s="120">
        <f>37562673+5000000</f>
        <v>42562673</v>
      </c>
      <c r="H33" s="120">
        <v>48280954</v>
      </c>
      <c r="I33" s="120"/>
      <c r="J33" s="120"/>
      <c r="K33" s="120">
        <f t="shared" si="10"/>
        <v>0</v>
      </c>
      <c r="L33" s="120">
        <f t="shared" si="11"/>
        <v>48280954</v>
      </c>
      <c r="M33" s="120">
        <f>P33+S33-280000</f>
        <v>1719</v>
      </c>
      <c r="N33" s="120">
        <f>31437327+280000-5000000-1600000</f>
        <v>25117327</v>
      </c>
      <c r="O33" s="120">
        <f t="shared" si="12"/>
        <v>6600000</v>
      </c>
      <c r="P33" s="120">
        <f t="shared" si="13"/>
        <v>-5718281</v>
      </c>
      <c r="Q33" s="357">
        <f>11000000-5000000</f>
        <v>6000000</v>
      </c>
      <c r="R33" s="120"/>
      <c r="S33" s="120">
        <f t="shared" si="14"/>
        <v>6000000</v>
      </c>
      <c r="T33" s="120">
        <f t="shared" si="15"/>
        <v>280000</v>
      </c>
      <c r="U33" s="120">
        <f t="shared" si="16"/>
        <v>24837327</v>
      </c>
      <c r="V33" s="120">
        <f t="shared" si="17"/>
        <v>24837327</v>
      </c>
      <c r="W33" s="120"/>
      <c r="X33" s="120"/>
      <c r="Y33" s="120"/>
      <c r="Z33" s="120"/>
      <c r="AA33" s="135"/>
      <c r="AB33" s="3" t="s">
        <v>548</v>
      </c>
      <c r="AC33" s="3">
        <v>742000</v>
      </c>
      <c r="AY33" s="5"/>
      <c r="AZ33" s="5"/>
      <c r="BA33" s="5"/>
      <c r="BB33" s="5"/>
      <c r="BC33" s="5"/>
      <c r="BD33" s="5"/>
      <c r="BE33" s="5"/>
      <c r="BF33" s="5"/>
      <c r="BG33" s="5"/>
    </row>
    <row r="34" spans="1:59" ht="73.95" customHeight="1">
      <c r="A34" s="135">
        <f t="shared" si="7"/>
        <v>27</v>
      </c>
      <c r="B34" s="135">
        <v>2018</v>
      </c>
      <c r="C34" s="135" t="s">
        <v>259</v>
      </c>
      <c r="D34" s="120">
        <f>3600000-250000</f>
        <v>3350000</v>
      </c>
      <c r="E34" s="120">
        <v>3600000</v>
      </c>
      <c r="F34" s="120">
        <f t="shared" si="9"/>
        <v>-250000</v>
      </c>
      <c r="G34" s="120">
        <v>3600000</v>
      </c>
      <c r="H34" s="120">
        <v>3060025</v>
      </c>
      <c r="I34" s="120"/>
      <c r="J34" s="120"/>
      <c r="K34" s="120">
        <f t="shared" si="10"/>
        <v>0</v>
      </c>
      <c r="L34" s="120">
        <f t="shared" si="11"/>
        <v>3060025</v>
      </c>
      <c r="M34" s="120">
        <f>P34+S34-535000</f>
        <v>4975</v>
      </c>
      <c r="N34" s="120">
        <f>535000-250000</f>
        <v>285000</v>
      </c>
      <c r="O34" s="120">
        <f t="shared" si="12"/>
        <v>0</v>
      </c>
      <c r="P34" s="120">
        <f t="shared" si="13"/>
        <v>539975</v>
      </c>
      <c r="Q34" s="357"/>
      <c r="R34" s="120"/>
      <c r="S34" s="120">
        <f t="shared" si="14"/>
        <v>0</v>
      </c>
      <c r="T34" s="120">
        <f t="shared" si="15"/>
        <v>535000</v>
      </c>
      <c r="U34" s="120">
        <f t="shared" si="16"/>
        <v>-250000</v>
      </c>
      <c r="V34" s="120">
        <f t="shared" si="17"/>
        <v>-250000</v>
      </c>
      <c r="W34" s="120"/>
      <c r="X34" s="120"/>
      <c r="Y34" s="120"/>
      <c r="Z34" s="120"/>
      <c r="AA34" s="135"/>
      <c r="AB34" s="224" t="s">
        <v>1327</v>
      </c>
      <c r="AC34" s="135">
        <v>742000</v>
      </c>
    </row>
    <row r="35" spans="1:59" ht="56.4" customHeight="1">
      <c r="A35" s="135">
        <f t="shared" si="7"/>
        <v>28</v>
      </c>
      <c r="B35" s="3">
        <v>2078</v>
      </c>
      <c r="C35" s="3" t="s">
        <v>247</v>
      </c>
      <c r="D35" s="120">
        <v>2460000</v>
      </c>
      <c r="E35" s="120">
        <v>2460000</v>
      </c>
      <c r="F35" s="120">
        <f t="shared" si="9"/>
        <v>0</v>
      </c>
      <c r="G35" s="120">
        <v>1960000</v>
      </c>
      <c r="H35" s="120">
        <v>239106</v>
      </c>
      <c r="I35" s="120"/>
      <c r="J35" s="120"/>
      <c r="K35" s="120">
        <f t="shared" si="10"/>
        <v>0</v>
      </c>
      <c r="L35" s="120">
        <f t="shared" si="11"/>
        <v>239106</v>
      </c>
      <c r="M35" s="120">
        <f>P35+S35-500000-1700000</f>
        <v>20894</v>
      </c>
      <c r="N35" s="120">
        <f>500000+1700000-100000</f>
        <v>2100000</v>
      </c>
      <c r="O35" s="120">
        <f t="shared" si="12"/>
        <v>100000</v>
      </c>
      <c r="P35" s="120">
        <f t="shared" si="13"/>
        <v>1720894</v>
      </c>
      <c r="Q35" s="357">
        <v>500000</v>
      </c>
      <c r="R35" s="120"/>
      <c r="S35" s="120">
        <f t="shared" si="14"/>
        <v>500000</v>
      </c>
      <c r="T35" s="120">
        <f t="shared" si="15"/>
        <v>2200000</v>
      </c>
      <c r="U35" s="120">
        <f t="shared" si="16"/>
        <v>-100000</v>
      </c>
      <c r="V35" s="120">
        <f t="shared" si="17"/>
        <v>-100000</v>
      </c>
      <c r="W35" s="120"/>
      <c r="X35" s="120"/>
      <c r="Y35" s="120"/>
      <c r="Z35" s="120"/>
      <c r="AA35" s="135"/>
      <c r="AB35" s="3" t="s">
        <v>325</v>
      </c>
      <c r="AC35" s="3">
        <v>742000</v>
      </c>
      <c r="AY35" s="5"/>
      <c r="AZ35" s="5"/>
      <c r="BA35" s="5"/>
      <c r="BB35" s="5"/>
      <c r="BC35" s="5"/>
      <c r="BD35" s="5"/>
      <c r="BE35" s="5"/>
      <c r="BF35" s="5"/>
      <c r="BG35" s="5"/>
    </row>
    <row r="36" spans="1:59" customFormat="1" ht="68.400000000000006" customHeight="1">
      <c r="A36" s="135">
        <f t="shared" si="7"/>
        <v>29</v>
      </c>
      <c r="B36" s="19">
        <v>2106</v>
      </c>
      <c r="C36" s="3" t="s">
        <v>361</v>
      </c>
      <c r="D36" s="120">
        <v>15000000</v>
      </c>
      <c r="E36" s="120">
        <v>15000000</v>
      </c>
      <c r="F36" s="120">
        <f t="shared" si="9"/>
        <v>0</v>
      </c>
      <c r="G36" s="120">
        <v>4000000</v>
      </c>
      <c r="H36" s="120">
        <v>1908005</v>
      </c>
      <c r="I36" s="120"/>
      <c r="J36" s="120"/>
      <c r="K36" s="120">
        <f t="shared" si="10"/>
        <v>0</v>
      </c>
      <c r="L36" s="120">
        <f t="shared" si="11"/>
        <v>1908005</v>
      </c>
      <c r="M36" s="120">
        <f>P36+S36-500000-2050000</f>
        <v>41995</v>
      </c>
      <c r="N36" s="120">
        <f>500000+2050000</f>
        <v>2550000</v>
      </c>
      <c r="O36" s="120">
        <f t="shared" si="12"/>
        <v>10500000</v>
      </c>
      <c r="P36" s="120">
        <f t="shared" si="13"/>
        <v>2091995</v>
      </c>
      <c r="Q36" s="357">
        <v>500000</v>
      </c>
      <c r="R36" s="120"/>
      <c r="S36" s="120">
        <f t="shared" si="14"/>
        <v>500000</v>
      </c>
      <c r="T36" s="120">
        <f t="shared" si="15"/>
        <v>2550000</v>
      </c>
      <c r="U36" s="120">
        <f t="shared" si="16"/>
        <v>0</v>
      </c>
      <c r="V36" s="120">
        <f t="shared" si="17"/>
        <v>0</v>
      </c>
      <c r="W36" s="120"/>
      <c r="X36" s="120"/>
      <c r="Y36" s="120"/>
      <c r="Z36" s="120"/>
      <c r="AA36" s="135"/>
      <c r="AB36" s="224" t="s">
        <v>519</v>
      </c>
      <c r="AC36" s="3">
        <v>742000</v>
      </c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217"/>
      <c r="AW36" s="217"/>
      <c r="AX36" s="217"/>
      <c r="AY36" s="6"/>
      <c r="AZ36" s="6"/>
      <c r="BA36" s="6"/>
      <c r="BB36" s="6"/>
      <c r="BC36" s="6"/>
      <c r="BD36" s="6"/>
      <c r="BE36" s="6"/>
      <c r="BF36" s="6"/>
      <c r="BG36" s="6"/>
    </row>
    <row r="37" spans="1:59" s="139" customFormat="1" ht="46.2" customHeight="1">
      <c r="A37" s="135">
        <f t="shared" si="7"/>
        <v>30</v>
      </c>
      <c r="B37" s="19">
        <v>2109</v>
      </c>
      <c r="C37" s="3" t="s">
        <v>248</v>
      </c>
      <c r="D37" s="120">
        <f>2000000+5500000</f>
        <v>7500000</v>
      </c>
      <c r="E37" s="120">
        <v>2000000</v>
      </c>
      <c r="F37" s="120">
        <f t="shared" si="9"/>
        <v>5500000</v>
      </c>
      <c r="G37" s="120">
        <v>850000</v>
      </c>
      <c r="H37" s="120">
        <v>159190</v>
      </c>
      <c r="I37" s="120"/>
      <c r="J37" s="120"/>
      <c r="K37" s="120">
        <f t="shared" si="10"/>
        <v>0</v>
      </c>
      <c r="L37" s="120">
        <f t="shared" si="11"/>
        <v>159190</v>
      </c>
      <c r="M37" s="120">
        <f>P37+S37-690000</f>
        <v>810</v>
      </c>
      <c r="N37" s="120">
        <v>690000</v>
      </c>
      <c r="O37" s="120">
        <f t="shared" si="12"/>
        <v>6650000</v>
      </c>
      <c r="P37" s="120">
        <f t="shared" si="13"/>
        <v>690810</v>
      </c>
      <c r="Q37" s="357"/>
      <c r="R37" s="120"/>
      <c r="S37" s="120">
        <f t="shared" si="14"/>
        <v>0</v>
      </c>
      <c r="T37" s="120">
        <f t="shared" si="15"/>
        <v>690000</v>
      </c>
      <c r="U37" s="120">
        <f t="shared" si="16"/>
        <v>0</v>
      </c>
      <c r="V37" s="120">
        <f t="shared" si="17"/>
        <v>0</v>
      </c>
      <c r="W37" s="120"/>
      <c r="X37" s="120"/>
      <c r="Y37" s="120"/>
      <c r="Z37" s="120"/>
      <c r="AA37" s="135"/>
      <c r="AB37" s="3" t="s">
        <v>549</v>
      </c>
      <c r="AC37" s="813">
        <v>742000</v>
      </c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217"/>
      <c r="AW37" s="217"/>
      <c r="AX37" s="217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139" customFormat="1" ht="45" customHeight="1">
      <c r="A38" s="135">
        <f t="shared" si="7"/>
        <v>31</v>
      </c>
      <c r="B38" s="19">
        <v>2110</v>
      </c>
      <c r="C38" s="3" t="s">
        <v>249</v>
      </c>
      <c r="D38" s="120">
        <v>16000000</v>
      </c>
      <c r="E38" s="120">
        <v>16000000</v>
      </c>
      <c r="F38" s="120">
        <f t="shared" si="9"/>
        <v>0</v>
      </c>
      <c r="G38" s="120">
        <v>50000</v>
      </c>
      <c r="H38" s="120"/>
      <c r="I38" s="120"/>
      <c r="J38" s="120"/>
      <c r="K38" s="120">
        <f t="shared" si="10"/>
        <v>0</v>
      </c>
      <c r="L38" s="120">
        <f t="shared" si="11"/>
        <v>0</v>
      </c>
      <c r="M38" s="120">
        <f>P38+S38-50000</f>
        <v>0</v>
      </c>
      <c r="N38" s="120"/>
      <c r="O38" s="120">
        <f t="shared" si="12"/>
        <v>16000000</v>
      </c>
      <c r="P38" s="120">
        <f t="shared" si="13"/>
        <v>50000</v>
      </c>
      <c r="Q38" s="357"/>
      <c r="R38" s="120"/>
      <c r="S38" s="120">
        <f t="shared" si="14"/>
        <v>0</v>
      </c>
      <c r="T38" s="120">
        <f t="shared" si="15"/>
        <v>50000</v>
      </c>
      <c r="U38" s="120">
        <f t="shared" si="16"/>
        <v>-50000</v>
      </c>
      <c r="V38" s="120">
        <f t="shared" si="17"/>
        <v>-50000</v>
      </c>
      <c r="W38" s="120"/>
      <c r="X38" s="120"/>
      <c r="Y38" s="120"/>
      <c r="Z38" s="120"/>
      <c r="AA38" s="135"/>
      <c r="AB38" s="3" t="s">
        <v>566</v>
      </c>
      <c r="AC38" s="3">
        <v>742000</v>
      </c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217"/>
      <c r="AW38" s="217"/>
      <c r="AX38" s="217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5" customFormat="1" ht="82.95" customHeight="1">
      <c r="A39" s="135">
        <f t="shared" si="7"/>
        <v>32</v>
      </c>
      <c r="B39" s="19">
        <v>2111</v>
      </c>
      <c r="C39" s="3" t="s">
        <v>250</v>
      </c>
      <c r="D39" s="120">
        <v>15200000</v>
      </c>
      <c r="E39" s="120">
        <v>15200000</v>
      </c>
      <c r="F39" s="120">
        <f t="shared" si="9"/>
        <v>0</v>
      </c>
      <c r="G39" s="120">
        <v>100000</v>
      </c>
      <c r="H39" s="120"/>
      <c r="I39" s="120"/>
      <c r="J39" s="120"/>
      <c r="K39" s="120">
        <f t="shared" si="10"/>
        <v>0</v>
      </c>
      <c r="L39" s="120">
        <f t="shared" si="11"/>
        <v>0</v>
      </c>
      <c r="M39" s="120">
        <f>P39+S39-100000</f>
        <v>0</v>
      </c>
      <c r="N39" s="120">
        <f>15100000-14100000-1000000</f>
        <v>0</v>
      </c>
      <c r="O39" s="120">
        <f t="shared" si="12"/>
        <v>15200000</v>
      </c>
      <c r="P39" s="120">
        <f t="shared" si="13"/>
        <v>100000</v>
      </c>
      <c r="Q39" s="357"/>
      <c r="R39" s="120"/>
      <c r="S39" s="120">
        <f t="shared" si="14"/>
        <v>0</v>
      </c>
      <c r="T39" s="120">
        <f t="shared" si="15"/>
        <v>100000</v>
      </c>
      <c r="U39" s="120">
        <f t="shared" si="16"/>
        <v>-100000</v>
      </c>
      <c r="V39" s="120">
        <f t="shared" si="17"/>
        <v>-100000</v>
      </c>
      <c r="W39" s="120"/>
      <c r="X39" s="120"/>
      <c r="Y39" s="120"/>
      <c r="Z39" s="120"/>
      <c r="AA39" s="135"/>
      <c r="AB39" s="213" t="s">
        <v>520</v>
      </c>
      <c r="AC39" s="3">
        <v>742000</v>
      </c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217"/>
      <c r="AW39" s="217"/>
      <c r="AX39" s="217"/>
    </row>
    <row r="40" spans="1:59" s="5" customFormat="1" ht="37.200000000000003" customHeight="1">
      <c r="A40" s="135">
        <f t="shared" si="7"/>
        <v>33</v>
      </c>
      <c r="B40" s="19">
        <v>2119</v>
      </c>
      <c r="C40" s="3" t="s">
        <v>254</v>
      </c>
      <c r="D40" s="120">
        <v>6000000</v>
      </c>
      <c r="E40" s="120">
        <v>6000000</v>
      </c>
      <c r="F40" s="120">
        <f t="shared" si="9"/>
        <v>0</v>
      </c>
      <c r="G40" s="120">
        <v>6000000</v>
      </c>
      <c r="H40" s="120">
        <v>3301431</v>
      </c>
      <c r="I40" s="120"/>
      <c r="J40" s="120"/>
      <c r="K40" s="120">
        <f t="shared" si="10"/>
        <v>0</v>
      </c>
      <c r="L40" s="120">
        <f t="shared" si="11"/>
        <v>3301431</v>
      </c>
      <c r="M40" s="120">
        <f>P40+S40-2690000</f>
        <v>8569</v>
      </c>
      <c r="N40" s="120">
        <v>2690000</v>
      </c>
      <c r="O40" s="120">
        <f t="shared" si="12"/>
        <v>0</v>
      </c>
      <c r="P40" s="120">
        <f t="shared" si="13"/>
        <v>2698569</v>
      </c>
      <c r="Q40" s="357"/>
      <c r="R40" s="120"/>
      <c r="S40" s="120">
        <f t="shared" si="14"/>
        <v>0</v>
      </c>
      <c r="T40" s="120">
        <f t="shared" si="15"/>
        <v>2690000</v>
      </c>
      <c r="U40" s="120">
        <f t="shared" si="16"/>
        <v>0</v>
      </c>
      <c r="V40" s="120">
        <f t="shared" si="17"/>
        <v>0</v>
      </c>
      <c r="W40" s="120"/>
      <c r="X40" s="120"/>
      <c r="Y40" s="120"/>
      <c r="Z40" s="120"/>
      <c r="AA40" s="135"/>
      <c r="AB40" s="3" t="s">
        <v>255</v>
      </c>
      <c r="AC40" s="3">
        <v>742000</v>
      </c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217"/>
      <c r="AW40" s="217"/>
      <c r="AX40" s="217"/>
    </row>
    <row r="41" spans="1:59" s="139" customFormat="1" ht="45" customHeight="1">
      <c r="A41" s="135">
        <f t="shared" si="7"/>
        <v>34</v>
      </c>
      <c r="B41" s="19">
        <v>2126</v>
      </c>
      <c r="C41" s="3" t="s">
        <v>374</v>
      </c>
      <c r="D41" s="120">
        <v>1975000</v>
      </c>
      <c r="E41" s="120">
        <v>1975000</v>
      </c>
      <c r="F41" s="120">
        <f t="shared" si="9"/>
        <v>0</v>
      </c>
      <c r="G41" s="120">
        <v>0</v>
      </c>
      <c r="H41" s="120"/>
      <c r="I41" s="120"/>
      <c r="J41" s="120"/>
      <c r="K41" s="120">
        <f t="shared" si="10"/>
        <v>0</v>
      </c>
      <c r="L41" s="120">
        <f t="shared" si="11"/>
        <v>0</v>
      </c>
      <c r="M41" s="120">
        <f>P41+S41</f>
        <v>0</v>
      </c>
      <c r="N41" s="120"/>
      <c r="O41" s="120">
        <f t="shared" si="12"/>
        <v>1975000</v>
      </c>
      <c r="P41" s="120">
        <f t="shared" si="13"/>
        <v>0</v>
      </c>
      <c r="Q41" s="357"/>
      <c r="R41" s="120"/>
      <c r="S41" s="120">
        <f t="shared" si="14"/>
        <v>0</v>
      </c>
      <c r="T41" s="120">
        <f t="shared" si="15"/>
        <v>0</v>
      </c>
      <c r="U41" s="120">
        <f t="shared" si="16"/>
        <v>0</v>
      </c>
      <c r="V41" s="120">
        <f t="shared" si="17"/>
        <v>0</v>
      </c>
      <c r="W41" s="120"/>
      <c r="X41" s="120"/>
      <c r="Y41" s="120"/>
      <c r="Z41" s="120"/>
      <c r="AA41" s="135"/>
      <c r="AB41" s="3"/>
      <c r="AC41" s="3">
        <v>742000</v>
      </c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217"/>
      <c r="AW41" s="217"/>
      <c r="AX41" s="217"/>
      <c r="AY41" s="5"/>
      <c r="AZ41" s="5"/>
      <c r="BA41" s="5"/>
      <c r="BB41" s="5"/>
      <c r="BC41" s="5"/>
      <c r="BD41" s="5"/>
      <c r="BE41" s="5"/>
      <c r="BF41" s="5"/>
      <c r="BG41" s="5"/>
    </row>
    <row r="42" spans="1:59" ht="57" customHeight="1">
      <c r="A42" s="135">
        <f t="shared" si="7"/>
        <v>35</v>
      </c>
      <c r="B42" s="19">
        <v>2151</v>
      </c>
      <c r="C42" s="3" t="s">
        <v>386</v>
      </c>
      <c r="D42" s="120">
        <v>54000000</v>
      </c>
      <c r="E42" s="120">
        <v>54000000</v>
      </c>
      <c r="F42" s="120">
        <f t="shared" si="9"/>
        <v>0</v>
      </c>
      <c r="G42" s="120">
        <v>5000000</v>
      </c>
      <c r="H42" s="120">
        <v>4443787</v>
      </c>
      <c r="I42" s="120"/>
      <c r="J42" s="120"/>
      <c r="K42" s="120">
        <f t="shared" si="10"/>
        <v>0</v>
      </c>
      <c r="L42" s="120">
        <f t="shared" si="11"/>
        <v>4443787</v>
      </c>
      <c r="M42" s="120">
        <f>P42+S42-1550000</f>
        <v>6213</v>
      </c>
      <c r="N42" s="120">
        <f>30000000-12000000-11000000+1550000-2000000</f>
        <v>6550000</v>
      </c>
      <c r="O42" s="120">
        <f t="shared" si="12"/>
        <v>43000000</v>
      </c>
      <c r="P42" s="120">
        <f t="shared" si="13"/>
        <v>556213</v>
      </c>
      <c r="Q42" s="357">
        <v>1000000</v>
      </c>
      <c r="R42" s="120"/>
      <c r="S42" s="120">
        <f t="shared" si="14"/>
        <v>1000000</v>
      </c>
      <c r="T42" s="120">
        <f t="shared" si="15"/>
        <v>1550000</v>
      </c>
      <c r="U42" s="120">
        <f t="shared" si="16"/>
        <v>5000000</v>
      </c>
      <c r="V42" s="120">
        <f t="shared" si="17"/>
        <v>5000000</v>
      </c>
      <c r="W42" s="120"/>
      <c r="X42" s="120"/>
      <c r="Y42" s="120"/>
      <c r="Z42" s="120"/>
      <c r="AA42" s="135"/>
      <c r="AB42" s="19" t="s">
        <v>775</v>
      </c>
      <c r="AC42" s="3">
        <v>742000</v>
      </c>
      <c r="AY42" s="5"/>
      <c r="AZ42" s="5"/>
      <c r="BA42" s="5"/>
      <c r="BB42" s="5"/>
      <c r="BC42" s="5"/>
      <c r="BD42" s="5"/>
      <c r="BE42" s="5"/>
      <c r="BF42" s="5"/>
      <c r="BG42" s="5"/>
    </row>
    <row r="43" spans="1:59" ht="45" customHeight="1">
      <c r="A43" s="135">
        <f t="shared" si="7"/>
        <v>36</v>
      </c>
      <c r="B43" s="19">
        <v>2164</v>
      </c>
      <c r="C43" s="3" t="s">
        <v>397</v>
      </c>
      <c r="D43" s="120">
        <v>300000</v>
      </c>
      <c r="E43" s="120">
        <v>300000</v>
      </c>
      <c r="F43" s="120">
        <f t="shared" si="9"/>
        <v>0</v>
      </c>
      <c r="G43" s="120">
        <v>300000</v>
      </c>
      <c r="H43" s="120">
        <v>41092</v>
      </c>
      <c r="I43" s="120"/>
      <c r="J43" s="120">
        <v>4015</v>
      </c>
      <c r="K43" s="120">
        <f t="shared" si="10"/>
        <v>4015</v>
      </c>
      <c r="L43" s="120">
        <f t="shared" si="11"/>
        <v>45107</v>
      </c>
      <c r="M43" s="120">
        <f>P43+S43-250000</f>
        <v>4893</v>
      </c>
      <c r="N43" s="120">
        <f>250000-200000</f>
        <v>50000</v>
      </c>
      <c r="O43" s="120">
        <f t="shared" si="12"/>
        <v>200000</v>
      </c>
      <c r="P43" s="120">
        <f t="shared" si="13"/>
        <v>254893</v>
      </c>
      <c r="Q43" s="357"/>
      <c r="R43" s="120"/>
      <c r="S43" s="120">
        <f t="shared" si="14"/>
        <v>0</v>
      </c>
      <c r="T43" s="120">
        <f t="shared" si="15"/>
        <v>250000</v>
      </c>
      <c r="U43" s="120">
        <f t="shared" si="16"/>
        <v>-200000</v>
      </c>
      <c r="V43" s="120">
        <f t="shared" si="17"/>
        <v>0</v>
      </c>
      <c r="W43" s="120">
        <v>-200000</v>
      </c>
      <c r="X43" s="120"/>
      <c r="Y43" s="120"/>
      <c r="Z43" s="120"/>
      <c r="AA43" s="135"/>
      <c r="AB43" s="3" t="s">
        <v>398</v>
      </c>
      <c r="AC43" s="3">
        <v>742000</v>
      </c>
      <c r="AY43"/>
      <c r="AZ43"/>
      <c r="BA43"/>
      <c r="BB43"/>
      <c r="BC43"/>
      <c r="BD43"/>
      <c r="BE43"/>
      <c r="BF43"/>
      <c r="BG43"/>
    </row>
    <row r="44" spans="1:59" s="134" customFormat="1" ht="47.4" customHeight="1">
      <c r="A44" s="135">
        <f t="shared" si="7"/>
        <v>37</v>
      </c>
      <c r="B44" s="19">
        <v>2191</v>
      </c>
      <c r="C44" s="3" t="s">
        <v>491</v>
      </c>
      <c r="D44" s="120">
        <v>14000000</v>
      </c>
      <c r="E44" s="120">
        <v>14000000</v>
      </c>
      <c r="F44" s="120">
        <f t="shared" si="9"/>
        <v>0</v>
      </c>
      <c r="G44" s="120">
        <v>700000</v>
      </c>
      <c r="H44" s="120">
        <v>482960</v>
      </c>
      <c r="I44" s="120"/>
      <c r="J44" s="120"/>
      <c r="K44" s="120">
        <f t="shared" si="10"/>
        <v>0</v>
      </c>
      <c r="L44" s="120">
        <f t="shared" si="11"/>
        <v>482960</v>
      </c>
      <c r="M44" s="120">
        <f>P44+S44-210000</f>
        <v>7040</v>
      </c>
      <c r="N44" s="120">
        <v>210000</v>
      </c>
      <c r="O44" s="120">
        <f t="shared" si="12"/>
        <v>13300000</v>
      </c>
      <c r="P44" s="120">
        <f t="shared" si="13"/>
        <v>217040</v>
      </c>
      <c r="Q44" s="357"/>
      <c r="R44" s="120"/>
      <c r="S44" s="120">
        <f t="shared" si="14"/>
        <v>0</v>
      </c>
      <c r="T44" s="120">
        <f t="shared" si="15"/>
        <v>210000</v>
      </c>
      <c r="U44" s="120">
        <f t="shared" si="16"/>
        <v>0</v>
      </c>
      <c r="V44" s="120">
        <f t="shared" si="17"/>
        <v>0</v>
      </c>
      <c r="W44" s="120"/>
      <c r="X44" s="120"/>
      <c r="Y44" s="120"/>
      <c r="Z44" s="120"/>
      <c r="AA44" s="135"/>
      <c r="AB44" s="3" t="s">
        <v>631</v>
      </c>
      <c r="AC44" s="3">
        <v>742000</v>
      </c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217"/>
      <c r="AW44" s="217"/>
      <c r="AX44" s="217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134" customFormat="1" ht="45" customHeight="1">
      <c r="A45" s="135">
        <f t="shared" si="7"/>
        <v>38</v>
      </c>
      <c r="B45" s="19">
        <v>2194</v>
      </c>
      <c r="C45" s="3" t="s">
        <v>494</v>
      </c>
      <c r="D45" s="120">
        <v>700000</v>
      </c>
      <c r="E45" s="120">
        <v>700000</v>
      </c>
      <c r="F45" s="120">
        <f t="shared" si="9"/>
        <v>0</v>
      </c>
      <c r="G45" s="120">
        <v>100000</v>
      </c>
      <c r="H45" s="120"/>
      <c r="I45" s="120"/>
      <c r="J45" s="120"/>
      <c r="K45" s="120">
        <f t="shared" si="10"/>
        <v>0</v>
      </c>
      <c r="L45" s="120">
        <f t="shared" si="11"/>
        <v>0</v>
      </c>
      <c r="M45" s="120">
        <f>P45+S45-100000</f>
        <v>0</v>
      </c>
      <c r="N45" s="120">
        <f>300000-300000</f>
        <v>0</v>
      </c>
      <c r="O45" s="120">
        <f t="shared" si="12"/>
        <v>700000</v>
      </c>
      <c r="P45" s="120">
        <f t="shared" si="13"/>
        <v>100000</v>
      </c>
      <c r="Q45" s="357"/>
      <c r="R45" s="120"/>
      <c r="S45" s="120">
        <f t="shared" si="14"/>
        <v>0</v>
      </c>
      <c r="T45" s="120">
        <f t="shared" si="15"/>
        <v>100000</v>
      </c>
      <c r="U45" s="120">
        <f t="shared" si="16"/>
        <v>-100000</v>
      </c>
      <c r="V45" s="120">
        <f t="shared" si="17"/>
        <v>-100000</v>
      </c>
      <c r="W45" s="120"/>
      <c r="X45" s="120"/>
      <c r="Y45" s="120"/>
      <c r="Z45" s="120"/>
      <c r="AA45" s="135"/>
      <c r="AB45" s="3" t="s">
        <v>632</v>
      </c>
      <c r="AC45" s="3">
        <v>742000</v>
      </c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217"/>
      <c r="AW45" s="217"/>
      <c r="AX45" s="217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134" customFormat="1" ht="49.95" customHeight="1">
      <c r="A46" s="135">
        <f t="shared" si="7"/>
        <v>39</v>
      </c>
      <c r="B46" s="19">
        <v>2195</v>
      </c>
      <c r="C46" s="3" t="s">
        <v>495</v>
      </c>
      <c r="D46" s="4">
        <v>2300000</v>
      </c>
      <c r="E46" s="4">
        <v>2300000</v>
      </c>
      <c r="F46" s="4">
        <f t="shared" si="9"/>
        <v>0</v>
      </c>
      <c r="G46" s="4">
        <v>0</v>
      </c>
      <c r="H46" s="4"/>
      <c r="I46" s="4"/>
      <c r="J46" s="4"/>
      <c r="K46" s="4">
        <f t="shared" si="10"/>
        <v>0</v>
      </c>
      <c r="L46" s="4">
        <f>H46+K46</f>
        <v>0</v>
      </c>
      <c r="M46" s="4">
        <f>P46+S46-100000</f>
        <v>0</v>
      </c>
      <c r="N46" s="4">
        <f>2300000-100000-2050000-50000</f>
        <v>100000</v>
      </c>
      <c r="O46" s="4">
        <f t="shared" si="12"/>
        <v>2200000</v>
      </c>
      <c r="P46" s="4">
        <f t="shared" si="13"/>
        <v>0</v>
      </c>
      <c r="Q46" s="354">
        <v>100000</v>
      </c>
      <c r="R46" s="4"/>
      <c r="S46" s="4">
        <f t="shared" si="14"/>
        <v>100000</v>
      </c>
      <c r="T46" s="4">
        <f t="shared" si="15"/>
        <v>100000</v>
      </c>
      <c r="U46" s="4">
        <f t="shared" si="16"/>
        <v>0</v>
      </c>
      <c r="V46" s="4">
        <f>U46-AA46-W46-Z46-Y46-X46</f>
        <v>0</v>
      </c>
      <c r="W46" s="4"/>
      <c r="X46" s="4"/>
      <c r="Y46" s="4"/>
      <c r="Z46" s="4"/>
      <c r="AA46" s="3"/>
      <c r="AB46" s="3" t="s">
        <v>1510</v>
      </c>
      <c r="AC46" s="3">
        <v>742000</v>
      </c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8"/>
      <c r="AW46" s="18"/>
      <c r="AX46" s="18"/>
      <c r="AY46" s="18"/>
      <c r="AZ46" s="5"/>
      <c r="BA46" s="5"/>
      <c r="BB46" s="5"/>
      <c r="BC46" s="5"/>
      <c r="BD46" s="5"/>
      <c r="BE46" s="5"/>
      <c r="BF46" s="5"/>
      <c r="BG46" s="5"/>
    </row>
    <row r="47" spans="1:59" ht="53.4" customHeight="1">
      <c r="A47" s="135">
        <f t="shared" si="7"/>
        <v>40</v>
      </c>
      <c r="B47" s="19">
        <v>2196</v>
      </c>
      <c r="C47" s="3" t="s">
        <v>496</v>
      </c>
      <c r="D47" s="120">
        <v>21135000</v>
      </c>
      <c r="E47" s="120">
        <v>21135000</v>
      </c>
      <c r="F47" s="120">
        <f t="shared" si="9"/>
        <v>0</v>
      </c>
      <c r="G47" s="120">
        <v>1000000</v>
      </c>
      <c r="H47" s="120">
        <v>982316</v>
      </c>
      <c r="I47" s="120"/>
      <c r="J47" s="120"/>
      <c r="K47" s="120">
        <f t="shared" si="10"/>
        <v>0</v>
      </c>
      <c r="L47" s="120">
        <f t="shared" ref="L47:L53" si="18">K47+H47</f>
        <v>982316</v>
      </c>
      <c r="M47" s="120">
        <f>P47+S47-510000</f>
        <v>7684</v>
      </c>
      <c r="N47" s="120">
        <v>510000</v>
      </c>
      <c r="O47" s="120">
        <f t="shared" ref="O47:O67" si="19">D47-L47-M47-N47</f>
        <v>19635000</v>
      </c>
      <c r="P47" s="120">
        <f t="shared" si="13"/>
        <v>17684</v>
      </c>
      <c r="Q47" s="357">
        <f>1000000-500000</f>
        <v>500000</v>
      </c>
      <c r="R47" s="120"/>
      <c r="S47" s="120">
        <f t="shared" si="14"/>
        <v>500000</v>
      </c>
      <c r="T47" s="120">
        <f t="shared" si="15"/>
        <v>510000</v>
      </c>
      <c r="U47" s="120">
        <f t="shared" ref="U47:U67" si="20">N47-T47</f>
        <v>0</v>
      </c>
      <c r="V47" s="120">
        <f t="shared" ref="V47:V53" si="21">U47-Z47-X47-AA47-W47-Y47</f>
        <v>0</v>
      </c>
      <c r="W47" s="120"/>
      <c r="X47" s="120"/>
      <c r="Y47" s="120"/>
      <c r="Z47" s="120"/>
      <c r="AA47" s="135"/>
      <c r="AB47" s="3" t="s">
        <v>633</v>
      </c>
      <c r="AC47" s="3">
        <v>742000</v>
      </c>
      <c r="AY47" s="5"/>
      <c r="AZ47" s="5"/>
      <c r="BA47" s="5"/>
      <c r="BB47" s="5"/>
      <c r="BC47" s="5"/>
      <c r="BD47" s="5"/>
      <c r="BE47" s="5"/>
      <c r="BF47" s="5"/>
      <c r="BG47" s="5"/>
    </row>
    <row r="48" spans="1:59" ht="83.4" customHeight="1">
      <c r="A48" s="135">
        <f t="shared" si="7"/>
        <v>41</v>
      </c>
      <c r="B48" s="19">
        <v>2197</v>
      </c>
      <c r="C48" s="3" t="s">
        <v>497</v>
      </c>
      <c r="D48" s="120">
        <v>15160000</v>
      </c>
      <c r="E48" s="120">
        <v>15160000</v>
      </c>
      <c r="F48" s="120">
        <f t="shared" si="9"/>
        <v>0</v>
      </c>
      <c r="G48" s="120">
        <v>700000</v>
      </c>
      <c r="H48" s="120">
        <v>697954</v>
      </c>
      <c r="I48" s="120"/>
      <c r="J48" s="120"/>
      <c r="K48" s="120">
        <f t="shared" si="10"/>
        <v>0</v>
      </c>
      <c r="L48" s="120">
        <f t="shared" si="18"/>
        <v>697954</v>
      </c>
      <c r="M48" s="120">
        <f>P48+S48</f>
        <v>2046</v>
      </c>
      <c r="N48" s="120">
        <f>14460000-14460000</f>
        <v>0</v>
      </c>
      <c r="O48" s="120">
        <f t="shared" si="19"/>
        <v>14460000</v>
      </c>
      <c r="P48" s="120">
        <f t="shared" si="13"/>
        <v>2046</v>
      </c>
      <c r="Q48" s="357"/>
      <c r="R48" s="120"/>
      <c r="S48" s="120">
        <f t="shared" si="14"/>
        <v>0</v>
      </c>
      <c r="T48" s="120">
        <f t="shared" si="15"/>
        <v>0</v>
      </c>
      <c r="U48" s="120">
        <f t="shared" si="20"/>
        <v>0</v>
      </c>
      <c r="V48" s="120">
        <f t="shared" si="21"/>
        <v>0</v>
      </c>
      <c r="W48" s="120"/>
      <c r="X48" s="120"/>
      <c r="Y48" s="120"/>
      <c r="Z48" s="120"/>
      <c r="AA48" s="135"/>
      <c r="AB48" s="3" t="s">
        <v>885</v>
      </c>
      <c r="AC48" s="3">
        <v>742000</v>
      </c>
      <c r="AY48" s="5"/>
      <c r="AZ48" s="5"/>
      <c r="BA48" s="5"/>
      <c r="BB48" s="5"/>
      <c r="BC48" s="5"/>
      <c r="BD48" s="5"/>
      <c r="BE48" s="5"/>
      <c r="BF48" s="5"/>
      <c r="BG48" s="5"/>
    </row>
    <row r="49" spans="1:59" ht="45" customHeight="1">
      <c r="A49" s="135">
        <f t="shared" si="7"/>
        <v>42</v>
      </c>
      <c r="B49" s="19">
        <v>2198</v>
      </c>
      <c r="C49" s="3" t="s">
        <v>498</v>
      </c>
      <c r="D49" s="120">
        <v>16030000</v>
      </c>
      <c r="E49" s="120">
        <v>16030000</v>
      </c>
      <c r="F49" s="120">
        <f t="shared" si="9"/>
        <v>0</v>
      </c>
      <c r="G49" s="120">
        <v>800000</v>
      </c>
      <c r="H49" s="120">
        <v>740050</v>
      </c>
      <c r="I49" s="120"/>
      <c r="J49" s="120"/>
      <c r="K49" s="120">
        <f t="shared" si="10"/>
        <v>0</v>
      </c>
      <c r="L49" s="120">
        <f t="shared" si="18"/>
        <v>740050</v>
      </c>
      <c r="M49" s="120">
        <f>P49+S49-55000</f>
        <v>4950</v>
      </c>
      <c r="N49" s="120">
        <v>55000</v>
      </c>
      <c r="O49" s="120">
        <f t="shared" si="19"/>
        <v>15230000</v>
      </c>
      <c r="P49" s="120">
        <f t="shared" si="13"/>
        <v>59950</v>
      </c>
      <c r="Q49" s="357"/>
      <c r="R49" s="120"/>
      <c r="S49" s="120">
        <f t="shared" si="14"/>
        <v>0</v>
      </c>
      <c r="T49" s="120">
        <f t="shared" si="15"/>
        <v>55000</v>
      </c>
      <c r="U49" s="120">
        <f t="shared" si="20"/>
        <v>0</v>
      </c>
      <c r="V49" s="120">
        <f t="shared" si="21"/>
        <v>0</v>
      </c>
      <c r="W49" s="120"/>
      <c r="X49" s="120"/>
      <c r="Y49" s="120"/>
      <c r="Z49" s="120"/>
      <c r="AA49" s="135"/>
      <c r="AB49" s="3" t="s">
        <v>672</v>
      </c>
      <c r="AC49" s="3">
        <v>742000</v>
      </c>
      <c r="AY49" s="5"/>
      <c r="AZ49" s="5"/>
      <c r="BA49" s="5"/>
      <c r="BB49" s="5"/>
      <c r="BC49" s="5"/>
      <c r="BD49" s="5"/>
      <c r="BE49" s="5"/>
      <c r="BF49" s="5"/>
      <c r="BG49" s="5"/>
    </row>
    <row r="50" spans="1:59" s="5" customFormat="1" ht="37.200000000000003" customHeight="1">
      <c r="A50" s="135">
        <f t="shared" si="7"/>
        <v>43</v>
      </c>
      <c r="B50" s="19">
        <v>20004</v>
      </c>
      <c r="C50" s="3" t="s">
        <v>589</v>
      </c>
      <c r="D50" s="120">
        <v>24750000</v>
      </c>
      <c r="E50" s="120">
        <v>24750000</v>
      </c>
      <c r="F50" s="120">
        <f t="shared" si="9"/>
        <v>0</v>
      </c>
      <c r="G50" s="120">
        <v>250000</v>
      </c>
      <c r="H50" s="120">
        <v>231723</v>
      </c>
      <c r="I50" s="120"/>
      <c r="J50" s="120"/>
      <c r="K50" s="120">
        <f t="shared" si="10"/>
        <v>0</v>
      </c>
      <c r="L50" s="120">
        <f t="shared" si="18"/>
        <v>231723</v>
      </c>
      <c r="M50" s="120">
        <f>P50+S50</f>
        <v>18277</v>
      </c>
      <c r="N50" s="120">
        <f>18000000-9000000-2000000</f>
        <v>7000000</v>
      </c>
      <c r="O50" s="120">
        <f t="shared" si="19"/>
        <v>17500000</v>
      </c>
      <c r="P50" s="120">
        <f t="shared" si="13"/>
        <v>18277</v>
      </c>
      <c r="Q50" s="357"/>
      <c r="R50" s="120"/>
      <c r="S50" s="120">
        <f t="shared" si="14"/>
        <v>0</v>
      </c>
      <c r="T50" s="120">
        <f t="shared" si="15"/>
        <v>0</v>
      </c>
      <c r="U50" s="120">
        <f t="shared" si="20"/>
        <v>7000000</v>
      </c>
      <c r="V50" s="120">
        <f t="shared" si="21"/>
        <v>947200</v>
      </c>
      <c r="W50" s="120"/>
      <c r="X50" s="120"/>
      <c r="Y50" s="120"/>
      <c r="Z50" s="120"/>
      <c r="AA50" s="120">
        <v>6052800</v>
      </c>
      <c r="AB50" s="3" t="s">
        <v>1388</v>
      </c>
      <c r="AC50" s="3">
        <v>742000</v>
      </c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217"/>
      <c r="AW50" s="217"/>
      <c r="AX50" s="217"/>
    </row>
    <row r="51" spans="1:59" ht="57.6" customHeight="1">
      <c r="A51" s="135">
        <f t="shared" si="7"/>
        <v>44</v>
      </c>
      <c r="B51" s="448">
        <v>20084</v>
      </c>
      <c r="C51" s="448" t="s">
        <v>929</v>
      </c>
      <c r="D51" s="419">
        <f>129500000-20500000</f>
        <v>109000000</v>
      </c>
      <c r="E51" s="419">
        <v>500000</v>
      </c>
      <c r="F51" s="419">
        <f t="shared" si="9"/>
        <v>108500000</v>
      </c>
      <c r="G51" s="419">
        <v>500000</v>
      </c>
      <c r="H51" s="419">
        <v>194491</v>
      </c>
      <c r="I51" s="419"/>
      <c r="J51" s="419">
        <v>300314</v>
      </c>
      <c r="K51" s="419">
        <f t="shared" si="10"/>
        <v>300314</v>
      </c>
      <c r="L51" s="419">
        <f t="shared" si="18"/>
        <v>494805</v>
      </c>
      <c r="M51" s="419">
        <f>P51+S51</f>
        <v>5195</v>
      </c>
      <c r="N51" s="419">
        <f>33000000-8000000-10000000</f>
        <v>15000000</v>
      </c>
      <c r="O51" s="419">
        <f t="shared" si="19"/>
        <v>93500000</v>
      </c>
      <c r="P51" s="419">
        <f t="shared" si="13"/>
        <v>5195</v>
      </c>
      <c r="Q51" s="626"/>
      <c r="R51" s="419"/>
      <c r="S51" s="419">
        <f t="shared" si="14"/>
        <v>0</v>
      </c>
      <c r="T51" s="419">
        <f t="shared" si="15"/>
        <v>0</v>
      </c>
      <c r="U51" s="419">
        <f t="shared" si="20"/>
        <v>15000000</v>
      </c>
      <c r="V51" s="419">
        <f t="shared" si="21"/>
        <v>0</v>
      </c>
      <c r="W51" s="419"/>
      <c r="X51" s="419"/>
      <c r="Y51" s="419">
        <v>14736186</v>
      </c>
      <c r="Z51" s="419"/>
      <c r="AA51" s="419">
        <f>3510000+263814-3510000</f>
        <v>263814</v>
      </c>
      <c r="AB51" s="448" t="s">
        <v>1512</v>
      </c>
      <c r="AC51" s="448">
        <v>742000</v>
      </c>
      <c r="AV51" s="750"/>
      <c r="AW51" s="750"/>
      <c r="AX51" s="750"/>
      <c r="AY51" s="452"/>
      <c r="AZ51" s="452"/>
      <c r="BA51" s="452"/>
      <c r="BB51" s="452"/>
      <c r="BC51" s="452"/>
      <c r="BD51" s="452"/>
      <c r="BE51" s="452"/>
      <c r="BF51" s="452"/>
      <c r="BG51" s="452"/>
    </row>
    <row r="52" spans="1:59" ht="39" customHeight="1">
      <c r="A52" s="135">
        <f t="shared" si="7"/>
        <v>45</v>
      </c>
      <c r="B52" s="3">
        <v>20087</v>
      </c>
      <c r="C52" s="3" t="s">
        <v>930</v>
      </c>
      <c r="D52" s="120">
        <f>7500000+1000000</f>
        <v>8500000</v>
      </c>
      <c r="E52" s="120">
        <v>7500000</v>
      </c>
      <c r="F52" s="120">
        <f t="shared" si="9"/>
        <v>1000000</v>
      </c>
      <c r="G52" s="120">
        <v>0</v>
      </c>
      <c r="H52" s="120">
        <v>1624132</v>
      </c>
      <c r="I52" s="120"/>
      <c r="J52" s="120"/>
      <c r="K52" s="120">
        <f t="shared" si="10"/>
        <v>0</v>
      </c>
      <c r="L52" s="120">
        <f t="shared" si="18"/>
        <v>1624132</v>
      </c>
      <c r="M52" s="120">
        <f>P52+S52-6500000+1000000+500000-870000</f>
        <v>5868</v>
      </c>
      <c r="N52" s="120">
        <f>6500000-1000000+1000000-500000+870000</f>
        <v>6870000</v>
      </c>
      <c r="O52" s="120">
        <f t="shared" si="19"/>
        <v>0</v>
      </c>
      <c r="P52" s="120">
        <f t="shared" si="13"/>
        <v>-1624132</v>
      </c>
      <c r="Q52" s="357"/>
      <c r="R52" s="120">
        <v>7500000</v>
      </c>
      <c r="S52" s="120">
        <f t="shared" si="14"/>
        <v>7500000</v>
      </c>
      <c r="T52" s="120">
        <f t="shared" si="15"/>
        <v>5870000</v>
      </c>
      <c r="U52" s="120">
        <f t="shared" si="20"/>
        <v>1000000</v>
      </c>
      <c r="V52" s="120">
        <f t="shared" si="21"/>
        <v>0</v>
      </c>
      <c r="W52" s="120"/>
      <c r="X52" s="120"/>
      <c r="Y52" s="120">
        <v>1000000</v>
      </c>
      <c r="Z52" s="120"/>
      <c r="AA52" s="135"/>
      <c r="AB52" s="3" t="s">
        <v>1511</v>
      </c>
      <c r="AC52" s="3">
        <v>742000</v>
      </c>
      <c r="AY52" s="5"/>
      <c r="AZ52" s="5"/>
      <c r="BA52" s="5"/>
      <c r="BB52" s="5"/>
      <c r="BC52" s="5"/>
      <c r="BD52" s="5"/>
      <c r="BE52" s="5"/>
      <c r="BF52" s="5"/>
      <c r="BG52" s="5"/>
    </row>
    <row r="53" spans="1:59" ht="59.4" customHeight="1">
      <c r="A53" s="135">
        <f t="shared" si="7"/>
        <v>46</v>
      </c>
      <c r="B53" s="3">
        <v>20098</v>
      </c>
      <c r="C53" s="3" t="s">
        <v>933</v>
      </c>
      <c r="D53" s="120">
        <f>250000+250000</f>
        <v>500000</v>
      </c>
      <c r="E53" s="120">
        <v>250000</v>
      </c>
      <c r="F53" s="120">
        <f t="shared" si="9"/>
        <v>250000</v>
      </c>
      <c r="G53" s="120">
        <v>250000</v>
      </c>
      <c r="H53" s="120">
        <v>24336</v>
      </c>
      <c r="I53" s="120"/>
      <c r="J53" s="120"/>
      <c r="K53" s="120">
        <f t="shared" si="10"/>
        <v>0</v>
      </c>
      <c r="L53" s="120">
        <f t="shared" si="18"/>
        <v>24336</v>
      </c>
      <c r="M53" s="120">
        <f>P53+S53-200000-25000</f>
        <v>664</v>
      </c>
      <c r="N53" s="120">
        <f>450000-250000+25000</f>
        <v>225000</v>
      </c>
      <c r="O53" s="120">
        <f t="shared" si="19"/>
        <v>250000</v>
      </c>
      <c r="P53" s="120">
        <f t="shared" si="13"/>
        <v>225664</v>
      </c>
      <c r="Q53" s="357"/>
      <c r="R53" s="120"/>
      <c r="S53" s="120">
        <f t="shared" si="14"/>
        <v>0</v>
      </c>
      <c r="T53" s="120">
        <f t="shared" si="15"/>
        <v>225000</v>
      </c>
      <c r="U53" s="120">
        <f t="shared" si="20"/>
        <v>0</v>
      </c>
      <c r="V53" s="120">
        <f t="shared" si="21"/>
        <v>0</v>
      </c>
      <c r="W53" s="120"/>
      <c r="X53" s="120"/>
      <c r="Y53" s="120"/>
      <c r="Z53" s="120"/>
      <c r="AA53" s="135"/>
      <c r="AB53" s="3" t="s">
        <v>947</v>
      </c>
      <c r="AC53" s="3">
        <v>742000</v>
      </c>
      <c r="AY53" s="5"/>
      <c r="AZ53" s="5"/>
      <c r="BA53" s="5"/>
      <c r="BB53" s="5"/>
      <c r="BC53" s="5"/>
      <c r="BD53" s="5"/>
      <c r="BE53" s="5"/>
      <c r="BF53" s="5"/>
      <c r="BG53" s="5"/>
    </row>
    <row r="54" spans="1:59" ht="39.6" customHeight="1">
      <c r="A54" s="135">
        <f t="shared" si="7"/>
        <v>47</v>
      </c>
      <c r="B54" s="19">
        <v>20111</v>
      </c>
      <c r="C54" s="135" t="s">
        <v>1313</v>
      </c>
      <c r="D54" s="120">
        <v>3400000</v>
      </c>
      <c r="E54" s="120"/>
      <c r="F54" s="120">
        <f t="shared" si="9"/>
        <v>3400000</v>
      </c>
      <c r="G54" s="120"/>
      <c r="H54" s="120"/>
      <c r="I54" s="120"/>
      <c r="J54" s="120"/>
      <c r="K54" s="120"/>
      <c r="L54" s="120"/>
      <c r="M54" s="120"/>
      <c r="N54" s="120">
        <f>2500000-1000000</f>
        <v>1500000</v>
      </c>
      <c r="O54" s="120">
        <f t="shared" si="19"/>
        <v>1900000</v>
      </c>
      <c r="P54" s="120"/>
      <c r="Q54" s="120"/>
      <c r="R54" s="120"/>
      <c r="S54" s="120"/>
      <c r="T54" s="120"/>
      <c r="U54" s="120">
        <f t="shared" si="20"/>
        <v>1500000</v>
      </c>
      <c r="V54" s="120">
        <f>U54-W54-Z54-AA54</f>
        <v>1500000</v>
      </c>
      <c r="W54" s="120"/>
      <c r="X54" s="120"/>
      <c r="Y54" s="120"/>
      <c r="Z54" s="120"/>
      <c r="AA54" s="120"/>
      <c r="AB54" s="3" t="s">
        <v>1342</v>
      </c>
      <c r="AC54" s="3">
        <v>742000</v>
      </c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6" customFormat="1" ht="40.200000000000003" customHeight="1">
      <c r="A55" s="135">
        <f t="shared" si="7"/>
        <v>48</v>
      </c>
      <c r="B55" s="19">
        <v>20113</v>
      </c>
      <c r="C55" s="135" t="s">
        <v>1340</v>
      </c>
      <c r="D55" s="120">
        <v>2030000</v>
      </c>
      <c r="E55" s="120"/>
      <c r="F55" s="120">
        <f t="shared" si="9"/>
        <v>2030000</v>
      </c>
      <c r="G55" s="120"/>
      <c r="H55" s="120"/>
      <c r="I55" s="120"/>
      <c r="J55" s="120"/>
      <c r="K55" s="120"/>
      <c r="L55" s="120"/>
      <c r="M55" s="120"/>
      <c r="N55" s="120">
        <f>2030000-1030000</f>
        <v>1000000</v>
      </c>
      <c r="O55" s="120">
        <f t="shared" si="19"/>
        <v>1030000</v>
      </c>
      <c r="P55" s="120"/>
      <c r="Q55" s="120"/>
      <c r="R55" s="120"/>
      <c r="S55" s="120"/>
      <c r="T55" s="120"/>
      <c r="U55" s="120">
        <f t="shared" si="20"/>
        <v>1000000</v>
      </c>
      <c r="V55" s="120">
        <f>U55-W55-Z55-AA55</f>
        <v>1000000</v>
      </c>
      <c r="W55" s="120"/>
      <c r="X55" s="120"/>
      <c r="Y55" s="120"/>
      <c r="Z55" s="120"/>
      <c r="AA55" s="120"/>
      <c r="AB55" s="3" t="s">
        <v>1341</v>
      </c>
      <c r="AC55" s="3">
        <v>742000</v>
      </c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5" customFormat="1" ht="43.2" customHeight="1">
      <c r="A56" s="135">
        <f t="shared" si="7"/>
        <v>49</v>
      </c>
      <c r="B56" s="135">
        <v>1547</v>
      </c>
      <c r="C56" s="135" t="s">
        <v>383</v>
      </c>
      <c r="D56" s="120">
        <v>144000000</v>
      </c>
      <c r="E56" s="120">
        <v>144000000</v>
      </c>
      <c r="F56" s="120">
        <f t="shared" si="9"/>
        <v>0</v>
      </c>
      <c r="G56" s="120">
        <v>114000000</v>
      </c>
      <c r="H56" s="120">
        <v>113874221</v>
      </c>
      <c r="I56" s="120"/>
      <c r="J56" s="120"/>
      <c r="K56" s="120">
        <f t="shared" ref="K56:K64" si="22">SUM(I56:J56)</f>
        <v>0</v>
      </c>
      <c r="L56" s="120">
        <f t="shared" ref="L56:L64" si="23">K56+H56</f>
        <v>113874221</v>
      </c>
      <c r="M56" s="120">
        <f>P56+S56-125000</f>
        <v>779</v>
      </c>
      <c r="N56" s="120">
        <f>15000000-7000000-2000000+125000-125000</f>
        <v>6000000</v>
      </c>
      <c r="O56" s="120">
        <f t="shared" si="19"/>
        <v>24125000</v>
      </c>
      <c r="P56" s="120">
        <f t="shared" ref="P56:P64" si="24">G56-L56</f>
        <v>125779</v>
      </c>
      <c r="Q56" s="357"/>
      <c r="R56" s="120"/>
      <c r="S56" s="120">
        <f t="shared" ref="S56:S64" si="25">SUM(Q56:R56)</f>
        <v>0</v>
      </c>
      <c r="T56" s="120">
        <f t="shared" ref="T56:T64" si="26">P56-M56+S56</f>
        <v>125000</v>
      </c>
      <c r="U56" s="120">
        <f t="shared" si="20"/>
        <v>5875000</v>
      </c>
      <c r="V56" s="120">
        <f t="shared" ref="V56:V64" si="27">U56-Z56-X56-AA56-W56-Y56</f>
        <v>375000</v>
      </c>
      <c r="W56" s="120"/>
      <c r="X56" s="120"/>
      <c r="Y56" s="120"/>
      <c r="Z56" s="120"/>
      <c r="AA56" s="120">
        <v>5500000</v>
      </c>
      <c r="AB56" s="135" t="s">
        <v>1391</v>
      </c>
      <c r="AC56" s="135">
        <v>742000</v>
      </c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217"/>
      <c r="AW56" s="217"/>
      <c r="AX56" s="217"/>
      <c r="AY56" s="134"/>
      <c r="AZ56" s="134"/>
      <c r="BA56" s="134"/>
      <c r="BB56" s="134"/>
      <c r="BC56" s="134"/>
      <c r="BD56" s="134"/>
      <c r="BE56" s="134"/>
      <c r="BF56" s="134"/>
      <c r="BG56" s="134"/>
    </row>
    <row r="57" spans="1:59" s="5" customFormat="1" ht="42" customHeight="1">
      <c r="A57" s="135">
        <f t="shared" si="7"/>
        <v>50</v>
      </c>
      <c r="B57" s="220">
        <v>1919</v>
      </c>
      <c r="C57" s="135" t="s">
        <v>104</v>
      </c>
      <c r="D57" s="120">
        <v>135100000</v>
      </c>
      <c r="E57" s="120">
        <v>135100000</v>
      </c>
      <c r="F57" s="120"/>
      <c r="G57" s="120">
        <v>72024834</v>
      </c>
      <c r="H57" s="120">
        <v>72015642</v>
      </c>
      <c r="I57" s="120"/>
      <c r="J57" s="120"/>
      <c r="K57" s="120">
        <f t="shared" si="22"/>
        <v>0</v>
      </c>
      <c r="L57" s="120">
        <f t="shared" si="23"/>
        <v>72015642</v>
      </c>
      <c r="M57" s="120">
        <f>P57+S57</f>
        <v>9192</v>
      </c>
      <c r="N57" s="120">
        <f>13500000-5500000</f>
        <v>8000000</v>
      </c>
      <c r="O57" s="120">
        <f t="shared" si="19"/>
        <v>55075166</v>
      </c>
      <c r="P57" s="120">
        <f t="shared" si="24"/>
        <v>9192</v>
      </c>
      <c r="Q57" s="357"/>
      <c r="R57" s="120"/>
      <c r="S57" s="120">
        <f t="shared" si="25"/>
        <v>0</v>
      </c>
      <c r="T57" s="120">
        <f t="shared" si="26"/>
        <v>0</v>
      </c>
      <c r="U57" s="120">
        <f t="shared" si="20"/>
        <v>8000000</v>
      </c>
      <c r="V57" s="120">
        <f t="shared" si="27"/>
        <v>8000000</v>
      </c>
      <c r="W57" s="120"/>
      <c r="X57" s="120"/>
      <c r="Y57" s="120"/>
      <c r="Z57" s="120"/>
      <c r="AA57" s="135"/>
      <c r="AB57" s="135" t="s">
        <v>1459</v>
      </c>
      <c r="AC57" s="135">
        <v>742000</v>
      </c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217"/>
      <c r="AW57" s="217"/>
      <c r="AX57" s="217"/>
      <c r="AY57" s="131"/>
      <c r="AZ57" s="131"/>
      <c r="BA57" s="131"/>
      <c r="BB57" s="131"/>
      <c r="BC57" s="131"/>
      <c r="BD57" s="131"/>
      <c r="BE57" s="131"/>
      <c r="BF57" s="131"/>
      <c r="BG57" s="131"/>
    </row>
    <row r="58" spans="1:59" s="5" customFormat="1" ht="45" customHeight="1">
      <c r="A58" s="135">
        <f t="shared" si="7"/>
        <v>51</v>
      </c>
      <c r="B58" s="220">
        <v>1962</v>
      </c>
      <c r="C58" s="135" t="s">
        <v>122</v>
      </c>
      <c r="D58" s="120">
        <v>20000000</v>
      </c>
      <c r="E58" s="120">
        <v>20000000</v>
      </c>
      <c r="F58" s="120">
        <f t="shared" ref="F58:F67" si="28">D58-E58</f>
        <v>0</v>
      </c>
      <c r="G58" s="120">
        <v>100000</v>
      </c>
      <c r="H58" s="120"/>
      <c r="I58" s="120"/>
      <c r="J58" s="120"/>
      <c r="K58" s="120">
        <f t="shared" si="22"/>
        <v>0</v>
      </c>
      <c r="L58" s="120">
        <f t="shared" si="23"/>
        <v>0</v>
      </c>
      <c r="M58" s="120">
        <f>P58+S58-100000</f>
        <v>0</v>
      </c>
      <c r="N58" s="120">
        <v>100000</v>
      </c>
      <c r="O58" s="120">
        <f t="shared" si="19"/>
        <v>19900000</v>
      </c>
      <c r="P58" s="120">
        <f t="shared" si="24"/>
        <v>100000</v>
      </c>
      <c r="Q58" s="357"/>
      <c r="R58" s="120"/>
      <c r="S58" s="120">
        <f t="shared" si="25"/>
        <v>0</v>
      </c>
      <c r="T58" s="120">
        <f t="shared" si="26"/>
        <v>100000</v>
      </c>
      <c r="U58" s="120">
        <f t="shared" si="20"/>
        <v>0</v>
      </c>
      <c r="V58" s="120">
        <f t="shared" si="27"/>
        <v>0</v>
      </c>
      <c r="W58" s="120"/>
      <c r="X58" s="120"/>
      <c r="Y58" s="120"/>
      <c r="Z58" s="120"/>
      <c r="AA58" s="135"/>
      <c r="AB58" s="221" t="s">
        <v>475</v>
      </c>
      <c r="AC58" s="135">
        <v>742000</v>
      </c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217"/>
      <c r="AW58" s="217"/>
      <c r="AX58" s="217"/>
      <c r="AY58" s="131"/>
      <c r="AZ58" s="131"/>
      <c r="BA58" s="131"/>
      <c r="BB58" s="131"/>
      <c r="BC58" s="131"/>
      <c r="BD58" s="131"/>
      <c r="BE58" s="131"/>
      <c r="BF58" s="131"/>
      <c r="BG58" s="131"/>
    </row>
    <row r="59" spans="1:59" s="6" customFormat="1" ht="73.95" customHeight="1">
      <c r="A59" s="135">
        <f t="shared" si="7"/>
        <v>52</v>
      </c>
      <c r="B59" s="19">
        <v>2232</v>
      </c>
      <c r="C59" s="3" t="s">
        <v>578</v>
      </c>
      <c r="D59" s="120">
        <v>17200000</v>
      </c>
      <c r="E59" s="120">
        <v>17200000</v>
      </c>
      <c r="F59" s="120">
        <f t="shared" si="28"/>
        <v>0</v>
      </c>
      <c r="G59" s="120">
        <v>800000</v>
      </c>
      <c r="H59" s="120">
        <v>778625</v>
      </c>
      <c r="I59" s="120"/>
      <c r="J59" s="120"/>
      <c r="K59" s="120">
        <f t="shared" si="22"/>
        <v>0</v>
      </c>
      <c r="L59" s="120">
        <f t="shared" si="23"/>
        <v>778625</v>
      </c>
      <c r="M59" s="120">
        <f>P59+S59-20000</f>
        <v>1375</v>
      </c>
      <c r="N59" s="120">
        <f>16400000-8400000+20000-3000000-1000000</f>
        <v>4020000</v>
      </c>
      <c r="O59" s="120">
        <f t="shared" si="19"/>
        <v>12400000</v>
      </c>
      <c r="P59" s="120">
        <f t="shared" si="24"/>
        <v>21375</v>
      </c>
      <c r="Q59" s="357"/>
      <c r="R59" s="120"/>
      <c r="S59" s="120">
        <f t="shared" si="25"/>
        <v>0</v>
      </c>
      <c r="T59" s="120">
        <f t="shared" si="26"/>
        <v>20000</v>
      </c>
      <c r="U59" s="120">
        <f t="shared" si="20"/>
        <v>4000000</v>
      </c>
      <c r="V59" s="120">
        <f t="shared" si="27"/>
        <v>4000000</v>
      </c>
      <c r="W59" s="120"/>
      <c r="X59" s="120"/>
      <c r="Y59" s="120"/>
      <c r="Z59" s="120"/>
      <c r="AA59" s="135"/>
      <c r="AB59" s="3" t="s">
        <v>833</v>
      </c>
      <c r="AC59" s="3">
        <v>745000</v>
      </c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217"/>
      <c r="AW59" s="217"/>
      <c r="AX59" s="217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6" customFormat="1" ht="42.6" customHeight="1">
      <c r="A60" s="135">
        <f t="shared" si="7"/>
        <v>53</v>
      </c>
      <c r="B60" s="19">
        <v>2233</v>
      </c>
      <c r="C60" s="3" t="s">
        <v>579</v>
      </c>
      <c r="D60" s="120">
        <v>20250000</v>
      </c>
      <c r="E60" s="120">
        <v>20250000</v>
      </c>
      <c r="F60" s="120">
        <f t="shared" si="28"/>
        <v>0</v>
      </c>
      <c r="G60" s="120">
        <v>800000</v>
      </c>
      <c r="H60" s="120">
        <v>789541</v>
      </c>
      <c r="I60" s="120"/>
      <c r="J60" s="120"/>
      <c r="K60" s="120">
        <f t="shared" si="22"/>
        <v>0</v>
      </c>
      <c r="L60" s="120">
        <f t="shared" si="23"/>
        <v>789541</v>
      </c>
      <c r="M60" s="120">
        <f>P60+S60</f>
        <v>10459</v>
      </c>
      <c r="N60" s="120">
        <f>19450000-19450000</f>
        <v>0</v>
      </c>
      <c r="O60" s="120">
        <f t="shared" si="19"/>
        <v>19450000</v>
      </c>
      <c r="P60" s="120">
        <f t="shared" si="24"/>
        <v>10459</v>
      </c>
      <c r="Q60" s="357"/>
      <c r="R60" s="120"/>
      <c r="S60" s="120">
        <f t="shared" si="25"/>
        <v>0</v>
      </c>
      <c r="T60" s="120">
        <f t="shared" si="26"/>
        <v>0</v>
      </c>
      <c r="U60" s="120">
        <f t="shared" si="20"/>
        <v>0</v>
      </c>
      <c r="V60" s="120">
        <f t="shared" si="27"/>
        <v>0</v>
      </c>
      <c r="W60" s="120"/>
      <c r="X60" s="120"/>
      <c r="Y60" s="120"/>
      <c r="Z60" s="120"/>
      <c r="AA60" s="135"/>
      <c r="AB60" s="3" t="s">
        <v>834</v>
      </c>
      <c r="AC60" s="3">
        <v>745000</v>
      </c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217"/>
      <c r="AW60" s="217"/>
      <c r="AX60" s="217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5" customFormat="1" ht="48.6" customHeight="1">
      <c r="A61" s="135">
        <f t="shared" si="7"/>
        <v>54</v>
      </c>
      <c r="B61" s="3">
        <v>1773</v>
      </c>
      <c r="C61" s="3" t="s">
        <v>91</v>
      </c>
      <c r="D61" s="120">
        <f>1500000+550000</f>
        <v>2050000</v>
      </c>
      <c r="E61" s="120">
        <f>1500000+550000</f>
        <v>2050000</v>
      </c>
      <c r="F61" s="120">
        <f t="shared" si="28"/>
        <v>0</v>
      </c>
      <c r="G61" s="120">
        <f>1500000+550000</f>
        <v>2050000</v>
      </c>
      <c r="H61" s="120">
        <v>1980321</v>
      </c>
      <c r="I61" s="120"/>
      <c r="J61" s="120"/>
      <c r="K61" s="120">
        <f t="shared" si="22"/>
        <v>0</v>
      </c>
      <c r="L61" s="120">
        <f t="shared" si="23"/>
        <v>1980321</v>
      </c>
      <c r="M61" s="120">
        <f>P61+S61-69000</f>
        <v>679</v>
      </c>
      <c r="N61" s="120">
        <v>69000</v>
      </c>
      <c r="O61" s="120">
        <f t="shared" si="19"/>
        <v>0</v>
      </c>
      <c r="P61" s="120">
        <f t="shared" si="24"/>
        <v>69679</v>
      </c>
      <c r="Q61" s="357"/>
      <c r="R61" s="120"/>
      <c r="S61" s="120">
        <f t="shared" si="25"/>
        <v>0</v>
      </c>
      <c r="T61" s="120">
        <f t="shared" si="26"/>
        <v>69000</v>
      </c>
      <c r="U61" s="120">
        <f t="shared" si="20"/>
        <v>0</v>
      </c>
      <c r="V61" s="120">
        <f t="shared" si="27"/>
        <v>0</v>
      </c>
      <c r="W61" s="120"/>
      <c r="X61" s="120"/>
      <c r="Y61" s="120"/>
      <c r="Z61" s="120"/>
      <c r="AA61" s="135"/>
      <c r="AB61" s="3" t="s">
        <v>269</v>
      </c>
      <c r="AC61" s="3">
        <v>746000</v>
      </c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217"/>
      <c r="AW61" s="217"/>
      <c r="AX61" s="217"/>
    </row>
    <row r="62" spans="1:59" s="5" customFormat="1" ht="42" customHeight="1">
      <c r="A62" s="135">
        <f t="shared" si="7"/>
        <v>55</v>
      </c>
      <c r="B62" s="19">
        <v>2118</v>
      </c>
      <c r="C62" s="3" t="s">
        <v>253</v>
      </c>
      <c r="D62" s="120">
        <v>2600000</v>
      </c>
      <c r="E62" s="120">
        <v>2600000</v>
      </c>
      <c r="F62" s="120">
        <f t="shared" si="28"/>
        <v>0</v>
      </c>
      <c r="G62" s="120">
        <v>2600000</v>
      </c>
      <c r="H62" s="120">
        <v>2049405</v>
      </c>
      <c r="I62" s="120"/>
      <c r="J62" s="120"/>
      <c r="K62" s="120">
        <f t="shared" si="22"/>
        <v>0</v>
      </c>
      <c r="L62" s="120">
        <f t="shared" si="23"/>
        <v>2049405</v>
      </c>
      <c r="M62" s="120">
        <f>P62+S62-550000</f>
        <v>595</v>
      </c>
      <c r="N62" s="120">
        <v>550000</v>
      </c>
      <c r="O62" s="120">
        <f t="shared" si="19"/>
        <v>0</v>
      </c>
      <c r="P62" s="120">
        <f t="shared" si="24"/>
        <v>550595</v>
      </c>
      <c r="Q62" s="357"/>
      <c r="R62" s="120"/>
      <c r="S62" s="120">
        <f t="shared" si="25"/>
        <v>0</v>
      </c>
      <c r="T62" s="120">
        <f t="shared" si="26"/>
        <v>550000</v>
      </c>
      <c r="U62" s="120">
        <f t="shared" si="20"/>
        <v>0</v>
      </c>
      <c r="V62" s="120">
        <f t="shared" si="27"/>
        <v>0</v>
      </c>
      <c r="W62" s="120"/>
      <c r="X62" s="120"/>
      <c r="Y62" s="120"/>
      <c r="Z62" s="120"/>
      <c r="AA62" s="135"/>
      <c r="AB62" s="214" t="s">
        <v>1351</v>
      </c>
      <c r="AC62" s="3">
        <v>746000</v>
      </c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217"/>
      <c r="AW62" s="217"/>
      <c r="AX62" s="217"/>
      <c r="AY62" s="6"/>
      <c r="AZ62" s="6"/>
      <c r="BA62" s="6"/>
      <c r="BB62" s="6"/>
      <c r="BC62" s="6"/>
      <c r="BD62" s="6"/>
      <c r="BE62" s="6"/>
      <c r="BF62" s="6"/>
      <c r="BG62" s="6"/>
    </row>
    <row r="63" spans="1:59" s="6" customFormat="1" ht="47.4" customHeight="1">
      <c r="A63" s="135">
        <f t="shared" si="7"/>
        <v>56</v>
      </c>
      <c r="B63" s="19">
        <v>2150</v>
      </c>
      <c r="C63" s="19" t="s">
        <v>576</v>
      </c>
      <c r="D63" s="120">
        <v>23500000</v>
      </c>
      <c r="E63" s="120">
        <v>23500000</v>
      </c>
      <c r="F63" s="120">
        <f t="shared" si="28"/>
        <v>0</v>
      </c>
      <c r="G63" s="120">
        <v>14500000</v>
      </c>
      <c r="H63" s="120">
        <v>11935396</v>
      </c>
      <c r="I63" s="120"/>
      <c r="J63" s="120"/>
      <c r="K63" s="120">
        <f t="shared" si="22"/>
        <v>0</v>
      </c>
      <c r="L63" s="120">
        <f t="shared" si="23"/>
        <v>11935396</v>
      </c>
      <c r="M63" s="120">
        <f>P63+S63-2550000</f>
        <v>14604</v>
      </c>
      <c r="N63" s="120">
        <f>2550000-550000</f>
        <v>2000000</v>
      </c>
      <c r="O63" s="120">
        <f t="shared" si="19"/>
        <v>9550000</v>
      </c>
      <c r="P63" s="120">
        <f t="shared" si="24"/>
        <v>2564604</v>
      </c>
      <c r="Q63" s="357"/>
      <c r="R63" s="120"/>
      <c r="S63" s="120">
        <f t="shared" si="25"/>
        <v>0</v>
      </c>
      <c r="T63" s="120">
        <f t="shared" si="26"/>
        <v>2550000</v>
      </c>
      <c r="U63" s="120">
        <f t="shared" si="20"/>
        <v>-550000</v>
      </c>
      <c r="V63" s="120">
        <f t="shared" si="27"/>
        <v>-550000</v>
      </c>
      <c r="W63" s="120"/>
      <c r="X63" s="120"/>
      <c r="Y63" s="120"/>
      <c r="Z63" s="120"/>
      <c r="AA63" s="135"/>
      <c r="AB63" s="19" t="s">
        <v>803</v>
      </c>
      <c r="AC63" s="3">
        <v>746000</v>
      </c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217"/>
      <c r="AW63" s="217"/>
      <c r="AX63" s="217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6" customFormat="1" ht="65.400000000000006" customHeight="1">
      <c r="A64" s="135">
        <f t="shared" si="7"/>
        <v>57</v>
      </c>
      <c r="B64" s="19">
        <v>2220</v>
      </c>
      <c r="C64" s="3" t="s">
        <v>459</v>
      </c>
      <c r="D64" s="120">
        <f>2200000+500000</f>
        <v>2700000</v>
      </c>
      <c r="E64" s="120">
        <v>2200000</v>
      </c>
      <c r="F64" s="120">
        <f t="shared" si="28"/>
        <v>500000</v>
      </c>
      <c r="G64" s="120">
        <v>1000000</v>
      </c>
      <c r="H64" s="120">
        <v>948844</v>
      </c>
      <c r="I64" s="120"/>
      <c r="J64" s="120"/>
      <c r="K64" s="120">
        <f t="shared" si="22"/>
        <v>0</v>
      </c>
      <c r="L64" s="120">
        <f t="shared" si="23"/>
        <v>948844</v>
      </c>
      <c r="M64" s="120">
        <f>P64+S64-1200000-50000</f>
        <v>1156</v>
      </c>
      <c r="N64" s="120">
        <f>1200000+500000+50000</f>
        <v>1750000</v>
      </c>
      <c r="O64" s="120">
        <f t="shared" si="19"/>
        <v>0</v>
      </c>
      <c r="P64" s="120">
        <f t="shared" si="24"/>
        <v>51156</v>
      </c>
      <c r="Q64" s="357">
        <v>1200000</v>
      </c>
      <c r="R64" s="120"/>
      <c r="S64" s="120">
        <f t="shared" si="25"/>
        <v>1200000</v>
      </c>
      <c r="T64" s="120">
        <f t="shared" si="26"/>
        <v>1250000</v>
      </c>
      <c r="U64" s="120">
        <f t="shared" si="20"/>
        <v>500000</v>
      </c>
      <c r="V64" s="120">
        <f t="shared" si="27"/>
        <v>500000</v>
      </c>
      <c r="W64" s="120"/>
      <c r="X64" s="120"/>
      <c r="Y64" s="120"/>
      <c r="Z64" s="120"/>
      <c r="AA64" s="135"/>
      <c r="AB64" s="3" t="s">
        <v>658</v>
      </c>
      <c r="AC64" s="3">
        <v>746000</v>
      </c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217"/>
      <c r="AW64" s="217"/>
      <c r="AX64" s="217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5" customFormat="1" ht="72" customHeight="1">
      <c r="A65" s="135">
        <f t="shared" si="7"/>
        <v>58</v>
      </c>
      <c r="B65" s="19">
        <v>20112</v>
      </c>
      <c r="C65" s="135" t="s">
        <v>1314</v>
      </c>
      <c r="D65" s="120">
        <f>5500000-800000</f>
        <v>4700000</v>
      </c>
      <c r="E65" s="120"/>
      <c r="F65" s="120">
        <f t="shared" si="28"/>
        <v>4700000</v>
      </c>
      <c r="G65" s="120"/>
      <c r="H65" s="120"/>
      <c r="I65" s="120"/>
      <c r="J65" s="120"/>
      <c r="K65" s="120"/>
      <c r="L65" s="120"/>
      <c r="M65" s="120"/>
      <c r="N65" s="120">
        <f>2750000-1750000</f>
        <v>1000000</v>
      </c>
      <c r="O65" s="120">
        <f t="shared" si="19"/>
        <v>3700000</v>
      </c>
      <c r="P65" s="120"/>
      <c r="Q65" s="120"/>
      <c r="R65" s="120"/>
      <c r="S65" s="120"/>
      <c r="T65" s="120"/>
      <c r="U65" s="120">
        <f t="shared" si="20"/>
        <v>1000000</v>
      </c>
      <c r="V65" s="120">
        <f>U65-W65-Z65-AA65</f>
        <v>1000000</v>
      </c>
      <c r="W65" s="120"/>
      <c r="X65" s="120"/>
      <c r="Y65" s="120"/>
      <c r="Z65" s="120"/>
      <c r="AA65" s="120"/>
      <c r="AB65" s="3" t="s">
        <v>1352</v>
      </c>
      <c r="AC65" s="3">
        <v>746000</v>
      </c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</row>
    <row r="66" spans="1:59" s="5" customFormat="1" ht="45" customHeight="1">
      <c r="A66" s="135">
        <f t="shared" si="7"/>
        <v>59</v>
      </c>
      <c r="B66" s="220">
        <v>1827</v>
      </c>
      <c r="C66" s="135" t="s">
        <v>384</v>
      </c>
      <c r="D66" s="120">
        <v>100000000</v>
      </c>
      <c r="E66" s="120">
        <v>100000000</v>
      </c>
      <c r="F66" s="120">
        <f t="shared" si="28"/>
        <v>0</v>
      </c>
      <c r="G66" s="120">
        <v>89000000</v>
      </c>
      <c r="H66" s="120">
        <v>92668742</v>
      </c>
      <c r="I66" s="120"/>
      <c r="J66" s="120"/>
      <c r="K66" s="120">
        <f>SUM(I66:J66)</f>
        <v>0</v>
      </c>
      <c r="L66" s="120">
        <f>K66+H66</f>
        <v>92668742</v>
      </c>
      <c r="M66" s="120">
        <f>P66+S66-7300000</f>
        <v>31258</v>
      </c>
      <c r="N66" s="120">
        <v>7300000</v>
      </c>
      <c r="O66" s="120">
        <f t="shared" si="19"/>
        <v>0</v>
      </c>
      <c r="P66" s="120">
        <f>G66-L66</f>
        <v>-3668742</v>
      </c>
      <c r="Q66" s="357">
        <v>11000000</v>
      </c>
      <c r="R66" s="120"/>
      <c r="S66" s="120">
        <f>SUM(Q66:R66)</f>
        <v>11000000</v>
      </c>
      <c r="T66" s="120">
        <f>P66-M66+S66</f>
        <v>7300000</v>
      </c>
      <c r="U66" s="120">
        <f t="shared" si="20"/>
        <v>0</v>
      </c>
      <c r="V66" s="120">
        <f>U66-Z66-X66-AA66-W66-Y66</f>
        <v>0</v>
      </c>
      <c r="W66" s="120"/>
      <c r="X66" s="120"/>
      <c r="Y66" s="120"/>
      <c r="Z66" s="120"/>
      <c r="AA66" s="135"/>
      <c r="AB66" s="135" t="s">
        <v>1330</v>
      </c>
      <c r="AC66" s="135">
        <v>746000</v>
      </c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217"/>
      <c r="AW66" s="217"/>
      <c r="AX66" s="217"/>
      <c r="AY66" s="131"/>
      <c r="AZ66" s="131"/>
      <c r="BA66" s="131"/>
      <c r="BB66" s="131"/>
      <c r="BC66" s="131"/>
      <c r="BD66" s="131"/>
      <c r="BE66" s="131"/>
      <c r="BF66" s="131"/>
      <c r="BG66" s="131"/>
    </row>
    <row r="67" spans="1:59" s="5" customFormat="1" ht="45" customHeight="1">
      <c r="A67" s="135">
        <f t="shared" si="7"/>
        <v>60</v>
      </c>
      <c r="B67" s="135">
        <v>1905</v>
      </c>
      <c r="C67" s="135" t="s">
        <v>101</v>
      </c>
      <c r="D67" s="120">
        <v>3366000</v>
      </c>
      <c r="E67" s="120">
        <v>3366000</v>
      </c>
      <c r="F67" s="120">
        <f t="shared" si="28"/>
        <v>0</v>
      </c>
      <c r="G67" s="120">
        <v>3366000</v>
      </c>
      <c r="H67" s="120"/>
      <c r="I67" s="120"/>
      <c r="J67" s="120"/>
      <c r="K67" s="120">
        <f>SUM(I67:J67)</f>
        <v>0</v>
      </c>
      <c r="L67" s="120">
        <f>K67+H67</f>
        <v>0</v>
      </c>
      <c r="M67" s="120">
        <f>P67+S67-3366000</f>
        <v>0</v>
      </c>
      <c r="N67" s="120">
        <v>3366000</v>
      </c>
      <c r="O67" s="120">
        <f t="shared" si="19"/>
        <v>0</v>
      </c>
      <c r="P67" s="120">
        <f>G67-L67</f>
        <v>3366000</v>
      </c>
      <c r="Q67" s="357"/>
      <c r="R67" s="120"/>
      <c r="S67" s="120">
        <f>SUM(Q67:R67)</f>
        <v>0</v>
      </c>
      <c r="T67" s="120">
        <f>P67-M67+S67</f>
        <v>3366000</v>
      </c>
      <c r="U67" s="120">
        <f t="shared" si="20"/>
        <v>0</v>
      </c>
      <c r="V67" s="120">
        <f>U67-Z67-X67-AA67-W67-Y67</f>
        <v>0</v>
      </c>
      <c r="W67" s="120"/>
      <c r="X67" s="120"/>
      <c r="Y67" s="120"/>
      <c r="Z67" s="120"/>
      <c r="AA67" s="135"/>
      <c r="AB67" s="135" t="s">
        <v>332</v>
      </c>
      <c r="AC67" s="135">
        <v>746000</v>
      </c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217"/>
      <c r="AW67" s="217"/>
      <c r="AX67" s="217"/>
      <c r="AY67" s="134"/>
      <c r="AZ67" s="134"/>
      <c r="BA67" s="134"/>
      <c r="BB67" s="134"/>
      <c r="BC67" s="134"/>
      <c r="BD67" s="134"/>
      <c r="BE67" s="134"/>
      <c r="BF67" s="134"/>
      <c r="BG67" s="134"/>
    </row>
    <row r="68" spans="1:59" s="48" customFormat="1" ht="45" customHeight="1">
      <c r="A68" s="219"/>
      <c r="B68" s="219"/>
      <c r="C68" s="219" t="s">
        <v>1558</v>
      </c>
      <c r="D68" s="249">
        <f>SUM(D15:D67)</f>
        <v>1565897330</v>
      </c>
      <c r="E68" s="249">
        <f t="shared" ref="E68:AA68" si="29">SUM(E15:E67)</f>
        <v>1406767330</v>
      </c>
      <c r="F68" s="249">
        <f t="shared" si="29"/>
        <v>159130000</v>
      </c>
      <c r="G68" s="249">
        <f t="shared" si="29"/>
        <v>759234626</v>
      </c>
      <c r="H68" s="249">
        <f t="shared" si="29"/>
        <v>747229454</v>
      </c>
      <c r="I68" s="249">
        <f t="shared" si="29"/>
        <v>0</v>
      </c>
      <c r="J68" s="249">
        <f t="shared" si="29"/>
        <v>321624</v>
      </c>
      <c r="K68" s="249">
        <f t="shared" si="29"/>
        <v>321624</v>
      </c>
      <c r="L68" s="249">
        <f t="shared" si="29"/>
        <v>747551078</v>
      </c>
      <c r="M68" s="249">
        <f t="shared" si="29"/>
        <v>310630</v>
      </c>
      <c r="N68" s="249">
        <f t="shared" si="29"/>
        <v>151332327</v>
      </c>
      <c r="O68" s="249">
        <f t="shared" si="29"/>
        <v>666703295</v>
      </c>
      <c r="P68" s="249">
        <f t="shared" si="29"/>
        <v>11683548</v>
      </c>
      <c r="Q68" s="249">
        <f t="shared" si="29"/>
        <v>44900000</v>
      </c>
      <c r="R68" s="249">
        <f t="shared" si="29"/>
        <v>7500000</v>
      </c>
      <c r="S68" s="249">
        <f t="shared" si="29"/>
        <v>52400000</v>
      </c>
      <c r="T68" s="249">
        <f t="shared" si="29"/>
        <v>63772918</v>
      </c>
      <c r="U68" s="249">
        <f t="shared" si="29"/>
        <v>87559409</v>
      </c>
      <c r="V68" s="249">
        <f t="shared" si="29"/>
        <v>44743065</v>
      </c>
      <c r="W68" s="249">
        <f t="shared" si="29"/>
        <v>-200000</v>
      </c>
      <c r="X68" s="249">
        <f t="shared" si="29"/>
        <v>0</v>
      </c>
      <c r="Y68" s="249">
        <f t="shared" si="29"/>
        <v>15736186</v>
      </c>
      <c r="Z68" s="249">
        <f t="shared" si="29"/>
        <v>0</v>
      </c>
      <c r="AA68" s="249">
        <f t="shared" si="29"/>
        <v>27280158</v>
      </c>
      <c r="AB68" s="219"/>
      <c r="AC68" s="219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815"/>
      <c r="AW68" s="815"/>
      <c r="AX68" s="815"/>
      <c r="AY68" s="238"/>
      <c r="AZ68" s="238"/>
      <c r="BA68" s="238"/>
      <c r="BB68" s="238"/>
      <c r="BC68" s="238"/>
      <c r="BD68" s="238"/>
      <c r="BE68" s="238"/>
      <c r="BF68" s="238"/>
      <c r="BG68" s="238"/>
    </row>
    <row r="69" spans="1:59" s="48" customFormat="1" ht="45" customHeight="1">
      <c r="A69" s="219"/>
      <c r="B69" s="219"/>
      <c r="C69" s="219">
        <v>747</v>
      </c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814"/>
      <c r="R69" s="249"/>
      <c r="S69" s="249"/>
      <c r="T69" s="249"/>
      <c r="U69" s="249"/>
      <c r="V69" s="249"/>
      <c r="W69" s="249"/>
      <c r="X69" s="249"/>
      <c r="Y69" s="249"/>
      <c r="Z69" s="249"/>
      <c r="AA69" s="219"/>
      <c r="AB69" s="219"/>
      <c r="AC69" s="219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815"/>
      <c r="AW69" s="815"/>
      <c r="AX69" s="815"/>
      <c r="AY69" s="238"/>
      <c r="AZ69" s="238"/>
      <c r="BA69" s="238"/>
      <c r="BB69" s="238"/>
      <c r="BC69" s="238"/>
      <c r="BD69" s="238"/>
      <c r="BE69" s="238"/>
      <c r="BF69" s="238"/>
      <c r="BG69" s="238"/>
    </row>
    <row r="70" spans="1:59" s="5" customFormat="1" ht="57.6" customHeight="1">
      <c r="A70" s="135">
        <f>A67+1</f>
        <v>61</v>
      </c>
      <c r="B70" s="135">
        <v>1375</v>
      </c>
      <c r="C70" s="135" t="s">
        <v>329</v>
      </c>
      <c r="D70" s="120">
        <f>40150000+2000000</f>
        <v>42150000</v>
      </c>
      <c r="E70" s="120">
        <v>40150000</v>
      </c>
      <c r="F70" s="120">
        <f>D70-E70</f>
        <v>2000000</v>
      </c>
      <c r="G70" s="120">
        <v>30150000</v>
      </c>
      <c r="H70" s="120">
        <v>30140054</v>
      </c>
      <c r="I70" s="120"/>
      <c r="J70" s="120">
        <f>128941-128941</f>
        <v>0</v>
      </c>
      <c r="K70" s="120">
        <f>SUM(I70:J70)</f>
        <v>0</v>
      </c>
      <c r="L70" s="120">
        <f>K70+H70</f>
        <v>30140054</v>
      </c>
      <c r="M70" s="120">
        <f>P70+S70</f>
        <v>9946</v>
      </c>
      <c r="N70" s="120">
        <f>12000000-12000000</f>
        <v>0</v>
      </c>
      <c r="O70" s="120">
        <f>D70-L70-M70-N70</f>
        <v>12000000</v>
      </c>
      <c r="P70" s="120">
        <f>G70-L70</f>
        <v>9946</v>
      </c>
      <c r="Q70" s="357"/>
      <c r="R70" s="120"/>
      <c r="S70" s="120">
        <f>SUM(Q70:R70)</f>
        <v>0</v>
      </c>
      <c r="T70" s="120">
        <f>P70-M70+S70</f>
        <v>0</v>
      </c>
      <c r="U70" s="120">
        <f>N70-T70</f>
        <v>0</v>
      </c>
      <c r="V70" s="120">
        <f>U70-Z70-X70-AA70-W70-Y70</f>
        <v>0</v>
      </c>
      <c r="W70" s="120"/>
      <c r="X70" s="120"/>
      <c r="Y70" s="120"/>
      <c r="Z70" s="120"/>
      <c r="AA70" s="135"/>
      <c r="AB70" s="135" t="s">
        <v>882</v>
      </c>
      <c r="AC70" s="135">
        <v>747000</v>
      </c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217"/>
      <c r="AW70" s="217"/>
      <c r="AX70" s="217"/>
      <c r="AY70" s="134"/>
      <c r="AZ70" s="134"/>
      <c r="BA70" s="134"/>
      <c r="BB70" s="134"/>
      <c r="BC70" s="134"/>
      <c r="BD70" s="134"/>
      <c r="BE70" s="134"/>
      <c r="BF70" s="134"/>
      <c r="BG70" s="134"/>
    </row>
    <row r="71" spans="1:59" s="5" customFormat="1" ht="48.6" customHeight="1">
      <c r="A71" s="135">
        <f t="shared" si="7"/>
        <v>62</v>
      </c>
      <c r="B71" s="19">
        <v>2127</v>
      </c>
      <c r="C71" s="3" t="s">
        <v>375</v>
      </c>
      <c r="D71" s="120">
        <v>2259000</v>
      </c>
      <c r="E71" s="120">
        <v>2259000</v>
      </c>
      <c r="F71" s="120">
        <f>D71-E71</f>
        <v>0</v>
      </c>
      <c r="G71" s="120">
        <v>2259000</v>
      </c>
      <c r="H71" s="120">
        <v>645783</v>
      </c>
      <c r="I71" s="120"/>
      <c r="J71" s="120"/>
      <c r="K71" s="120">
        <f>SUM(I71:J71)</f>
        <v>0</v>
      </c>
      <c r="L71" s="120">
        <f>K71+H71</f>
        <v>645783</v>
      </c>
      <c r="M71" s="120">
        <f>P71+S71-1000000-600000+600000-600000</f>
        <v>13217</v>
      </c>
      <c r="N71" s="120">
        <f>1000000-600000+600000</f>
        <v>1000000</v>
      </c>
      <c r="O71" s="120">
        <f>D71-L71-M71-N71</f>
        <v>600000</v>
      </c>
      <c r="P71" s="120">
        <f>G71-L71</f>
        <v>1613217</v>
      </c>
      <c r="Q71" s="357"/>
      <c r="R71" s="120"/>
      <c r="S71" s="120">
        <f>SUM(Q71:R71)</f>
        <v>0</v>
      </c>
      <c r="T71" s="120">
        <f>P71-M71+S71</f>
        <v>1600000</v>
      </c>
      <c r="U71" s="120">
        <f>N71-T71</f>
        <v>-600000</v>
      </c>
      <c r="V71" s="120">
        <f>U71-Z71-X71-AA71-W71-Y71</f>
        <v>-600000</v>
      </c>
      <c r="W71" s="120"/>
      <c r="X71" s="120"/>
      <c r="Y71" s="120"/>
      <c r="Z71" s="120"/>
      <c r="AA71" s="135"/>
      <c r="AB71" s="3" t="s">
        <v>827</v>
      </c>
      <c r="AC71" s="3">
        <v>747000</v>
      </c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217"/>
      <c r="AW71" s="217"/>
      <c r="AX71" s="217"/>
      <c r="AY71" s="6"/>
      <c r="AZ71" s="6"/>
      <c r="BA71" s="6"/>
      <c r="BB71" s="6"/>
      <c r="BC71" s="6"/>
      <c r="BD71" s="6"/>
      <c r="BE71" s="6"/>
      <c r="BF71" s="6"/>
      <c r="BG71" s="6"/>
    </row>
    <row r="72" spans="1:59" customFormat="1" ht="36" customHeight="1">
      <c r="A72" s="135">
        <f t="shared" si="7"/>
        <v>63</v>
      </c>
      <c r="B72" s="19">
        <v>20024</v>
      </c>
      <c r="C72" s="3" t="s">
        <v>704</v>
      </c>
      <c r="D72" s="120">
        <f>880000-62208</f>
        <v>817792</v>
      </c>
      <c r="E72" s="120">
        <v>880000</v>
      </c>
      <c r="F72" s="120">
        <f>D72-E72</f>
        <v>-62208</v>
      </c>
      <c r="G72" s="120">
        <v>880000</v>
      </c>
      <c r="H72" s="120">
        <v>817792</v>
      </c>
      <c r="I72" s="120"/>
      <c r="J72" s="120"/>
      <c r="K72" s="120">
        <f>SUM(I72:J72)</f>
        <v>0</v>
      </c>
      <c r="L72" s="120">
        <f>K72+H72</f>
        <v>817792</v>
      </c>
      <c r="M72" s="120">
        <f>P72+S72-62208</f>
        <v>0</v>
      </c>
      <c r="N72" s="120"/>
      <c r="O72" s="120">
        <f>D72-L72-M72-N72</f>
        <v>0</v>
      </c>
      <c r="P72" s="120">
        <f>G72-L72</f>
        <v>62208</v>
      </c>
      <c r="Q72" s="357"/>
      <c r="R72" s="120"/>
      <c r="S72" s="120">
        <f>SUM(Q72:R72)</f>
        <v>0</v>
      </c>
      <c r="T72" s="120">
        <f>P72-M72+S72</f>
        <v>62208</v>
      </c>
      <c r="U72" s="120">
        <f>N72-T72</f>
        <v>-62208</v>
      </c>
      <c r="V72" s="120">
        <f>U72-Z72-X72-AA72-W72-Y72</f>
        <v>0</v>
      </c>
      <c r="W72" s="120">
        <v>-62208</v>
      </c>
      <c r="X72" s="120"/>
      <c r="Y72" s="120"/>
      <c r="Z72" s="120"/>
      <c r="AA72" s="135"/>
      <c r="AB72" s="3" t="s">
        <v>1461</v>
      </c>
      <c r="AC72" s="3">
        <v>747000</v>
      </c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217"/>
      <c r="AW72" s="217"/>
      <c r="AX72" s="217"/>
      <c r="AY72" s="157"/>
      <c r="AZ72" s="157"/>
      <c r="BA72" s="157"/>
      <c r="BB72" s="157"/>
      <c r="BC72" s="157"/>
      <c r="BD72" s="157"/>
      <c r="BE72" s="157"/>
      <c r="BF72" s="157"/>
      <c r="BG72" s="157"/>
    </row>
    <row r="73" spans="1:59" s="409" customFormat="1" ht="36" customHeight="1">
      <c r="A73" s="137"/>
      <c r="B73" s="20"/>
      <c r="C73" s="7" t="s">
        <v>1561</v>
      </c>
      <c r="D73" s="138">
        <f>SUM(D70:D72)</f>
        <v>45226792</v>
      </c>
      <c r="E73" s="138">
        <f t="shared" ref="E73:AA73" si="30">SUM(E70:E72)</f>
        <v>43289000</v>
      </c>
      <c r="F73" s="138">
        <f t="shared" si="30"/>
        <v>1937792</v>
      </c>
      <c r="G73" s="138">
        <f t="shared" si="30"/>
        <v>33289000</v>
      </c>
      <c r="H73" s="138">
        <f t="shared" si="30"/>
        <v>31603629</v>
      </c>
      <c r="I73" s="138">
        <f t="shared" si="30"/>
        <v>0</v>
      </c>
      <c r="J73" s="138">
        <f t="shared" si="30"/>
        <v>0</v>
      </c>
      <c r="K73" s="138">
        <f t="shared" si="30"/>
        <v>0</v>
      </c>
      <c r="L73" s="138">
        <f t="shared" si="30"/>
        <v>31603629</v>
      </c>
      <c r="M73" s="138">
        <f t="shared" si="30"/>
        <v>23163</v>
      </c>
      <c r="N73" s="138">
        <f t="shared" si="30"/>
        <v>1000000</v>
      </c>
      <c r="O73" s="138">
        <f t="shared" si="30"/>
        <v>12600000</v>
      </c>
      <c r="P73" s="138">
        <f t="shared" si="30"/>
        <v>1685371</v>
      </c>
      <c r="Q73" s="138">
        <f t="shared" si="30"/>
        <v>0</v>
      </c>
      <c r="R73" s="138">
        <f t="shared" si="30"/>
        <v>0</v>
      </c>
      <c r="S73" s="138">
        <f t="shared" si="30"/>
        <v>0</v>
      </c>
      <c r="T73" s="138">
        <f t="shared" si="30"/>
        <v>1662208</v>
      </c>
      <c r="U73" s="138">
        <f t="shared" si="30"/>
        <v>-662208</v>
      </c>
      <c r="V73" s="138">
        <f t="shared" si="30"/>
        <v>-600000</v>
      </c>
      <c r="W73" s="138">
        <f t="shared" si="30"/>
        <v>-62208</v>
      </c>
      <c r="X73" s="138">
        <f t="shared" si="30"/>
        <v>0</v>
      </c>
      <c r="Y73" s="138">
        <f t="shared" si="30"/>
        <v>0</v>
      </c>
      <c r="Z73" s="138">
        <f t="shared" si="30"/>
        <v>0</v>
      </c>
      <c r="AA73" s="138">
        <f t="shared" si="30"/>
        <v>0</v>
      </c>
      <c r="AB73" s="7"/>
      <c r="AC73" s="7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17"/>
      <c r="AW73" s="217"/>
      <c r="AX73" s="217"/>
      <c r="AY73" s="303"/>
      <c r="AZ73" s="303"/>
      <c r="BA73" s="303"/>
      <c r="BB73" s="303"/>
      <c r="BC73" s="303"/>
      <c r="BD73" s="303"/>
      <c r="BE73" s="303"/>
      <c r="BF73" s="303"/>
      <c r="BG73" s="303"/>
    </row>
    <row r="74" spans="1:59" s="409" customFormat="1" ht="36" customHeight="1">
      <c r="A74" s="137"/>
      <c r="B74" s="20"/>
      <c r="C74" s="7">
        <v>76</v>
      </c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817"/>
      <c r="R74" s="138"/>
      <c r="S74" s="138"/>
      <c r="T74" s="138"/>
      <c r="U74" s="138"/>
      <c r="V74" s="138"/>
      <c r="W74" s="138"/>
      <c r="X74" s="138"/>
      <c r="Y74" s="138"/>
      <c r="Z74" s="138"/>
      <c r="AA74" s="137"/>
      <c r="AB74" s="7"/>
      <c r="AC74" s="7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17"/>
      <c r="AW74" s="217"/>
      <c r="AX74" s="217"/>
      <c r="AY74" s="303"/>
      <c r="AZ74" s="303"/>
      <c r="BA74" s="303"/>
      <c r="BB74" s="303"/>
      <c r="BC74" s="303"/>
      <c r="BD74" s="303"/>
      <c r="BE74" s="303"/>
      <c r="BF74" s="303"/>
      <c r="BG74" s="303"/>
    </row>
    <row r="75" spans="1:59" s="5" customFormat="1" ht="41.4">
      <c r="A75" s="135">
        <f>A72+1</f>
        <v>64</v>
      </c>
      <c r="B75" s="135">
        <v>576</v>
      </c>
      <c r="C75" s="135" t="s">
        <v>69</v>
      </c>
      <c r="D75" s="120">
        <f>58113000+20000000</f>
        <v>78113000</v>
      </c>
      <c r="E75" s="120">
        <v>58113000</v>
      </c>
      <c r="F75" s="120">
        <f>D75-E75</f>
        <v>20000000</v>
      </c>
      <c r="G75" s="120">
        <v>58113000</v>
      </c>
      <c r="H75" s="120">
        <v>57720940</v>
      </c>
      <c r="I75" s="120"/>
      <c r="J75" s="120">
        <f>188783-188783</f>
        <v>0</v>
      </c>
      <c r="K75" s="120">
        <f>SUM(I75:J75)</f>
        <v>0</v>
      </c>
      <c r="L75" s="120">
        <f>K75+H75</f>
        <v>57720940</v>
      </c>
      <c r="M75" s="120">
        <f>P75+S75-390000</f>
        <v>2060</v>
      </c>
      <c r="N75" s="120">
        <f>10000000-5000000-2000000+390000-3000000</f>
        <v>390000</v>
      </c>
      <c r="O75" s="120">
        <f>D75-L75-M75-N75</f>
        <v>20000000</v>
      </c>
      <c r="P75" s="120">
        <f>G75-L75</f>
        <v>392060</v>
      </c>
      <c r="Q75" s="357"/>
      <c r="R75" s="120"/>
      <c r="S75" s="120">
        <f>SUM(Q75:R75)</f>
        <v>0</v>
      </c>
      <c r="T75" s="120">
        <f>P75-M75+S75</f>
        <v>390000</v>
      </c>
      <c r="U75" s="120">
        <f>N75-T75</f>
        <v>0</v>
      </c>
      <c r="V75" s="120">
        <f>U75-Z75-X75-AA75-W75-Y75</f>
        <v>0</v>
      </c>
      <c r="W75" s="120"/>
      <c r="X75" s="120"/>
      <c r="Y75" s="120"/>
      <c r="Z75" s="120"/>
      <c r="AA75" s="120">
        <f>3000000-3000000</f>
        <v>0</v>
      </c>
      <c r="AB75" s="135" t="s">
        <v>1495</v>
      </c>
      <c r="AC75" s="135">
        <v>760000</v>
      </c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217"/>
      <c r="AW75" s="217"/>
      <c r="AX75" s="217"/>
      <c r="AY75" s="136"/>
      <c r="AZ75" s="136"/>
      <c r="BA75" s="136"/>
      <c r="BB75" s="136"/>
      <c r="BC75" s="136"/>
      <c r="BD75" s="136"/>
      <c r="BE75" s="136"/>
      <c r="BF75" s="136"/>
      <c r="BG75" s="136"/>
    </row>
    <row r="76" spans="1:59" s="48" customFormat="1">
      <c r="A76" s="219"/>
      <c r="B76" s="219"/>
      <c r="C76" s="219" t="s">
        <v>1559</v>
      </c>
      <c r="D76" s="249">
        <f>SUM(D75)</f>
        <v>78113000</v>
      </c>
      <c r="E76" s="249">
        <f t="shared" ref="E76:AA76" si="31">SUM(E75)</f>
        <v>58113000</v>
      </c>
      <c r="F76" s="249">
        <f t="shared" si="31"/>
        <v>20000000</v>
      </c>
      <c r="G76" s="249">
        <f t="shared" si="31"/>
        <v>58113000</v>
      </c>
      <c r="H76" s="249">
        <f t="shared" si="31"/>
        <v>57720940</v>
      </c>
      <c r="I76" s="249">
        <f t="shared" si="31"/>
        <v>0</v>
      </c>
      <c r="J76" s="249">
        <f t="shared" si="31"/>
        <v>0</v>
      </c>
      <c r="K76" s="249">
        <f t="shared" si="31"/>
        <v>0</v>
      </c>
      <c r="L76" s="249">
        <f t="shared" si="31"/>
        <v>57720940</v>
      </c>
      <c r="M76" s="249">
        <f t="shared" si="31"/>
        <v>2060</v>
      </c>
      <c r="N76" s="249">
        <f t="shared" si="31"/>
        <v>390000</v>
      </c>
      <c r="O76" s="249">
        <f t="shared" si="31"/>
        <v>20000000</v>
      </c>
      <c r="P76" s="249">
        <f t="shared" si="31"/>
        <v>392060</v>
      </c>
      <c r="Q76" s="249">
        <f t="shared" si="31"/>
        <v>0</v>
      </c>
      <c r="R76" s="249">
        <f t="shared" si="31"/>
        <v>0</v>
      </c>
      <c r="S76" s="249">
        <f t="shared" si="31"/>
        <v>0</v>
      </c>
      <c r="T76" s="249">
        <f t="shared" si="31"/>
        <v>390000</v>
      </c>
      <c r="U76" s="249">
        <f t="shared" si="31"/>
        <v>0</v>
      </c>
      <c r="V76" s="249">
        <f t="shared" si="31"/>
        <v>0</v>
      </c>
      <c r="W76" s="249">
        <f t="shared" si="31"/>
        <v>0</v>
      </c>
      <c r="X76" s="249">
        <f t="shared" si="31"/>
        <v>0</v>
      </c>
      <c r="Y76" s="249">
        <f t="shared" si="31"/>
        <v>0</v>
      </c>
      <c r="Z76" s="249">
        <f t="shared" si="31"/>
        <v>0</v>
      </c>
      <c r="AA76" s="249">
        <f t="shared" si="31"/>
        <v>0</v>
      </c>
      <c r="AB76" s="219"/>
      <c r="AC76" s="219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815"/>
      <c r="AW76" s="815"/>
      <c r="AX76" s="815"/>
      <c r="AY76" s="238"/>
      <c r="AZ76" s="238"/>
      <c r="BA76" s="238"/>
      <c r="BB76" s="238"/>
      <c r="BC76" s="238"/>
      <c r="BD76" s="238"/>
      <c r="BE76" s="238"/>
      <c r="BF76" s="238"/>
      <c r="BG76" s="238"/>
    </row>
    <row r="77" spans="1:59" s="48" customFormat="1">
      <c r="A77" s="219"/>
      <c r="B77" s="219"/>
      <c r="C77" s="219">
        <v>81</v>
      </c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49"/>
      <c r="P77" s="249"/>
      <c r="Q77" s="814"/>
      <c r="R77" s="249"/>
      <c r="S77" s="249"/>
      <c r="T77" s="249"/>
      <c r="U77" s="249"/>
      <c r="V77" s="249"/>
      <c r="W77" s="249"/>
      <c r="X77" s="249"/>
      <c r="Y77" s="249"/>
      <c r="Z77" s="249"/>
      <c r="AA77" s="249"/>
      <c r="AB77" s="219"/>
      <c r="AC77" s="219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815"/>
      <c r="AW77" s="815"/>
      <c r="AX77" s="815"/>
      <c r="AY77" s="238"/>
      <c r="AZ77" s="238"/>
      <c r="BA77" s="238"/>
      <c r="BB77" s="238"/>
      <c r="BC77" s="238"/>
      <c r="BD77" s="238"/>
      <c r="BE77" s="238"/>
      <c r="BF77" s="238"/>
      <c r="BG77" s="238"/>
    </row>
    <row r="78" spans="1:59" s="452" customFormat="1" ht="51" customHeight="1">
      <c r="A78" s="135">
        <f>A75+1</f>
        <v>65</v>
      </c>
      <c r="B78" s="220">
        <v>1957</v>
      </c>
      <c r="C78" s="135" t="s">
        <v>1367</v>
      </c>
      <c r="D78" s="120">
        <f>60000000+12500000-12500000+15000000</f>
        <v>75000000</v>
      </c>
      <c r="E78" s="120">
        <v>60000000</v>
      </c>
      <c r="F78" s="120">
        <f t="shared" ref="F78:F109" si="32">D78-E78</f>
        <v>15000000</v>
      </c>
      <c r="G78" s="120">
        <f>28026967+2000000</f>
        <v>30026967</v>
      </c>
      <c r="H78" s="120">
        <v>33624938</v>
      </c>
      <c r="I78" s="120"/>
      <c r="J78" s="120"/>
      <c r="K78" s="120">
        <f t="shared" ref="K78:K100" si="33">SUM(I78:J78)</f>
        <v>0</v>
      </c>
      <c r="L78" s="120">
        <f t="shared" ref="L78:L100" si="34">K78+H78</f>
        <v>33624938</v>
      </c>
      <c r="M78" s="120">
        <f>P78+S78-470000</f>
        <v>6511</v>
      </c>
      <c r="N78" s="120">
        <f>23973033+1925518+15000000+470000-10000000-1300000</f>
        <v>30068551</v>
      </c>
      <c r="O78" s="120">
        <f t="shared" ref="O78:O109" si="35">D78-L78-M78-N78</f>
        <v>11300000</v>
      </c>
      <c r="P78" s="120">
        <f t="shared" ref="P78:P101" si="36">G78-L78</f>
        <v>-3597971</v>
      </c>
      <c r="Q78" s="357">
        <f>2555855+1518627</f>
        <v>4074482</v>
      </c>
      <c r="R78" s="120"/>
      <c r="S78" s="120">
        <f t="shared" ref="S78:S101" si="37">SUM(Q78:R78)</f>
        <v>4074482</v>
      </c>
      <c r="T78" s="120">
        <f t="shared" ref="T78:T101" si="38">P78-M78+S78</f>
        <v>470000</v>
      </c>
      <c r="U78" s="120">
        <f t="shared" ref="U78:U109" si="39">N78-T78</f>
        <v>29598551</v>
      </c>
      <c r="V78" s="120">
        <f t="shared" ref="V78:V100" si="40">U78-Z78-X78-AA78-W78-Y78</f>
        <v>26873393</v>
      </c>
      <c r="W78" s="120">
        <v>1500000</v>
      </c>
      <c r="X78" s="120"/>
      <c r="Y78" s="120"/>
      <c r="Z78" s="120"/>
      <c r="AA78" s="120">
        <f>1225158</f>
        <v>1225158</v>
      </c>
      <c r="AB78" s="135" t="s">
        <v>1506</v>
      </c>
      <c r="AC78" s="135">
        <v>810000</v>
      </c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217"/>
      <c r="AW78" s="217"/>
      <c r="AX78" s="217"/>
      <c r="AY78" s="131"/>
      <c r="AZ78" s="131"/>
      <c r="BA78" s="131"/>
      <c r="BB78" s="131"/>
      <c r="BC78" s="131"/>
      <c r="BD78" s="131"/>
      <c r="BE78" s="131"/>
      <c r="BF78" s="131"/>
      <c r="BG78" s="131"/>
    </row>
    <row r="79" spans="1:59" s="5" customFormat="1" ht="39" customHeight="1">
      <c r="A79" s="135">
        <f t="shared" si="7"/>
        <v>66</v>
      </c>
      <c r="B79" s="3">
        <v>2001</v>
      </c>
      <c r="C79" s="3" t="s">
        <v>126</v>
      </c>
      <c r="D79" s="120">
        <f>30000000-9000000+4000000</f>
        <v>25000000</v>
      </c>
      <c r="E79" s="120">
        <v>18500000</v>
      </c>
      <c r="F79" s="120">
        <f t="shared" si="32"/>
        <v>6500000</v>
      </c>
      <c r="G79" s="120">
        <v>8398700</v>
      </c>
      <c r="H79" s="120">
        <v>6406298</v>
      </c>
      <c r="I79" s="120"/>
      <c r="J79" s="120"/>
      <c r="K79" s="120">
        <f t="shared" si="33"/>
        <v>0</v>
      </c>
      <c r="L79" s="120">
        <f t="shared" si="34"/>
        <v>6406298</v>
      </c>
      <c r="M79" s="120">
        <f>P79+S79-1990000</f>
        <v>2402</v>
      </c>
      <c r="N79" s="120">
        <f>21601300-9000000+1990000-3000000</f>
        <v>11591300</v>
      </c>
      <c r="O79" s="120">
        <f t="shared" si="35"/>
        <v>7000000</v>
      </c>
      <c r="P79" s="120">
        <f t="shared" si="36"/>
        <v>1992402</v>
      </c>
      <c r="Q79" s="357"/>
      <c r="R79" s="120"/>
      <c r="S79" s="120">
        <f t="shared" si="37"/>
        <v>0</v>
      </c>
      <c r="T79" s="120">
        <f t="shared" si="38"/>
        <v>1990000</v>
      </c>
      <c r="U79" s="120">
        <f t="shared" si="39"/>
        <v>9601300</v>
      </c>
      <c r="V79" s="120">
        <f t="shared" si="40"/>
        <v>8601300</v>
      </c>
      <c r="W79" s="120">
        <v>1000000</v>
      </c>
      <c r="X79" s="120"/>
      <c r="Y79" s="120"/>
      <c r="Z79" s="120"/>
      <c r="AA79" s="135"/>
      <c r="AB79" s="3" t="s">
        <v>1428</v>
      </c>
      <c r="AC79" s="3">
        <v>810000</v>
      </c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217"/>
      <c r="AW79" s="217"/>
      <c r="AX79" s="217"/>
      <c r="AY79"/>
      <c r="AZ79"/>
      <c r="BA79"/>
      <c r="BB79"/>
      <c r="BC79"/>
      <c r="BD79"/>
      <c r="BE79"/>
      <c r="BF79"/>
      <c r="BG79"/>
    </row>
    <row r="80" spans="1:59" s="5" customFormat="1" ht="61.2" customHeight="1">
      <c r="A80" s="135">
        <f t="shared" ref="A80:A143" si="41">A79+1</f>
        <v>67</v>
      </c>
      <c r="B80" s="135">
        <v>2015</v>
      </c>
      <c r="C80" s="235" t="s">
        <v>572</v>
      </c>
      <c r="D80" s="120">
        <v>54000000</v>
      </c>
      <c r="E80" s="120">
        <v>54000000</v>
      </c>
      <c r="F80" s="120">
        <f t="shared" si="32"/>
        <v>0</v>
      </c>
      <c r="G80" s="120">
        <f>41234031+2500000</f>
        <v>43734031</v>
      </c>
      <c r="H80" s="120">
        <v>45608729</v>
      </c>
      <c r="I80" s="120"/>
      <c r="J80" s="120">
        <v>15678</v>
      </c>
      <c r="K80" s="120">
        <f t="shared" si="33"/>
        <v>15678</v>
      </c>
      <c r="L80" s="120">
        <f t="shared" si="34"/>
        <v>45624407</v>
      </c>
      <c r="M80" s="120">
        <f>P80+S80-100000</f>
        <v>9624</v>
      </c>
      <c r="N80" s="120">
        <f>8265969+100000</f>
        <v>8365969</v>
      </c>
      <c r="O80" s="120">
        <f t="shared" si="35"/>
        <v>0</v>
      </c>
      <c r="P80" s="120">
        <f t="shared" si="36"/>
        <v>-1890376</v>
      </c>
      <c r="Q80" s="357">
        <f>4500000-2500000</f>
        <v>2000000</v>
      </c>
      <c r="R80" s="120"/>
      <c r="S80" s="120">
        <f t="shared" si="37"/>
        <v>2000000</v>
      </c>
      <c r="T80" s="120">
        <f t="shared" si="38"/>
        <v>100000</v>
      </c>
      <c r="U80" s="120">
        <f t="shared" si="39"/>
        <v>8265969</v>
      </c>
      <c r="V80" s="120">
        <f t="shared" si="40"/>
        <v>8265969</v>
      </c>
      <c r="W80" s="120"/>
      <c r="X80" s="120"/>
      <c r="Y80" s="120"/>
      <c r="Z80" s="120"/>
      <c r="AA80" s="135"/>
      <c r="AB80" s="135" t="s">
        <v>807</v>
      </c>
      <c r="AC80" s="135">
        <v>810000</v>
      </c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217"/>
      <c r="AW80" s="217"/>
      <c r="AX80" s="217"/>
      <c r="AY80" s="139"/>
      <c r="AZ80" s="139"/>
      <c r="BA80" s="139"/>
      <c r="BB80" s="139"/>
      <c r="BC80" s="139"/>
      <c r="BD80" s="139"/>
      <c r="BE80" s="139"/>
      <c r="BF80" s="139"/>
      <c r="BG80" s="139"/>
    </row>
    <row r="81" spans="1:59" s="5" customFormat="1" ht="45" customHeight="1">
      <c r="A81" s="135">
        <f t="shared" si="41"/>
        <v>68</v>
      </c>
      <c r="B81" s="135">
        <v>2023</v>
      </c>
      <c r="C81" s="135" t="s">
        <v>735</v>
      </c>
      <c r="D81" s="120">
        <v>7340000</v>
      </c>
      <c r="E81" s="120">
        <v>7340000</v>
      </c>
      <c r="F81" s="120">
        <f t="shared" si="32"/>
        <v>0</v>
      </c>
      <c r="G81" s="120">
        <v>230000</v>
      </c>
      <c r="H81" s="120">
        <v>228151</v>
      </c>
      <c r="I81" s="120"/>
      <c r="J81" s="120"/>
      <c r="K81" s="120">
        <f t="shared" si="33"/>
        <v>0</v>
      </c>
      <c r="L81" s="120">
        <f t="shared" si="34"/>
        <v>228151</v>
      </c>
      <c r="M81" s="120">
        <f>P81+S81</f>
        <v>1849</v>
      </c>
      <c r="N81" s="120"/>
      <c r="O81" s="120">
        <f t="shared" si="35"/>
        <v>7110000</v>
      </c>
      <c r="P81" s="120">
        <f t="shared" si="36"/>
        <v>1849</v>
      </c>
      <c r="Q81" s="357"/>
      <c r="R81" s="120"/>
      <c r="S81" s="120">
        <f t="shared" si="37"/>
        <v>0</v>
      </c>
      <c r="T81" s="120">
        <f t="shared" si="38"/>
        <v>0</v>
      </c>
      <c r="U81" s="120">
        <f t="shared" si="39"/>
        <v>0</v>
      </c>
      <c r="V81" s="120">
        <f t="shared" si="40"/>
        <v>0</v>
      </c>
      <c r="W81" s="120"/>
      <c r="X81" s="120"/>
      <c r="Y81" s="120"/>
      <c r="Z81" s="120"/>
      <c r="AA81" s="135"/>
      <c r="AB81" s="135" t="s">
        <v>627</v>
      </c>
      <c r="AC81" s="135">
        <v>810000</v>
      </c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217"/>
      <c r="AW81" s="217"/>
      <c r="AX81" s="217"/>
      <c r="AY81" s="134"/>
      <c r="AZ81" s="134"/>
      <c r="BA81" s="134"/>
      <c r="BB81" s="134"/>
      <c r="BC81" s="134"/>
      <c r="BD81" s="134"/>
      <c r="BE81" s="134"/>
      <c r="BF81" s="134"/>
      <c r="BG81" s="134"/>
    </row>
    <row r="82" spans="1:59" s="5" customFormat="1" ht="45" customHeight="1">
      <c r="A82" s="135">
        <f t="shared" si="41"/>
        <v>69</v>
      </c>
      <c r="B82" s="135">
        <v>2024</v>
      </c>
      <c r="C82" s="135" t="s">
        <v>260</v>
      </c>
      <c r="D82" s="120">
        <f>16300000+2100000</f>
        <v>18400000</v>
      </c>
      <c r="E82" s="120">
        <v>16300000</v>
      </c>
      <c r="F82" s="120">
        <f t="shared" si="32"/>
        <v>2100000</v>
      </c>
      <c r="G82" s="120">
        <v>16300000</v>
      </c>
      <c r="H82" s="120">
        <v>11225590</v>
      </c>
      <c r="I82" s="120"/>
      <c r="J82" s="120"/>
      <c r="K82" s="120">
        <f t="shared" si="33"/>
        <v>0</v>
      </c>
      <c r="L82" s="120">
        <f t="shared" si="34"/>
        <v>11225590</v>
      </c>
      <c r="M82" s="120">
        <f>P82+S82-5050000</f>
        <v>24410</v>
      </c>
      <c r="N82" s="120">
        <f>2100000+5050000</f>
        <v>7150000</v>
      </c>
      <c r="O82" s="120">
        <f t="shared" si="35"/>
        <v>0</v>
      </c>
      <c r="P82" s="120">
        <f t="shared" si="36"/>
        <v>5074410</v>
      </c>
      <c r="Q82" s="357"/>
      <c r="R82" s="120"/>
      <c r="S82" s="120">
        <f t="shared" si="37"/>
        <v>0</v>
      </c>
      <c r="T82" s="120">
        <f t="shared" si="38"/>
        <v>5050000</v>
      </c>
      <c r="U82" s="120">
        <f t="shared" si="39"/>
        <v>2100000</v>
      </c>
      <c r="V82" s="120">
        <f t="shared" si="40"/>
        <v>1654749</v>
      </c>
      <c r="W82" s="120"/>
      <c r="X82" s="120"/>
      <c r="Y82" s="120"/>
      <c r="Z82" s="120"/>
      <c r="AA82" s="120">
        <f>78000+367251</f>
        <v>445251</v>
      </c>
      <c r="AB82" s="135" t="s">
        <v>1386</v>
      </c>
      <c r="AC82" s="135">
        <v>810000</v>
      </c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217"/>
      <c r="AW82" s="217"/>
      <c r="AX82" s="217"/>
      <c r="AY82" s="134"/>
      <c r="AZ82" s="134"/>
      <c r="BA82" s="134"/>
      <c r="BB82" s="134"/>
      <c r="BC82" s="134"/>
      <c r="BD82" s="134"/>
      <c r="BE82" s="134"/>
      <c r="BF82" s="134"/>
      <c r="BG82" s="134"/>
    </row>
    <row r="83" spans="1:59" s="5" customFormat="1" ht="85.95" customHeight="1">
      <c r="A83" s="135">
        <f t="shared" si="41"/>
        <v>70</v>
      </c>
      <c r="B83" s="19">
        <v>2097</v>
      </c>
      <c r="C83" s="135" t="s">
        <v>262</v>
      </c>
      <c r="D83" s="120">
        <v>79000000</v>
      </c>
      <c r="E83" s="120">
        <v>79000000</v>
      </c>
      <c r="F83" s="120">
        <f t="shared" si="32"/>
        <v>0</v>
      </c>
      <c r="G83" s="120">
        <f>26619617+2852702</f>
        <v>29472319</v>
      </c>
      <c r="H83" s="120">
        <v>34007912</v>
      </c>
      <c r="I83" s="120"/>
      <c r="J83" s="120">
        <v>448008</v>
      </c>
      <c r="K83" s="120">
        <f t="shared" si="33"/>
        <v>448008</v>
      </c>
      <c r="L83" s="120">
        <f t="shared" si="34"/>
        <v>34455920</v>
      </c>
      <c r="M83" s="120">
        <f>P83+S83-6650000</f>
        <v>13697</v>
      </c>
      <c r="N83" s="120">
        <f>37880383-27880383+3901997-4000000+6650000-2000000</f>
        <v>14551997</v>
      </c>
      <c r="O83" s="120">
        <f t="shared" si="35"/>
        <v>29978386</v>
      </c>
      <c r="P83" s="120">
        <f t="shared" si="36"/>
        <v>-4983601</v>
      </c>
      <c r="Q83" s="357">
        <f>14500000-2852702</f>
        <v>11647298</v>
      </c>
      <c r="R83" s="120"/>
      <c r="S83" s="120">
        <f t="shared" si="37"/>
        <v>11647298</v>
      </c>
      <c r="T83" s="120">
        <f t="shared" si="38"/>
        <v>6650000</v>
      </c>
      <c r="U83" s="120">
        <f t="shared" si="39"/>
        <v>7901997</v>
      </c>
      <c r="V83" s="120">
        <f t="shared" si="40"/>
        <v>4000000</v>
      </c>
      <c r="W83" s="120"/>
      <c r="X83" s="120"/>
      <c r="Y83" s="120"/>
      <c r="Z83" s="120"/>
      <c r="AA83" s="120">
        <f>382200+141574+3378223</f>
        <v>3901997</v>
      </c>
      <c r="AB83" s="224" t="s">
        <v>798</v>
      </c>
      <c r="AC83" s="135">
        <v>810000</v>
      </c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217"/>
      <c r="AW83" s="217"/>
      <c r="AX83" s="217"/>
      <c r="AY83" s="131"/>
      <c r="AZ83" s="131"/>
      <c r="BA83" s="131"/>
      <c r="BB83" s="131"/>
      <c r="BC83" s="131"/>
      <c r="BD83" s="131"/>
      <c r="BE83" s="131"/>
      <c r="BF83" s="131"/>
      <c r="BG83" s="131"/>
    </row>
    <row r="84" spans="1:59" s="5" customFormat="1" ht="45" customHeight="1">
      <c r="A84" s="135">
        <f t="shared" si="41"/>
        <v>71</v>
      </c>
      <c r="B84" s="19">
        <v>2130</v>
      </c>
      <c r="C84" s="3" t="s">
        <v>382</v>
      </c>
      <c r="D84" s="120">
        <v>500000</v>
      </c>
      <c r="E84" s="120">
        <v>500000</v>
      </c>
      <c r="F84" s="120">
        <f t="shared" si="32"/>
        <v>0</v>
      </c>
      <c r="G84" s="120">
        <v>500000</v>
      </c>
      <c r="H84" s="120">
        <v>19942</v>
      </c>
      <c r="I84" s="120"/>
      <c r="J84" s="120"/>
      <c r="K84" s="120">
        <f t="shared" si="33"/>
        <v>0</v>
      </c>
      <c r="L84" s="120">
        <f t="shared" si="34"/>
        <v>19942</v>
      </c>
      <c r="M84" s="120">
        <f>P84+S84-480000</f>
        <v>58</v>
      </c>
      <c r="N84" s="120">
        <v>480000</v>
      </c>
      <c r="O84" s="120">
        <f t="shared" si="35"/>
        <v>0</v>
      </c>
      <c r="P84" s="120">
        <f t="shared" si="36"/>
        <v>480058</v>
      </c>
      <c r="Q84" s="357"/>
      <c r="R84" s="120"/>
      <c r="S84" s="120">
        <f t="shared" si="37"/>
        <v>0</v>
      </c>
      <c r="T84" s="120">
        <f t="shared" si="38"/>
        <v>480000</v>
      </c>
      <c r="U84" s="120">
        <f t="shared" si="39"/>
        <v>0</v>
      </c>
      <c r="V84" s="120">
        <f t="shared" si="40"/>
        <v>0</v>
      </c>
      <c r="W84" s="120"/>
      <c r="X84" s="120"/>
      <c r="Y84" s="120"/>
      <c r="Z84" s="120"/>
      <c r="AA84" s="135"/>
      <c r="AB84" s="3" t="s">
        <v>550</v>
      </c>
      <c r="AC84" s="3">
        <v>810000</v>
      </c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217"/>
      <c r="AW84" s="217"/>
      <c r="AX84" s="217"/>
      <c r="AY84" s="6"/>
      <c r="AZ84" s="6"/>
      <c r="BA84" s="6"/>
      <c r="BB84" s="6"/>
      <c r="BC84" s="6"/>
      <c r="BD84" s="6"/>
      <c r="BE84" s="6"/>
      <c r="BF84" s="6"/>
      <c r="BG84" s="6"/>
    </row>
    <row r="85" spans="1:59" s="5" customFormat="1" ht="45" customHeight="1">
      <c r="A85" s="135">
        <f t="shared" si="41"/>
        <v>72</v>
      </c>
      <c r="B85" s="19">
        <v>2149</v>
      </c>
      <c r="C85" s="19" t="s">
        <v>695</v>
      </c>
      <c r="D85" s="120">
        <f>2000000+500000</f>
        <v>2500000</v>
      </c>
      <c r="E85" s="120">
        <v>2000000</v>
      </c>
      <c r="F85" s="120">
        <f t="shared" si="32"/>
        <v>500000</v>
      </c>
      <c r="G85" s="120">
        <v>1700000</v>
      </c>
      <c r="H85" s="120">
        <v>1232473</v>
      </c>
      <c r="I85" s="120"/>
      <c r="J85" s="120"/>
      <c r="K85" s="120">
        <f t="shared" si="33"/>
        <v>0</v>
      </c>
      <c r="L85" s="120">
        <f t="shared" si="34"/>
        <v>1232473</v>
      </c>
      <c r="M85" s="120">
        <f>P85+S85-300000-150000</f>
        <v>17527</v>
      </c>
      <c r="N85" s="120">
        <f>300000+800000+150000-200000</f>
        <v>1050000</v>
      </c>
      <c r="O85" s="120">
        <f t="shared" si="35"/>
        <v>200000</v>
      </c>
      <c r="P85" s="120">
        <f t="shared" si="36"/>
        <v>467527</v>
      </c>
      <c r="Q85" s="357"/>
      <c r="R85" s="120"/>
      <c r="S85" s="120">
        <f t="shared" si="37"/>
        <v>0</v>
      </c>
      <c r="T85" s="120">
        <f t="shared" si="38"/>
        <v>450000</v>
      </c>
      <c r="U85" s="120">
        <f t="shared" si="39"/>
        <v>600000</v>
      </c>
      <c r="V85" s="120">
        <f t="shared" si="40"/>
        <v>600000</v>
      </c>
      <c r="W85" s="120"/>
      <c r="X85" s="120"/>
      <c r="Y85" s="120"/>
      <c r="Z85" s="120"/>
      <c r="AA85" s="135"/>
      <c r="AB85" s="3" t="s">
        <v>1508</v>
      </c>
      <c r="AC85" s="3">
        <v>810000</v>
      </c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217"/>
      <c r="AW85" s="217"/>
      <c r="AX85" s="217"/>
    </row>
    <row r="86" spans="1:59" s="5" customFormat="1" ht="44.4" customHeight="1">
      <c r="A86" s="135">
        <f t="shared" si="41"/>
        <v>73</v>
      </c>
      <c r="B86" s="19">
        <v>2152</v>
      </c>
      <c r="C86" s="3" t="s">
        <v>387</v>
      </c>
      <c r="D86" s="120">
        <f>16000000+7500000-7500000</f>
        <v>16000000</v>
      </c>
      <c r="E86" s="120">
        <v>16000000</v>
      </c>
      <c r="F86" s="120">
        <f t="shared" si="32"/>
        <v>0</v>
      </c>
      <c r="G86" s="120">
        <v>1331810</v>
      </c>
      <c r="H86" s="120">
        <v>1313273</v>
      </c>
      <c r="I86" s="120"/>
      <c r="J86" s="120"/>
      <c r="K86" s="120">
        <f t="shared" si="33"/>
        <v>0</v>
      </c>
      <c r="L86" s="120">
        <f t="shared" si="34"/>
        <v>1313273</v>
      </c>
      <c r="M86" s="120">
        <f>P86+S86</f>
        <v>18537</v>
      </c>
      <c r="N86" s="120">
        <f>14668190-7168190+4000000-6500000-5000000</f>
        <v>0</v>
      </c>
      <c r="O86" s="120">
        <f t="shared" si="35"/>
        <v>14668190</v>
      </c>
      <c r="P86" s="120">
        <f t="shared" si="36"/>
        <v>18537</v>
      </c>
      <c r="Q86" s="357"/>
      <c r="R86" s="120"/>
      <c r="S86" s="120">
        <f t="shared" si="37"/>
        <v>0</v>
      </c>
      <c r="T86" s="120">
        <f t="shared" si="38"/>
        <v>0</v>
      </c>
      <c r="U86" s="120">
        <f t="shared" si="39"/>
        <v>0</v>
      </c>
      <c r="V86" s="120">
        <f t="shared" si="40"/>
        <v>0</v>
      </c>
      <c r="W86" s="120"/>
      <c r="X86" s="120"/>
      <c r="Y86" s="120"/>
      <c r="Z86" s="120"/>
      <c r="AA86" s="135"/>
      <c r="AB86" s="19" t="s">
        <v>630</v>
      </c>
      <c r="AC86" s="3">
        <v>810000</v>
      </c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217"/>
      <c r="AW86" s="217"/>
      <c r="AX86" s="217"/>
    </row>
    <row r="87" spans="1:59" s="5" customFormat="1" ht="41.4">
      <c r="A87" s="135">
        <f t="shared" si="41"/>
        <v>74</v>
      </c>
      <c r="B87" s="19">
        <v>2175</v>
      </c>
      <c r="C87" s="3" t="s">
        <v>426</v>
      </c>
      <c r="D87" s="120">
        <v>21000000</v>
      </c>
      <c r="E87" s="120">
        <v>21000000</v>
      </c>
      <c r="F87" s="120">
        <f t="shared" si="32"/>
        <v>0</v>
      </c>
      <c r="G87" s="120">
        <f>12945297+4500000</f>
        <v>17445297</v>
      </c>
      <c r="H87" s="120">
        <v>17642170</v>
      </c>
      <c r="I87" s="120"/>
      <c r="J87" s="120"/>
      <c r="K87" s="120">
        <f t="shared" si="33"/>
        <v>0</v>
      </c>
      <c r="L87" s="120">
        <f t="shared" si="34"/>
        <v>17642170</v>
      </c>
      <c r="M87" s="120">
        <f>P87+S87-1300000</f>
        <v>3127</v>
      </c>
      <c r="N87" s="120">
        <f>2054703+1300000</f>
        <v>3354703</v>
      </c>
      <c r="O87" s="120">
        <f t="shared" si="35"/>
        <v>0</v>
      </c>
      <c r="P87" s="120">
        <f t="shared" si="36"/>
        <v>-196873</v>
      </c>
      <c r="Q87" s="357">
        <f>6000000-4500000</f>
        <v>1500000</v>
      </c>
      <c r="R87" s="120"/>
      <c r="S87" s="120">
        <f t="shared" si="37"/>
        <v>1500000</v>
      </c>
      <c r="T87" s="120">
        <f t="shared" si="38"/>
        <v>1300000</v>
      </c>
      <c r="U87" s="120">
        <f t="shared" si="39"/>
        <v>2054703</v>
      </c>
      <c r="V87" s="120">
        <f t="shared" si="40"/>
        <v>1488188</v>
      </c>
      <c r="W87" s="120"/>
      <c r="X87" s="120"/>
      <c r="Y87" s="120"/>
      <c r="Z87" s="120"/>
      <c r="AA87" s="120">
        <v>566515</v>
      </c>
      <c r="AB87" s="3" t="s">
        <v>1387</v>
      </c>
      <c r="AC87" s="3">
        <v>810000</v>
      </c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217"/>
      <c r="AW87" s="217"/>
      <c r="AX87" s="217"/>
    </row>
    <row r="88" spans="1:59" s="5" customFormat="1" ht="51" customHeight="1">
      <c r="A88" s="135">
        <f t="shared" si="41"/>
        <v>75</v>
      </c>
      <c r="B88" s="19">
        <v>2182</v>
      </c>
      <c r="C88" s="3" t="s">
        <v>428</v>
      </c>
      <c r="D88" s="120">
        <v>3900000</v>
      </c>
      <c r="E88" s="120">
        <v>3900000</v>
      </c>
      <c r="F88" s="120">
        <f t="shared" si="32"/>
        <v>0</v>
      </c>
      <c r="G88" s="120">
        <v>2000000</v>
      </c>
      <c r="H88" s="120">
        <v>1513466</v>
      </c>
      <c r="I88" s="120"/>
      <c r="J88" s="120"/>
      <c r="K88" s="120">
        <f t="shared" si="33"/>
        <v>0</v>
      </c>
      <c r="L88" s="120">
        <f t="shared" si="34"/>
        <v>1513466</v>
      </c>
      <c r="M88" s="120">
        <f>P88+S88-830000</f>
        <v>6534</v>
      </c>
      <c r="N88" s="120">
        <f>1550000-950000+830000-400000</f>
        <v>1030000</v>
      </c>
      <c r="O88" s="120">
        <f t="shared" si="35"/>
        <v>1350000</v>
      </c>
      <c r="P88" s="120">
        <f t="shared" si="36"/>
        <v>486534</v>
      </c>
      <c r="Q88" s="357">
        <v>350000</v>
      </c>
      <c r="R88" s="120"/>
      <c r="S88" s="120">
        <f t="shared" si="37"/>
        <v>350000</v>
      </c>
      <c r="T88" s="120">
        <f t="shared" si="38"/>
        <v>830000</v>
      </c>
      <c r="U88" s="120">
        <f t="shared" si="39"/>
        <v>200000</v>
      </c>
      <c r="V88" s="120">
        <f t="shared" si="40"/>
        <v>200000</v>
      </c>
      <c r="W88" s="120"/>
      <c r="X88" s="120"/>
      <c r="Y88" s="120"/>
      <c r="Z88" s="120"/>
      <c r="AA88" s="135"/>
      <c r="AB88" s="3" t="s">
        <v>1509</v>
      </c>
      <c r="AC88" s="3">
        <v>810000</v>
      </c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217"/>
      <c r="AW88" s="217"/>
      <c r="AX88" s="217"/>
    </row>
    <row r="89" spans="1:59" s="5" customFormat="1" ht="51.6" customHeight="1">
      <c r="A89" s="135">
        <f t="shared" si="41"/>
        <v>76</v>
      </c>
      <c r="B89" s="19">
        <v>2185</v>
      </c>
      <c r="C89" s="3" t="s">
        <v>429</v>
      </c>
      <c r="D89" s="120">
        <v>40000000</v>
      </c>
      <c r="E89" s="120">
        <v>40000000</v>
      </c>
      <c r="F89" s="120">
        <f t="shared" si="32"/>
        <v>0</v>
      </c>
      <c r="G89" s="120">
        <v>5387282</v>
      </c>
      <c r="H89" s="120">
        <v>3549893</v>
      </c>
      <c r="I89" s="120"/>
      <c r="J89" s="120"/>
      <c r="K89" s="120">
        <f t="shared" si="33"/>
        <v>0</v>
      </c>
      <c r="L89" s="120">
        <f t="shared" si="34"/>
        <v>3549893</v>
      </c>
      <c r="M89" s="120">
        <f>P89+S89-1500000-330000</f>
        <v>7389</v>
      </c>
      <c r="N89" s="120">
        <f>30214093+1500000-12200000-10000000+330000-4000000</f>
        <v>5844093</v>
      </c>
      <c r="O89" s="120">
        <f t="shared" si="35"/>
        <v>30598625</v>
      </c>
      <c r="P89" s="120">
        <f t="shared" si="36"/>
        <v>1837389</v>
      </c>
      <c r="Q89" s="357">
        <f>4398625-4398625</f>
        <v>0</v>
      </c>
      <c r="R89" s="120"/>
      <c r="S89" s="120">
        <f t="shared" si="37"/>
        <v>0</v>
      </c>
      <c r="T89" s="120">
        <f t="shared" si="38"/>
        <v>1830000</v>
      </c>
      <c r="U89" s="120">
        <f t="shared" si="39"/>
        <v>4014093</v>
      </c>
      <c r="V89" s="120">
        <f t="shared" si="40"/>
        <v>4014093</v>
      </c>
      <c r="W89" s="120"/>
      <c r="X89" s="120"/>
      <c r="Y89" s="120"/>
      <c r="Z89" s="120"/>
      <c r="AA89" s="135"/>
      <c r="AB89" s="3" t="s">
        <v>828</v>
      </c>
      <c r="AC89" s="342">
        <v>810000</v>
      </c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217"/>
      <c r="AW89" s="217"/>
      <c r="AX89" s="217"/>
    </row>
    <row r="90" spans="1:59" s="5" customFormat="1" ht="45" customHeight="1">
      <c r="A90" s="135">
        <f t="shared" si="41"/>
        <v>77</v>
      </c>
      <c r="B90" s="19">
        <v>2201</v>
      </c>
      <c r="C90" s="3" t="s">
        <v>476</v>
      </c>
      <c r="D90" s="120">
        <f>130000000-10000000</f>
        <v>120000000</v>
      </c>
      <c r="E90" s="120">
        <v>80000000</v>
      </c>
      <c r="F90" s="120">
        <f t="shared" si="32"/>
        <v>40000000</v>
      </c>
      <c r="G90" s="120">
        <f>2500000+2000000</f>
        <v>4500000</v>
      </c>
      <c r="H90" s="120">
        <v>6690820</v>
      </c>
      <c r="I90" s="120"/>
      <c r="J90" s="120"/>
      <c r="K90" s="120">
        <f t="shared" si="33"/>
        <v>0</v>
      </c>
      <c r="L90" s="120">
        <f t="shared" si="34"/>
        <v>6690820</v>
      </c>
      <c r="M90" s="120">
        <f>P90+S90-2880000</f>
        <v>5935</v>
      </c>
      <c r="N90" s="120">
        <f>50000000+10000000-40000000+2880000-4000000</f>
        <v>18880000</v>
      </c>
      <c r="O90" s="120">
        <f t="shared" si="35"/>
        <v>94423245</v>
      </c>
      <c r="P90" s="120">
        <f t="shared" si="36"/>
        <v>-2190820</v>
      </c>
      <c r="Q90" s="357">
        <v>5076755</v>
      </c>
      <c r="R90" s="120"/>
      <c r="S90" s="120">
        <f t="shared" si="37"/>
        <v>5076755</v>
      </c>
      <c r="T90" s="120">
        <f t="shared" si="38"/>
        <v>2880000</v>
      </c>
      <c r="U90" s="120">
        <f t="shared" si="39"/>
        <v>16000000</v>
      </c>
      <c r="V90" s="120">
        <f t="shared" si="40"/>
        <v>16000000</v>
      </c>
      <c r="W90" s="120"/>
      <c r="X90" s="120"/>
      <c r="Y90" s="120"/>
      <c r="Z90" s="120"/>
      <c r="AA90" s="135"/>
      <c r="AB90" s="3" t="s">
        <v>829</v>
      </c>
      <c r="AC90" s="3">
        <v>810000</v>
      </c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217"/>
      <c r="AW90" s="217"/>
      <c r="AX90" s="217"/>
    </row>
    <row r="91" spans="1:59" s="5" customFormat="1" ht="73.95" customHeight="1">
      <c r="A91" s="135">
        <f t="shared" si="41"/>
        <v>78</v>
      </c>
      <c r="B91" s="19">
        <v>2202</v>
      </c>
      <c r="C91" s="3" t="s">
        <v>477</v>
      </c>
      <c r="D91" s="120">
        <v>49000000</v>
      </c>
      <c r="E91" s="120">
        <v>49000000</v>
      </c>
      <c r="F91" s="120">
        <f t="shared" si="32"/>
        <v>0</v>
      </c>
      <c r="G91" s="120">
        <v>1200000</v>
      </c>
      <c r="H91" s="120">
        <v>1195951</v>
      </c>
      <c r="I91" s="120"/>
      <c r="J91" s="120">
        <v>838</v>
      </c>
      <c r="K91" s="120">
        <f t="shared" si="33"/>
        <v>838</v>
      </c>
      <c r="L91" s="120">
        <f t="shared" si="34"/>
        <v>1196789</v>
      </c>
      <c r="M91" s="120">
        <f>P91+S91</f>
        <v>3211</v>
      </c>
      <c r="N91" s="120">
        <f>25000000-11000000-14000000</f>
        <v>0</v>
      </c>
      <c r="O91" s="120">
        <f t="shared" si="35"/>
        <v>47800000</v>
      </c>
      <c r="P91" s="120">
        <f t="shared" si="36"/>
        <v>3211</v>
      </c>
      <c r="Q91" s="357"/>
      <c r="R91" s="120"/>
      <c r="S91" s="120">
        <f t="shared" si="37"/>
        <v>0</v>
      </c>
      <c r="T91" s="120">
        <f t="shared" si="38"/>
        <v>0</v>
      </c>
      <c r="U91" s="120">
        <f t="shared" si="39"/>
        <v>0</v>
      </c>
      <c r="V91" s="120">
        <f t="shared" si="40"/>
        <v>0</v>
      </c>
      <c r="W91" s="120"/>
      <c r="X91" s="120"/>
      <c r="Y91" s="120"/>
      <c r="Z91" s="120"/>
      <c r="AA91" s="135"/>
      <c r="AB91" s="3" t="s">
        <v>634</v>
      </c>
      <c r="AC91" s="3">
        <v>810000</v>
      </c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217"/>
      <c r="AW91" s="217"/>
      <c r="AX91" s="217"/>
    </row>
    <row r="92" spans="1:59" s="5" customFormat="1" ht="31.95" customHeight="1">
      <c r="A92" s="135">
        <f t="shared" si="41"/>
        <v>79</v>
      </c>
      <c r="B92" s="19">
        <v>2205</v>
      </c>
      <c r="C92" s="3" t="s">
        <v>438</v>
      </c>
      <c r="D92" s="120">
        <f>18000000+275000</f>
        <v>18275000</v>
      </c>
      <c r="E92" s="120">
        <v>18000000</v>
      </c>
      <c r="F92" s="120">
        <f t="shared" si="32"/>
        <v>275000</v>
      </c>
      <c r="G92" s="120">
        <f>10000000+2000000</f>
        <v>12000000</v>
      </c>
      <c r="H92" s="120">
        <v>16546009</v>
      </c>
      <c r="I92" s="120"/>
      <c r="J92" s="120">
        <v>22511</v>
      </c>
      <c r="K92" s="120">
        <f t="shared" si="33"/>
        <v>22511</v>
      </c>
      <c r="L92" s="120">
        <f t="shared" si="34"/>
        <v>16568520</v>
      </c>
      <c r="M92" s="120">
        <f>P92+S92-1430000</f>
        <v>1480</v>
      </c>
      <c r="N92" s="120">
        <f>275000+1430000</f>
        <v>1705000</v>
      </c>
      <c r="O92" s="120">
        <f t="shared" si="35"/>
        <v>0</v>
      </c>
      <c r="P92" s="120">
        <f t="shared" si="36"/>
        <v>-4568520</v>
      </c>
      <c r="Q92" s="357">
        <f>8000000-2000000</f>
        <v>6000000</v>
      </c>
      <c r="R92" s="120"/>
      <c r="S92" s="120">
        <f t="shared" si="37"/>
        <v>6000000</v>
      </c>
      <c r="T92" s="120">
        <f t="shared" si="38"/>
        <v>1430000</v>
      </c>
      <c r="U92" s="120">
        <f t="shared" si="39"/>
        <v>275000</v>
      </c>
      <c r="V92" s="120">
        <f t="shared" si="40"/>
        <v>275000</v>
      </c>
      <c r="W92" s="120"/>
      <c r="X92" s="120"/>
      <c r="Y92" s="120"/>
      <c r="Z92" s="120"/>
      <c r="AA92" s="135"/>
      <c r="AB92" s="19" t="s">
        <v>830</v>
      </c>
      <c r="AC92" s="342">
        <v>810000</v>
      </c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217"/>
      <c r="AW92" s="217"/>
      <c r="AX92" s="217"/>
    </row>
    <row r="93" spans="1:59" s="5" customFormat="1" ht="57" customHeight="1">
      <c r="A93" s="135">
        <f t="shared" si="41"/>
        <v>80</v>
      </c>
      <c r="B93" s="19">
        <v>2206</v>
      </c>
      <c r="C93" s="3" t="s">
        <v>478</v>
      </c>
      <c r="D93" s="120">
        <v>92000000</v>
      </c>
      <c r="E93" s="120">
        <v>92000000</v>
      </c>
      <c r="F93" s="120">
        <f t="shared" si="32"/>
        <v>0</v>
      </c>
      <c r="G93" s="120">
        <v>2273187</v>
      </c>
      <c r="H93" s="120">
        <v>2849931</v>
      </c>
      <c r="I93" s="120"/>
      <c r="J93" s="120"/>
      <c r="K93" s="120">
        <f t="shared" si="33"/>
        <v>0</v>
      </c>
      <c r="L93" s="120">
        <f t="shared" si="34"/>
        <v>2849931</v>
      </c>
      <c r="M93" s="120">
        <f>P93+S93</f>
        <v>16620</v>
      </c>
      <c r="N93" s="120">
        <f>36000000-9000000-9000000-5000000</f>
        <v>13000000</v>
      </c>
      <c r="O93" s="120">
        <f t="shared" si="35"/>
        <v>76133449</v>
      </c>
      <c r="P93" s="120">
        <f t="shared" si="36"/>
        <v>-576744</v>
      </c>
      <c r="Q93" s="357">
        <v>593364</v>
      </c>
      <c r="R93" s="120"/>
      <c r="S93" s="120">
        <f t="shared" si="37"/>
        <v>593364</v>
      </c>
      <c r="T93" s="120">
        <f t="shared" si="38"/>
        <v>0</v>
      </c>
      <c r="U93" s="120">
        <f t="shared" si="39"/>
        <v>13000000</v>
      </c>
      <c r="V93" s="120">
        <f t="shared" si="40"/>
        <v>13000000</v>
      </c>
      <c r="W93" s="120"/>
      <c r="X93" s="120"/>
      <c r="Y93" s="120"/>
      <c r="Z93" s="120"/>
      <c r="AA93" s="135"/>
      <c r="AB93" s="20" t="s">
        <v>831</v>
      </c>
      <c r="AC93" s="3">
        <v>810000</v>
      </c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217"/>
      <c r="AW93" s="217"/>
      <c r="AX93" s="217"/>
    </row>
    <row r="94" spans="1:59" s="157" customFormat="1" ht="50.4" customHeight="1">
      <c r="A94" s="135">
        <f t="shared" si="41"/>
        <v>81</v>
      </c>
      <c r="B94" s="19">
        <v>2209</v>
      </c>
      <c r="C94" s="3" t="s">
        <v>480</v>
      </c>
      <c r="D94" s="120">
        <v>46500000</v>
      </c>
      <c r="E94" s="120">
        <v>46500000</v>
      </c>
      <c r="F94" s="120">
        <f t="shared" si="32"/>
        <v>0</v>
      </c>
      <c r="G94" s="120">
        <v>1500000</v>
      </c>
      <c r="H94" s="120">
        <v>1045608</v>
      </c>
      <c r="I94" s="120"/>
      <c r="J94" s="120"/>
      <c r="K94" s="120">
        <f t="shared" si="33"/>
        <v>0</v>
      </c>
      <c r="L94" s="120">
        <f t="shared" si="34"/>
        <v>1045608</v>
      </c>
      <c r="M94" s="120">
        <f>P94+S94-450000</f>
        <v>4392</v>
      </c>
      <c r="N94" s="120">
        <f>25000000-13000000-4000000+450000-2000000-1000000-450000</f>
        <v>5000000</v>
      </c>
      <c r="O94" s="120">
        <f t="shared" si="35"/>
        <v>40450000</v>
      </c>
      <c r="P94" s="120">
        <f t="shared" si="36"/>
        <v>454392</v>
      </c>
      <c r="Q94" s="357"/>
      <c r="R94" s="120"/>
      <c r="S94" s="120">
        <f t="shared" si="37"/>
        <v>0</v>
      </c>
      <c r="T94" s="120">
        <f t="shared" si="38"/>
        <v>450000</v>
      </c>
      <c r="U94" s="120">
        <f t="shared" si="39"/>
        <v>4550000</v>
      </c>
      <c r="V94" s="120">
        <f t="shared" si="40"/>
        <v>4550000</v>
      </c>
      <c r="W94" s="120"/>
      <c r="X94" s="120"/>
      <c r="Y94" s="120"/>
      <c r="Z94" s="120"/>
      <c r="AA94" s="135"/>
      <c r="AB94" s="19" t="s">
        <v>832</v>
      </c>
      <c r="AC94" s="3">
        <v>810000</v>
      </c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217"/>
      <c r="AW94" s="217"/>
      <c r="AX94" s="217"/>
      <c r="AY94" s="5"/>
      <c r="AZ94" s="5"/>
      <c r="BA94" s="5"/>
      <c r="BB94" s="5"/>
      <c r="BC94" s="5"/>
      <c r="BD94" s="5"/>
      <c r="BE94" s="5"/>
      <c r="BF94" s="5"/>
      <c r="BG94" s="5"/>
    </row>
    <row r="95" spans="1:59" s="5" customFormat="1" ht="55.2" customHeight="1">
      <c r="A95" s="135">
        <f t="shared" si="41"/>
        <v>82</v>
      </c>
      <c r="B95" s="19">
        <v>20010</v>
      </c>
      <c r="C95" s="3" t="s">
        <v>635</v>
      </c>
      <c r="D95" s="120">
        <v>7000000</v>
      </c>
      <c r="E95" s="120">
        <v>7000000</v>
      </c>
      <c r="F95" s="120">
        <f t="shared" si="32"/>
        <v>0</v>
      </c>
      <c r="G95" s="120">
        <v>500000</v>
      </c>
      <c r="H95" s="120">
        <v>39342</v>
      </c>
      <c r="I95" s="120"/>
      <c r="J95" s="120"/>
      <c r="K95" s="120">
        <f t="shared" si="33"/>
        <v>0</v>
      </c>
      <c r="L95" s="120">
        <f t="shared" si="34"/>
        <v>39342</v>
      </c>
      <c r="M95" s="120">
        <f>P95+S95-460658</f>
        <v>0</v>
      </c>
      <c r="N95" s="120"/>
      <c r="O95" s="120">
        <f t="shared" si="35"/>
        <v>6960658</v>
      </c>
      <c r="P95" s="120">
        <f t="shared" si="36"/>
        <v>460658</v>
      </c>
      <c r="Q95" s="357"/>
      <c r="R95" s="120"/>
      <c r="S95" s="120">
        <f t="shared" si="37"/>
        <v>0</v>
      </c>
      <c r="T95" s="120">
        <f t="shared" si="38"/>
        <v>460658</v>
      </c>
      <c r="U95" s="120">
        <f t="shared" si="39"/>
        <v>-460658</v>
      </c>
      <c r="V95" s="120">
        <f t="shared" si="40"/>
        <v>-460658</v>
      </c>
      <c r="W95" s="120"/>
      <c r="X95" s="120"/>
      <c r="Y95" s="120"/>
      <c r="Z95" s="120"/>
      <c r="AA95" s="135"/>
      <c r="AB95" s="3" t="s">
        <v>1429</v>
      </c>
      <c r="AC95" s="3">
        <v>810000</v>
      </c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217"/>
      <c r="AW95" s="217"/>
      <c r="AX95" s="217"/>
    </row>
    <row r="96" spans="1:59" s="5" customFormat="1" ht="36.6" customHeight="1">
      <c r="A96" s="135">
        <f t="shared" si="41"/>
        <v>83</v>
      </c>
      <c r="B96" s="19">
        <v>20011</v>
      </c>
      <c r="C96" s="3" t="s">
        <v>1317</v>
      </c>
      <c r="D96" s="120">
        <f>18500000+3000000</f>
        <v>21500000</v>
      </c>
      <c r="E96" s="120">
        <v>18500000</v>
      </c>
      <c r="F96" s="120">
        <f t="shared" si="32"/>
        <v>3000000</v>
      </c>
      <c r="G96" s="120">
        <v>600000</v>
      </c>
      <c r="H96" s="120">
        <v>881319</v>
      </c>
      <c r="I96" s="120"/>
      <c r="J96" s="120"/>
      <c r="K96" s="120">
        <f t="shared" si="33"/>
        <v>0</v>
      </c>
      <c r="L96" s="120">
        <f t="shared" si="34"/>
        <v>881319</v>
      </c>
      <c r="M96" s="120">
        <f>P96+S96-110000</f>
        <v>8681</v>
      </c>
      <c r="N96" s="120">
        <f>20500000-13500000-500000+110000-500000</f>
        <v>6110000</v>
      </c>
      <c r="O96" s="120">
        <f t="shared" si="35"/>
        <v>14500000</v>
      </c>
      <c r="P96" s="120">
        <f t="shared" si="36"/>
        <v>-281319</v>
      </c>
      <c r="Q96" s="357">
        <v>400000</v>
      </c>
      <c r="R96" s="120"/>
      <c r="S96" s="120">
        <f t="shared" si="37"/>
        <v>400000</v>
      </c>
      <c r="T96" s="120">
        <f t="shared" si="38"/>
        <v>110000</v>
      </c>
      <c r="U96" s="120">
        <f t="shared" si="39"/>
        <v>6000000</v>
      </c>
      <c r="V96" s="120">
        <f t="shared" si="40"/>
        <v>500490</v>
      </c>
      <c r="W96" s="120"/>
      <c r="X96" s="120"/>
      <c r="Y96" s="120"/>
      <c r="Z96" s="120"/>
      <c r="AA96" s="120">
        <f>1748816+244834+1500000+1600000+405860</f>
        <v>5499510</v>
      </c>
      <c r="AB96" s="3" t="s">
        <v>1430</v>
      </c>
      <c r="AC96" s="3">
        <v>810000</v>
      </c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217"/>
      <c r="AW96" s="217"/>
      <c r="AX96" s="217"/>
    </row>
    <row r="97" spans="1:59" s="5" customFormat="1" ht="33" customHeight="1">
      <c r="A97" s="135">
        <f t="shared" si="41"/>
        <v>84</v>
      </c>
      <c r="B97" s="19">
        <v>20013</v>
      </c>
      <c r="C97" s="3" t="s">
        <v>736</v>
      </c>
      <c r="D97" s="120">
        <f>1000000+21000000-21000000</f>
        <v>1000000</v>
      </c>
      <c r="E97" s="120">
        <v>1000000</v>
      </c>
      <c r="F97" s="120">
        <f t="shared" si="32"/>
        <v>0</v>
      </c>
      <c r="G97" s="120">
        <v>550000</v>
      </c>
      <c r="H97" s="120">
        <v>637852</v>
      </c>
      <c r="I97" s="120"/>
      <c r="J97" s="120"/>
      <c r="K97" s="120">
        <f t="shared" si="33"/>
        <v>0</v>
      </c>
      <c r="L97" s="120">
        <f t="shared" si="34"/>
        <v>637852</v>
      </c>
      <c r="M97" s="120">
        <f>P97+S97-360000</f>
        <v>2148</v>
      </c>
      <c r="N97" s="120">
        <v>360000</v>
      </c>
      <c r="O97" s="120">
        <f t="shared" si="35"/>
        <v>0</v>
      </c>
      <c r="P97" s="120">
        <f t="shared" si="36"/>
        <v>-87852</v>
      </c>
      <c r="Q97" s="357">
        <v>450000</v>
      </c>
      <c r="R97" s="120"/>
      <c r="S97" s="120">
        <f t="shared" si="37"/>
        <v>450000</v>
      </c>
      <c r="T97" s="120">
        <f t="shared" si="38"/>
        <v>360000</v>
      </c>
      <c r="U97" s="120">
        <f t="shared" si="39"/>
        <v>0</v>
      </c>
      <c r="V97" s="120">
        <f t="shared" si="40"/>
        <v>0</v>
      </c>
      <c r="W97" s="120"/>
      <c r="X97" s="120"/>
      <c r="Y97" s="120"/>
      <c r="Z97" s="120"/>
      <c r="AA97" s="135"/>
      <c r="AB97" s="3" t="s">
        <v>656</v>
      </c>
      <c r="AC97" s="3">
        <v>810000</v>
      </c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217"/>
      <c r="AW97" s="217"/>
      <c r="AX97" s="217"/>
    </row>
    <row r="98" spans="1:59" s="5" customFormat="1" ht="70.2" customHeight="1">
      <c r="A98" s="135">
        <f t="shared" si="41"/>
        <v>85</v>
      </c>
      <c r="B98" s="19">
        <v>20028</v>
      </c>
      <c r="C98" s="3" t="s">
        <v>660</v>
      </c>
      <c r="D98" s="120">
        <f>620000-21384</f>
        <v>598616</v>
      </c>
      <c r="E98" s="120">
        <v>620000</v>
      </c>
      <c r="F98" s="120">
        <f t="shared" si="32"/>
        <v>-21384</v>
      </c>
      <c r="G98" s="120">
        <v>620000</v>
      </c>
      <c r="H98" s="120">
        <v>598616</v>
      </c>
      <c r="I98" s="120"/>
      <c r="J98" s="120"/>
      <c r="K98" s="120">
        <f t="shared" si="33"/>
        <v>0</v>
      </c>
      <c r="L98" s="120">
        <f t="shared" si="34"/>
        <v>598616</v>
      </c>
      <c r="M98" s="120">
        <f>P98+S98-21384</f>
        <v>0</v>
      </c>
      <c r="N98" s="120"/>
      <c r="O98" s="120">
        <f t="shared" si="35"/>
        <v>0</v>
      </c>
      <c r="P98" s="120">
        <f t="shared" si="36"/>
        <v>21384</v>
      </c>
      <c r="Q98" s="357"/>
      <c r="R98" s="120"/>
      <c r="S98" s="120">
        <f t="shared" si="37"/>
        <v>0</v>
      </c>
      <c r="T98" s="120">
        <f t="shared" si="38"/>
        <v>21384</v>
      </c>
      <c r="U98" s="120">
        <f t="shared" si="39"/>
        <v>-21384</v>
      </c>
      <c r="V98" s="120">
        <f t="shared" si="40"/>
        <v>0</v>
      </c>
      <c r="W98" s="120">
        <v>-21384</v>
      </c>
      <c r="X98" s="120"/>
      <c r="Y98" s="120"/>
      <c r="Z98" s="120"/>
      <c r="AA98" s="135"/>
      <c r="AB98" s="3" t="s">
        <v>1462</v>
      </c>
      <c r="AC98" s="3">
        <v>810000</v>
      </c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217"/>
      <c r="AW98" s="217"/>
      <c r="AX98" s="217"/>
      <c r="AY98"/>
      <c r="AZ98"/>
      <c r="BA98"/>
      <c r="BB98"/>
      <c r="BC98"/>
      <c r="BD98"/>
      <c r="BE98"/>
      <c r="BF98"/>
      <c r="BG98"/>
    </row>
    <row r="99" spans="1:59" s="5" customFormat="1" ht="63.6" customHeight="1">
      <c r="A99" s="135">
        <f t="shared" si="41"/>
        <v>86</v>
      </c>
      <c r="B99" s="3">
        <v>20082</v>
      </c>
      <c r="C99" s="3" t="s">
        <v>927</v>
      </c>
      <c r="D99" s="120">
        <v>500000</v>
      </c>
      <c r="E99" s="120">
        <v>500000</v>
      </c>
      <c r="F99" s="120">
        <f t="shared" si="32"/>
        <v>0</v>
      </c>
      <c r="G99" s="120">
        <v>500000</v>
      </c>
      <c r="H99" s="120">
        <v>7131</v>
      </c>
      <c r="I99" s="120"/>
      <c r="J99" s="120"/>
      <c r="K99" s="120">
        <f t="shared" si="33"/>
        <v>0</v>
      </c>
      <c r="L99" s="120">
        <f t="shared" si="34"/>
        <v>7131</v>
      </c>
      <c r="M99" s="120">
        <f>P99+S99-490000</f>
        <v>2869</v>
      </c>
      <c r="N99" s="120">
        <v>490000</v>
      </c>
      <c r="O99" s="120">
        <f t="shared" si="35"/>
        <v>0</v>
      </c>
      <c r="P99" s="120">
        <f t="shared" si="36"/>
        <v>492869</v>
      </c>
      <c r="Q99" s="357"/>
      <c r="R99" s="120"/>
      <c r="S99" s="120">
        <f t="shared" si="37"/>
        <v>0</v>
      </c>
      <c r="T99" s="120">
        <f t="shared" si="38"/>
        <v>490000</v>
      </c>
      <c r="U99" s="120">
        <f t="shared" si="39"/>
        <v>0</v>
      </c>
      <c r="V99" s="120">
        <f t="shared" si="40"/>
        <v>0</v>
      </c>
      <c r="W99" s="120"/>
      <c r="X99" s="120"/>
      <c r="Y99" s="120"/>
      <c r="Z99" s="120"/>
      <c r="AA99" s="135"/>
      <c r="AB99" s="3" t="s">
        <v>949</v>
      </c>
      <c r="AC99" s="3">
        <v>810000</v>
      </c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217"/>
      <c r="AW99" s="217"/>
      <c r="AX99" s="217"/>
    </row>
    <row r="100" spans="1:59" s="5" customFormat="1" ht="52.2" customHeight="1">
      <c r="A100" s="135">
        <f t="shared" si="41"/>
        <v>87</v>
      </c>
      <c r="B100" s="448">
        <v>20083</v>
      </c>
      <c r="C100" s="448" t="s">
        <v>928</v>
      </c>
      <c r="D100" s="419">
        <v>500000</v>
      </c>
      <c r="E100" s="419">
        <v>500000</v>
      </c>
      <c r="F100" s="419">
        <f t="shared" si="32"/>
        <v>0</v>
      </c>
      <c r="G100" s="419">
        <v>500000</v>
      </c>
      <c r="H100" s="419">
        <v>0</v>
      </c>
      <c r="I100" s="419"/>
      <c r="J100" s="419"/>
      <c r="K100" s="419">
        <f t="shared" si="33"/>
        <v>0</v>
      </c>
      <c r="L100" s="419">
        <f t="shared" si="34"/>
        <v>0</v>
      </c>
      <c r="M100" s="419">
        <f>P100+S100-500000</f>
        <v>0</v>
      </c>
      <c r="N100" s="419">
        <v>250000</v>
      </c>
      <c r="O100" s="419">
        <f t="shared" si="35"/>
        <v>250000</v>
      </c>
      <c r="P100" s="419">
        <f t="shared" si="36"/>
        <v>500000</v>
      </c>
      <c r="Q100" s="626"/>
      <c r="R100" s="419"/>
      <c r="S100" s="419">
        <f t="shared" si="37"/>
        <v>0</v>
      </c>
      <c r="T100" s="419">
        <f t="shared" si="38"/>
        <v>500000</v>
      </c>
      <c r="U100" s="419">
        <f t="shared" si="39"/>
        <v>-250000</v>
      </c>
      <c r="V100" s="419">
        <f t="shared" si="40"/>
        <v>-250000</v>
      </c>
      <c r="W100" s="419"/>
      <c r="X100" s="419"/>
      <c r="Y100" s="419"/>
      <c r="Z100" s="419"/>
      <c r="AA100" s="469"/>
      <c r="AB100" s="448" t="s">
        <v>948</v>
      </c>
      <c r="AC100" s="448">
        <v>810000</v>
      </c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750"/>
      <c r="AW100" s="750"/>
      <c r="AX100" s="750"/>
      <c r="AY100" s="452"/>
      <c r="AZ100" s="452"/>
      <c r="BA100" s="452"/>
      <c r="BB100" s="452"/>
      <c r="BC100" s="452"/>
      <c r="BD100" s="452"/>
      <c r="BE100" s="452"/>
      <c r="BF100" s="452"/>
      <c r="BG100" s="452"/>
    </row>
    <row r="101" spans="1:59" s="5" customFormat="1" ht="77.400000000000006" customHeight="1">
      <c r="A101" s="135">
        <f t="shared" si="41"/>
        <v>88</v>
      </c>
      <c r="B101" s="19">
        <v>20110</v>
      </c>
      <c r="C101" s="135" t="s">
        <v>965</v>
      </c>
      <c r="D101" s="120">
        <v>600000</v>
      </c>
      <c r="E101" s="120"/>
      <c r="F101" s="120">
        <f t="shared" si="32"/>
        <v>600000</v>
      </c>
      <c r="G101" s="120">
        <v>0</v>
      </c>
      <c r="H101" s="120"/>
      <c r="I101" s="120"/>
      <c r="J101" s="120"/>
      <c r="K101" s="120">
        <f>I101+J101</f>
        <v>0</v>
      </c>
      <c r="L101" s="120">
        <f>H101+K101</f>
        <v>0</v>
      </c>
      <c r="M101" s="120">
        <f>P101+S101</f>
        <v>0</v>
      </c>
      <c r="N101" s="120">
        <f>600000-100000</f>
        <v>500000</v>
      </c>
      <c r="O101" s="120">
        <f t="shared" si="35"/>
        <v>100000</v>
      </c>
      <c r="P101" s="120">
        <f t="shared" si="36"/>
        <v>0</v>
      </c>
      <c r="Q101" s="120"/>
      <c r="R101" s="120"/>
      <c r="S101" s="120">
        <f t="shared" si="37"/>
        <v>0</v>
      </c>
      <c r="T101" s="120">
        <f t="shared" si="38"/>
        <v>0</v>
      </c>
      <c r="U101" s="120">
        <f t="shared" si="39"/>
        <v>500000</v>
      </c>
      <c r="V101" s="120">
        <f>U101-W101-Z101-AA101-Y101</f>
        <v>0</v>
      </c>
      <c r="W101" s="120"/>
      <c r="X101" s="120"/>
      <c r="Y101" s="120">
        <v>500000</v>
      </c>
      <c r="Z101" s="120"/>
      <c r="AA101" s="120"/>
      <c r="AB101" s="3" t="s">
        <v>1411</v>
      </c>
      <c r="AC101" s="3">
        <v>810000</v>
      </c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272"/>
      <c r="AZ101" s="272"/>
      <c r="BA101" s="272"/>
      <c r="BB101" s="272"/>
      <c r="BC101" s="272"/>
      <c r="BD101" s="272"/>
      <c r="BE101" s="272"/>
      <c r="BF101" s="272"/>
      <c r="BG101" s="272"/>
    </row>
    <row r="102" spans="1:59" s="5" customFormat="1" ht="56.4" customHeight="1">
      <c r="A102" s="135">
        <f t="shared" si="41"/>
        <v>89</v>
      </c>
      <c r="B102" s="19">
        <v>20114</v>
      </c>
      <c r="C102" s="135" t="s">
        <v>1377</v>
      </c>
      <c r="D102" s="120">
        <v>5000000</v>
      </c>
      <c r="E102" s="120"/>
      <c r="F102" s="120">
        <f t="shared" si="32"/>
        <v>5000000</v>
      </c>
      <c r="G102" s="120"/>
      <c r="H102" s="120"/>
      <c r="I102" s="120"/>
      <c r="J102" s="120"/>
      <c r="K102" s="120"/>
      <c r="L102" s="120"/>
      <c r="M102" s="120"/>
      <c r="N102" s="120">
        <f>5000000-3000000</f>
        <v>2000000</v>
      </c>
      <c r="O102" s="120">
        <f t="shared" si="35"/>
        <v>3000000</v>
      </c>
      <c r="P102" s="120"/>
      <c r="Q102" s="120"/>
      <c r="R102" s="120"/>
      <c r="S102" s="120"/>
      <c r="T102" s="120"/>
      <c r="U102" s="120">
        <f t="shared" si="39"/>
        <v>2000000</v>
      </c>
      <c r="V102" s="120">
        <f>U102-W102-Z102-AA102</f>
        <v>1790000</v>
      </c>
      <c r="W102" s="120"/>
      <c r="X102" s="120"/>
      <c r="Y102" s="120"/>
      <c r="Z102" s="120"/>
      <c r="AA102" s="120">
        <f>70000*3</f>
        <v>210000</v>
      </c>
      <c r="AB102" s="3" t="s">
        <v>1410</v>
      </c>
      <c r="AC102" s="3">
        <v>810000</v>
      </c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</row>
    <row r="103" spans="1:59" s="5" customFormat="1" ht="61.95" customHeight="1">
      <c r="A103" s="135">
        <f t="shared" si="41"/>
        <v>90</v>
      </c>
      <c r="B103" s="135">
        <v>1908</v>
      </c>
      <c r="C103" s="135" t="s">
        <v>115</v>
      </c>
      <c r="D103" s="120">
        <f>19054496-849</f>
        <v>19053647</v>
      </c>
      <c r="E103" s="120">
        <v>19054496</v>
      </c>
      <c r="F103" s="120">
        <f t="shared" si="32"/>
        <v>-849</v>
      </c>
      <c r="G103" s="120">
        <v>19054496</v>
      </c>
      <c r="H103" s="120">
        <v>19053647</v>
      </c>
      <c r="I103" s="120"/>
      <c r="J103" s="120"/>
      <c r="K103" s="120">
        <f t="shared" ref="K103:K109" si="42">SUM(I103:J103)</f>
        <v>0</v>
      </c>
      <c r="L103" s="120">
        <f t="shared" ref="L103:L109" si="43">K103+H103</f>
        <v>19053647</v>
      </c>
      <c r="M103" s="120">
        <f>P103+S103-849</f>
        <v>0</v>
      </c>
      <c r="N103" s="120"/>
      <c r="O103" s="120">
        <f t="shared" si="35"/>
        <v>0</v>
      </c>
      <c r="P103" s="120">
        <f t="shared" ref="P103:P109" si="44">G103-L103</f>
        <v>849</v>
      </c>
      <c r="Q103" s="357"/>
      <c r="R103" s="120"/>
      <c r="S103" s="120">
        <f t="shared" ref="S103:S109" si="45">SUM(Q103:R103)</f>
        <v>0</v>
      </c>
      <c r="T103" s="120">
        <f t="shared" ref="T103:T109" si="46">P103-M103+S103</f>
        <v>849</v>
      </c>
      <c r="U103" s="120">
        <f t="shared" si="39"/>
        <v>-849</v>
      </c>
      <c r="V103" s="120">
        <f t="shared" ref="V103:V109" si="47">U103-Z103-X103-AA103-W103-Y103</f>
        <v>-849</v>
      </c>
      <c r="W103" s="120"/>
      <c r="X103" s="120"/>
      <c r="Y103" s="120"/>
      <c r="Z103" s="120"/>
      <c r="AA103" s="135"/>
      <c r="AB103" s="224" t="s">
        <v>1469</v>
      </c>
      <c r="AC103" s="135">
        <v>810000</v>
      </c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217"/>
      <c r="AW103" s="217"/>
      <c r="AX103" s="217"/>
      <c r="AY103" s="134"/>
      <c r="AZ103" s="134"/>
      <c r="BA103" s="134"/>
      <c r="BB103" s="134"/>
      <c r="BC103" s="134"/>
      <c r="BD103" s="134"/>
      <c r="BE103" s="134"/>
      <c r="BF103" s="134"/>
      <c r="BG103" s="134"/>
    </row>
    <row r="104" spans="1:59" s="5" customFormat="1" ht="37.950000000000003" customHeight="1">
      <c r="A104" s="135">
        <f t="shared" si="41"/>
        <v>91</v>
      </c>
      <c r="B104" s="220">
        <v>1909</v>
      </c>
      <c r="C104" s="135" t="s">
        <v>412</v>
      </c>
      <c r="D104" s="120">
        <v>184500000</v>
      </c>
      <c r="E104" s="120">
        <v>184500000</v>
      </c>
      <c r="F104" s="120">
        <f t="shared" si="32"/>
        <v>0</v>
      </c>
      <c r="G104" s="120">
        <v>169145785</v>
      </c>
      <c r="H104" s="120">
        <v>169128282</v>
      </c>
      <c r="I104" s="120"/>
      <c r="J104" s="120"/>
      <c r="K104" s="120">
        <f t="shared" si="42"/>
        <v>0</v>
      </c>
      <c r="L104" s="120">
        <f t="shared" si="43"/>
        <v>169128282</v>
      </c>
      <c r="M104" s="120">
        <f>P104+S104-15000</f>
        <v>2503</v>
      </c>
      <c r="N104" s="120">
        <f>15354215+15000-4000000</f>
        <v>11369215</v>
      </c>
      <c r="O104" s="120">
        <f t="shared" si="35"/>
        <v>4000000</v>
      </c>
      <c r="P104" s="120">
        <f t="shared" si="44"/>
        <v>17503</v>
      </c>
      <c r="Q104" s="357"/>
      <c r="R104" s="120"/>
      <c r="S104" s="120">
        <f t="shared" si="45"/>
        <v>0</v>
      </c>
      <c r="T104" s="120">
        <f t="shared" si="46"/>
        <v>15000</v>
      </c>
      <c r="U104" s="120">
        <f t="shared" si="39"/>
        <v>11354215</v>
      </c>
      <c r="V104" s="120">
        <f t="shared" si="47"/>
        <v>6147109</v>
      </c>
      <c r="W104" s="120"/>
      <c r="X104" s="120"/>
      <c r="Y104" s="120"/>
      <c r="Z104" s="120"/>
      <c r="AA104" s="120">
        <f>4470073+737033</f>
        <v>5207106</v>
      </c>
      <c r="AB104" s="221" t="s">
        <v>701</v>
      </c>
      <c r="AC104" s="135">
        <v>810000</v>
      </c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217"/>
      <c r="AW104" s="217"/>
      <c r="AX104" s="217"/>
      <c r="AY104" s="131"/>
      <c r="AZ104" s="131"/>
      <c r="BA104" s="131"/>
      <c r="BB104" s="131"/>
      <c r="BC104" s="131"/>
      <c r="BD104" s="131"/>
      <c r="BE104" s="131"/>
      <c r="BF104" s="131"/>
      <c r="BG104" s="131"/>
    </row>
    <row r="105" spans="1:59" s="5" customFormat="1" ht="62.4" customHeight="1">
      <c r="A105" s="135">
        <f t="shared" si="41"/>
        <v>92</v>
      </c>
      <c r="B105" s="220">
        <v>1911</v>
      </c>
      <c r="C105" s="135" t="s">
        <v>264</v>
      </c>
      <c r="D105" s="120">
        <f>27236240-300000</f>
        <v>26936240</v>
      </c>
      <c r="E105" s="120">
        <v>27236240</v>
      </c>
      <c r="F105" s="120">
        <f t="shared" si="32"/>
        <v>-300000</v>
      </c>
      <c r="G105" s="120">
        <v>27236240</v>
      </c>
      <c r="H105" s="120">
        <v>26634223</v>
      </c>
      <c r="I105" s="120"/>
      <c r="J105" s="120"/>
      <c r="K105" s="120">
        <f t="shared" si="42"/>
        <v>0</v>
      </c>
      <c r="L105" s="120">
        <f t="shared" si="43"/>
        <v>26634223</v>
      </c>
      <c r="M105" s="120">
        <f>P105+S105-600000</f>
        <v>2017</v>
      </c>
      <c r="N105" s="120">
        <v>300000</v>
      </c>
      <c r="O105" s="120">
        <f t="shared" si="35"/>
        <v>0</v>
      </c>
      <c r="P105" s="120">
        <f t="shared" si="44"/>
        <v>602017</v>
      </c>
      <c r="Q105" s="357"/>
      <c r="R105" s="120"/>
      <c r="S105" s="120">
        <f t="shared" si="45"/>
        <v>0</v>
      </c>
      <c r="T105" s="120">
        <f t="shared" si="46"/>
        <v>600000</v>
      </c>
      <c r="U105" s="120">
        <f t="shared" si="39"/>
        <v>-300000</v>
      </c>
      <c r="V105" s="120">
        <f t="shared" si="47"/>
        <v>-300000</v>
      </c>
      <c r="W105" s="120"/>
      <c r="X105" s="120"/>
      <c r="Y105" s="120"/>
      <c r="Z105" s="120"/>
      <c r="AA105" s="135"/>
      <c r="AB105" s="221" t="s">
        <v>1371</v>
      </c>
      <c r="AC105" s="135">
        <v>810000</v>
      </c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217"/>
      <c r="AW105" s="217"/>
      <c r="AX105" s="217"/>
      <c r="AY105" s="131"/>
      <c r="AZ105" s="131"/>
      <c r="BA105" s="131"/>
      <c r="BB105" s="131"/>
      <c r="BC105" s="131"/>
      <c r="BD105" s="131"/>
      <c r="BE105" s="131"/>
      <c r="BF105" s="131"/>
      <c r="BG105" s="131"/>
    </row>
    <row r="106" spans="1:59" s="5" customFormat="1" ht="37.200000000000003" customHeight="1">
      <c r="A106" s="135">
        <f t="shared" si="41"/>
        <v>93</v>
      </c>
      <c r="B106" s="220">
        <v>1912</v>
      </c>
      <c r="C106" s="135" t="s">
        <v>385</v>
      </c>
      <c r="D106" s="120">
        <v>430000000</v>
      </c>
      <c r="E106" s="120">
        <v>430000000</v>
      </c>
      <c r="F106" s="120">
        <f t="shared" si="32"/>
        <v>0</v>
      </c>
      <c r="G106" s="120">
        <f>287713073+11691178</f>
        <v>299404251</v>
      </c>
      <c r="H106" s="120">
        <v>299054983</v>
      </c>
      <c r="I106" s="120"/>
      <c r="J106" s="120"/>
      <c r="K106" s="120">
        <f t="shared" si="42"/>
        <v>0</v>
      </c>
      <c r="L106" s="120">
        <f t="shared" si="43"/>
        <v>299054983</v>
      </c>
      <c r="M106" s="120">
        <f>P106+S106-345000</f>
        <v>4268</v>
      </c>
      <c r="N106" s="120">
        <f>100000000-30000000+345000-5000000</f>
        <v>65345000</v>
      </c>
      <c r="O106" s="120">
        <f t="shared" si="35"/>
        <v>65595749</v>
      </c>
      <c r="P106" s="120">
        <f t="shared" si="44"/>
        <v>349268</v>
      </c>
      <c r="Q106" s="357"/>
      <c r="R106" s="120"/>
      <c r="S106" s="120">
        <f t="shared" si="45"/>
        <v>0</v>
      </c>
      <c r="T106" s="120">
        <f t="shared" si="46"/>
        <v>345000</v>
      </c>
      <c r="U106" s="120">
        <f t="shared" si="39"/>
        <v>65000000</v>
      </c>
      <c r="V106" s="120">
        <f t="shared" si="47"/>
        <v>52872606</v>
      </c>
      <c r="W106" s="120"/>
      <c r="X106" s="120"/>
      <c r="Y106" s="120"/>
      <c r="Z106" s="120"/>
      <c r="AA106" s="120">
        <f>2741672+3436847+5948875</f>
        <v>12127394</v>
      </c>
      <c r="AB106" s="221" t="s">
        <v>1372</v>
      </c>
      <c r="AC106" s="135">
        <v>810000</v>
      </c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217"/>
      <c r="AW106" s="217"/>
      <c r="AX106" s="217"/>
      <c r="AY106" s="131"/>
      <c r="AZ106" s="131"/>
      <c r="BA106" s="131"/>
      <c r="BB106" s="131"/>
      <c r="BC106" s="131"/>
      <c r="BD106" s="131"/>
      <c r="BE106" s="131"/>
      <c r="BF106" s="131"/>
      <c r="BG106" s="131"/>
    </row>
    <row r="107" spans="1:59" s="5" customFormat="1" ht="71.400000000000006" customHeight="1">
      <c r="A107" s="135">
        <f t="shared" si="41"/>
        <v>94</v>
      </c>
      <c r="B107" s="220">
        <v>1914</v>
      </c>
      <c r="C107" s="135" t="s">
        <v>114</v>
      </c>
      <c r="D107" s="120">
        <v>8100000</v>
      </c>
      <c r="E107" s="120">
        <v>8100000</v>
      </c>
      <c r="F107" s="120">
        <f t="shared" si="32"/>
        <v>0</v>
      </c>
      <c r="G107" s="120">
        <v>8100000</v>
      </c>
      <c r="H107" s="120">
        <v>7872635</v>
      </c>
      <c r="I107" s="120"/>
      <c r="J107" s="120"/>
      <c r="K107" s="120">
        <f t="shared" si="42"/>
        <v>0</v>
      </c>
      <c r="L107" s="120">
        <f t="shared" si="43"/>
        <v>7872635</v>
      </c>
      <c r="M107" s="120">
        <f>P107+S107-225000</f>
        <v>2365</v>
      </c>
      <c r="N107" s="120">
        <v>225000</v>
      </c>
      <c r="O107" s="120">
        <f t="shared" si="35"/>
        <v>0</v>
      </c>
      <c r="P107" s="120">
        <f t="shared" si="44"/>
        <v>227365</v>
      </c>
      <c r="Q107" s="357"/>
      <c r="R107" s="120"/>
      <c r="S107" s="120">
        <f t="shared" si="45"/>
        <v>0</v>
      </c>
      <c r="T107" s="120">
        <f t="shared" si="46"/>
        <v>225000</v>
      </c>
      <c r="U107" s="120">
        <f t="shared" si="39"/>
        <v>0</v>
      </c>
      <c r="V107" s="120">
        <f t="shared" si="47"/>
        <v>0</v>
      </c>
      <c r="W107" s="120"/>
      <c r="X107" s="120"/>
      <c r="Y107" s="120"/>
      <c r="Z107" s="120"/>
      <c r="AA107" s="135"/>
      <c r="AB107" s="278" t="s">
        <v>1326</v>
      </c>
      <c r="AC107" s="135">
        <v>810000</v>
      </c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217"/>
      <c r="AW107" s="217"/>
      <c r="AX107" s="217"/>
      <c r="AY107" s="131"/>
      <c r="AZ107" s="131"/>
      <c r="BA107" s="131"/>
      <c r="BB107" s="131"/>
      <c r="BC107" s="131"/>
      <c r="BD107" s="131"/>
      <c r="BE107" s="131"/>
      <c r="BF107" s="131"/>
      <c r="BG107" s="131"/>
    </row>
    <row r="108" spans="1:59" s="157" customFormat="1" ht="45" customHeight="1">
      <c r="A108" s="135">
        <f t="shared" si="41"/>
        <v>95</v>
      </c>
      <c r="B108" s="220">
        <v>1960</v>
      </c>
      <c r="C108" s="135" t="s">
        <v>265</v>
      </c>
      <c r="D108" s="120">
        <f>24710000-3230000</f>
        <v>21480000</v>
      </c>
      <c r="E108" s="120">
        <v>24710000</v>
      </c>
      <c r="F108" s="120">
        <f t="shared" si="32"/>
        <v>-3230000</v>
      </c>
      <c r="G108" s="120">
        <v>22421744</v>
      </c>
      <c r="H108" s="120">
        <v>20975550</v>
      </c>
      <c r="I108" s="120"/>
      <c r="J108" s="120"/>
      <c r="K108" s="120">
        <f t="shared" si="42"/>
        <v>0</v>
      </c>
      <c r="L108" s="120">
        <f t="shared" si="43"/>
        <v>20975550</v>
      </c>
      <c r="M108" s="120">
        <f>P108+S108-3730000</f>
        <v>4450</v>
      </c>
      <c r="N108" s="120">
        <v>500000</v>
      </c>
      <c r="O108" s="120">
        <f t="shared" si="35"/>
        <v>0</v>
      </c>
      <c r="P108" s="120">
        <f t="shared" si="44"/>
        <v>1446194</v>
      </c>
      <c r="Q108" s="357">
        <v>2288256</v>
      </c>
      <c r="R108" s="120"/>
      <c r="S108" s="120">
        <f t="shared" si="45"/>
        <v>2288256</v>
      </c>
      <c r="T108" s="120">
        <f t="shared" si="46"/>
        <v>3730000</v>
      </c>
      <c r="U108" s="120">
        <f t="shared" si="39"/>
        <v>-3230000</v>
      </c>
      <c r="V108" s="120">
        <f t="shared" si="47"/>
        <v>-3352590</v>
      </c>
      <c r="W108" s="120"/>
      <c r="X108" s="120"/>
      <c r="Y108" s="120"/>
      <c r="Z108" s="120"/>
      <c r="AA108" s="120">
        <f>2846661-2724071</f>
        <v>122590</v>
      </c>
      <c r="AB108" s="221" t="s">
        <v>1418</v>
      </c>
      <c r="AC108" s="135">
        <v>810000</v>
      </c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217"/>
      <c r="AW108" s="217"/>
      <c r="AX108" s="217"/>
      <c r="AY108" s="131"/>
      <c r="AZ108" s="131"/>
      <c r="BA108" s="131"/>
      <c r="BB108" s="131"/>
      <c r="BC108" s="131"/>
      <c r="BD108" s="131"/>
      <c r="BE108" s="131"/>
      <c r="BF108" s="131"/>
      <c r="BG108" s="131"/>
    </row>
    <row r="109" spans="1:59" customFormat="1" ht="81.599999999999994" customHeight="1">
      <c r="A109" s="135">
        <f t="shared" si="41"/>
        <v>96</v>
      </c>
      <c r="B109" s="135">
        <v>1965</v>
      </c>
      <c r="C109" s="135" t="s">
        <v>266</v>
      </c>
      <c r="D109" s="120">
        <f>97500000-8500000-2000000</f>
        <v>87000000</v>
      </c>
      <c r="E109" s="120">
        <v>35000000</v>
      </c>
      <c r="F109" s="120">
        <f t="shared" si="32"/>
        <v>52000000</v>
      </c>
      <c r="G109" s="120">
        <v>2100000</v>
      </c>
      <c r="H109" s="120">
        <v>2066817</v>
      </c>
      <c r="I109" s="120"/>
      <c r="J109" s="120"/>
      <c r="K109" s="120">
        <f t="shared" si="42"/>
        <v>0</v>
      </c>
      <c r="L109" s="120">
        <f t="shared" si="43"/>
        <v>2066817</v>
      </c>
      <c r="M109" s="120">
        <f>P109+S109-30000</f>
        <v>3183</v>
      </c>
      <c r="N109" s="120">
        <f>60000000-40000000+30000-2000000</f>
        <v>18030000</v>
      </c>
      <c r="O109" s="120">
        <f t="shared" si="35"/>
        <v>66900000</v>
      </c>
      <c r="P109" s="120">
        <f t="shared" si="44"/>
        <v>33183</v>
      </c>
      <c r="Q109" s="357"/>
      <c r="R109" s="120"/>
      <c r="S109" s="120">
        <f t="shared" si="45"/>
        <v>0</v>
      </c>
      <c r="T109" s="120">
        <f t="shared" si="46"/>
        <v>30000</v>
      </c>
      <c r="U109" s="120">
        <f t="shared" si="39"/>
        <v>18000000</v>
      </c>
      <c r="V109" s="120">
        <f t="shared" si="47"/>
        <v>6751594</v>
      </c>
      <c r="W109" s="120"/>
      <c r="X109" s="120"/>
      <c r="Y109" s="120"/>
      <c r="Z109" s="120"/>
      <c r="AA109" s="120">
        <f>9696902+1551504</f>
        <v>11248406</v>
      </c>
      <c r="AB109" s="278" t="s">
        <v>1514</v>
      </c>
      <c r="AC109" s="135">
        <v>810000</v>
      </c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217"/>
      <c r="AW109" s="217"/>
      <c r="AX109" s="217"/>
      <c r="AY109" s="131"/>
      <c r="AZ109" s="131"/>
      <c r="BA109" s="131"/>
      <c r="BB109" s="131"/>
      <c r="BC109" s="131"/>
      <c r="BD109" s="131"/>
      <c r="BE109" s="131"/>
      <c r="BF109" s="131"/>
      <c r="BG109" s="131"/>
    </row>
    <row r="110" spans="1:59" s="409" customFormat="1" ht="28.95" customHeight="1">
      <c r="A110" s="137"/>
      <c r="B110" s="137"/>
      <c r="C110" s="137" t="s">
        <v>1562</v>
      </c>
      <c r="D110" s="138">
        <f>SUM(D78:D109)</f>
        <v>1482183503</v>
      </c>
      <c r="E110" s="138">
        <f t="shared" ref="E110:AA110" si="48">SUM(E78:E109)</f>
        <v>1360760736</v>
      </c>
      <c r="F110" s="138">
        <f t="shared" si="48"/>
        <v>121422767</v>
      </c>
      <c r="G110" s="138">
        <f t="shared" si="48"/>
        <v>728732109</v>
      </c>
      <c r="H110" s="138">
        <f t="shared" si="48"/>
        <v>731651551</v>
      </c>
      <c r="I110" s="138">
        <f t="shared" si="48"/>
        <v>0</v>
      </c>
      <c r="J110" s="138">
        <f t="shared" si="48"/>
        <v>487035</v>
      </c>
      <c r="K110" s="138">
        <f t="shared" si="48"/>
        <v>487035</v>
      </c>
      <c r="L110" s="138">
        <f t="shared" si="48"/>
        <v>732138586</v>
      </c>
      <c r="M110" s="138">
        <f t="shared" si="48"/>
        <v>175787</v>
      </c>
      <c r="N110" s="138">
        <f t="shared" si="48"/>
        <v>227550828</v>
      </c>
      <c r="O110" s="138">
        <f t="shared" si="48"/>
        <v>522318302</v>
      </c>
      <c r="P110" s="138">
        <f t="shared" si="48"/>
        <v>-3406477</v>
      </c>
      <c r="Q110" s="138">
        <f t="shared" si="48"/>
        <v>34380155</v>
      </c>
      <c r="R110" s="138">
        <f t="shared" si="48"/>
        <v>0</v>
      </c>
      <c r="S110" s="138">
        <f t="shared" si="48"/>
        <v>34380155</v>
      </c>
      <c r="T110" s="138">
        <f t="shared" si="48"/>
        <v>30797891</v>
      </c>
      <c r="U110" s="138">
        <f t="shared" si="48"/>
        <v>196752937</v>
      </c>
      <c r="V110" s="138">
        <f t="shared" si="48"/>
        <v>153220394</v>
      </c>
      <c r="W110" s="138">
        <f t="shared" si="48"/>
        <v>2478616</v>
      </c>
      <c r="X110" s="138">
        <f t="shared" si="48"/>
        <v>0</v>
      </c>
      <c r="Y110" s="138">
        <f t="shared" si="48"/>
        <v>500000</v>
      </c>
      <c r="Z110" s="138">
        <f t="shared" si="48"/>
        <v>0</v>
      </c>
      <c r="AA110" s="138">
        <f t="shared" si="48"/>
        <v>40553927</v>
      </c>
      <c r="AB110" s="250"/>
      <c r="AC110" s="137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17"/>
      <c r="AW110" s="217"/>
      <c r="AX110" s="217"/>
      <c r="AY110" s="223"/>
      <c r="AZ110" s="223"/>
      <c r="BA110" s="223"/>
      <c r="BB110" s="223"/>
      <c r="BC110" s="223"/>
      <c r="BD110" s="223"/>
      <c r="BE110" s="223"/>
      <c r="BF110" s="223"/>
      <c r="BG110" s="223"/>
    </row>
    <row r="111" spans="1:59" s="409" customFormat="1" ht="28.95" customHeight="1">
      <c r="A111" s="137"/>
      <c r="B111" s="137"/>
      <c r="C111" s="137">
        <v>82</v>
      </c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817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250"/>
      <c r="AC111" s="137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17"/>
      <c r="AW111" s="217"/>
      <c r="AX111" s="217"/>
      <c r="AY111" s="223"/>
      <c r="AZ111" s="223"/>
      <c r="BA111" s="223"/>
      <c r="BB111" s="223"/>
      <c r="BC111" s="223"/>
      <c r="BD111" s="223"/>
      <c r="BE111" s="223"/>
      <c r="BF111" s="223"/>
      <c r="BG111" s="223"/>
    </row>
    <row r="112" spans="1:59" s="5" customFormat="1" ht="69" customHeight="1">
      <c r="A112" s="135">
        <f>A109+1</f>
        <v>97</v>
      </c>
      <c r="B112" s="135">
        <v>1834</v>
      </c>
      <c r="C112" s="135" t="s">
        <v>96</v>
      </c>
      <c r="D112" s="120">
        <f>62000000+120000+630000+1500000+800000</f>
        <v>65050000</v>
      </c>
      <c r="E112" s="120">
        <f>62000000+120000</f>
        <v>62120000</v>
      </c>
      <c r="F112" s="120">
        <f t="shared" ref="F112:F130" si="49">D112-E112</f>
        <v>2930000</v>
      </c>
      <c r="G112" s="120">
        <f>62000000+120000</f>
        <v>62120000</v>
      </c>
      <c r="H112" s="120">
        <v>61523822</v>
      </c>
      <c r="I112" s="120"/>
      <c r="J112" s="120">
        <v>31203</v>
      </c>
      <c r="K112" s="120">
        <f t="shared" ref="K112:K130" si="50">SUM(I112:J112)</f>
        <v>31203</v>
      </c>
      <c r="L112" s="120">
        <f t="shared" ref="L112:L130" si="51">K112+H112</f>
        <v>61555025</v>
      </c>
      <c r="M112" s="120">
        <f>P112+S112-560000</f>
        <v>4975</v>
      </c>
      <c r="N112" s="120">
        <f>630000+1500000+800000+560000</f>
        <v>3490000</v>
      </c>
      <c r="O112" s="120">
        <f t="shared" ref="O112:O130" si="52">D112-L112-M112-N112</f>
        <v>0</v>
      </c>
      <c r="P112" s="120">
        <f t="shared" ref="P112:P130" si="53">G112-L112</f>
        <v>564975</v>
      </c>
      <c r="Q112" s="357"/>
      <c r="R112" s="120"/>
      <c r="S112" s="120">
        <f t="shared" ref="S112:S130" si="54">SUM(Q112:R112)</f>
        <v>0</v>
      </c>
      <c r="T112" s="120">
        <f t="shared" ref="T112:T130" si="55">P112-M112+S112</f>
        <v>560000</v>
      </c>
      <c r="U112" s="120">
        <f t="shared" ref="U112:U130" si="56">N112-T112</f>
        <v>2930000</v>
      </c>
      <c r="V112" s="120">
        <f>U112-W112-X112-Y112-Z112-AA112</f>
        <v>2746220</v>
      </c>
      <c r="W112" s="120"/>
      <c r="X112" s="120"/>
      <c r="Y112" s="120"/>
      <c r="Z112" s="120"/>
      <c r="AA112" s="120">
        <v>183780</v>
      </c>
      <c r="AB112" s="19" t="s">
        <v>1382</v>
      </c>
      <c r="AC112" s="135">
        <v>824000</v>
      </c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217"/>
      <c r="AW112" s="217"/>
      <c r="AX112" s="217"/>
      <c r="AY112" s="134"/>
      <c r="AZ112" s="134"/>
      <c r="BA112" s="134"/>
      <c r="BB112" s="134"/>
      <c r="BC112" s="134"/>
      <c r="BD112" s="134"/>
      <c r="BE112" s="134"/>
      <c r="BF112" s="134"/>
      <c r="BG112" s="134"/>
    </row>
    <row r="113" spans="1:59" s="5" customFormat="1" ht="34.950000000000003" customHeight="1">
      <c r="A113" s="135">
        <f t="shared" si="41"/>
        <v>98</v>
      </c>
      <c r="B113" s="135">
        <v>1835</v>
      </c>
      <c r="C113" s="135" t="s">
        <v>330</v>
      </c>
      <c r="D113" s="120">
        <v>51500000</v>
      </c>
      <c r="E113" s="120">
        <v>51500000</v>
      </c>
      <c r="F113" s="120">
        <f t="shared" si="49"/>
        <v>0</v>
      </c>
      <c r="G113" s="120">
        <v>21900000</v>
      </c>
      <c r="H113" s="120">
        <v>15533156</v>
      </c>
      <c r="I113" s="120"/>
      <c r="J113" s="120"/>
      <c r="K113" s="120">
        <f t="shared" si="50"/>
        <v>0</v>
      </c>
      <c r="L113" s="120">
        <f t="shared" si="51"/>
        <v>15533156</v>
      </c>
      <c r="M113" s="120">
        <f>P113+S113-4000000-2350000</f>
        <v>16844</v>
      </c>
      <c r="N113" s="120">
        <f>29600000+4000000-11600000-9000000-4000000+2350000-1350000</f>
        <v>10000000</v>
      </c>
      <c r="O113" s="120">
        <f t="shared" si="52"/>
        <v>25950000</v>
      </c>
      <c r="P113" s="120">
        <f t="shared" si="53"/>
        <v>6366844</v>
      </c>
      <c r="Q113" s="357"/>
      <c r="R113" s="120"/>
      <c r="S113" s="120">
        <f t="shared" si="54"/>
        <v>0</v>
      </c>
      <c r="T113" s="120">
        <f t="shared" si="55"/>
        <v>6350000</v>
      </c>
      <c r="U113" s="120">
        <f t="shared" si="56"/>
        <v>3650000</v>
      </c>
      <c r="V113" s="120">
        <f t="shared" ref="V113:V130" si="57">U113-Z113-X113-AA113-W113-Y113</f>
        <v>-3852853</v>
      </c>
      <c r="W113" s="120"/>
      <c r="X113" s="120"/>
      <c r="Y113" s="120"/>
      <c r="Z113" s="120"/>
      <c r="AA113" s="120">
        <f>6597000+905853</f>
        <v>7502853</v>
      </c>
      <c r="AB113" s="3" t="s">
        <v>1406</v>
      </c>
      <c r="AC113" s="135">
        <v>824000</v>
      </c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217"/>
      <c r="AW113" s="217"/>
      <c r="AX113" s="217"/>
      <c r="AY113" s="134"/>
      <c r="AZ113" s="134"/>
      <c r="BA113" s="134"/>
      <c r="BB113" s="134"/>
      <c r="BC113" s="134"/>
      <c r="BD113" s="134"/>
      <c r="BE113" s="134"/>
      <c r="BF113" s="134"/>
      <c r="BG113" s="134"/>
    </row>
    <row r="114" spans="1:59" s="5" customFormat="1" ht="45" customHeight="1">
      <c r="A114" s="135">
        <f t="shared" si="41"/>
        <v>99</v>
      </c>
      <c r="B114" s="135">
        <v>2017</v>
      </c>
      <c r="C114" s="224" t="s">
        <v>1359</v>
      </c>
      <c r="D114" s="120">
        <f>37100000+2000000-2000000</f>
        <v>37100000</v>
      </c>
      <c r="E114" s="120">
        <v>37100000</v>
      </c>
      <c r="F114" s="120">
        <f t="shared" si="49"/>
        <v>0</v>
      </c>
      <c r="G114" s="120">
        <f>20100000+3000000</f>
        <v>23100000</v>
      </c>
      <c r="H114" s="120">
        <v>25401294</v>
      </c>
      <c r="I114" s="120"/>
      <c r="J114" s="120"/>
      <c r="K114" s="120">
        <f t="shared" si="50"/>
        <v>0</v>
      </c>
      <c r="L114" s="120">
        <f t="shared" si="51"/>
        <v>25401294</v>
      </c>
      <c r="M114" s="120">
        <f>P114+S114-1690000</f>
        <v>8706</v>
      </c>
      <c r="N114" s="120">
        <f>10000000-3000000+1690000-2000000</f>
        <v>6690000</v>
      </c>
      <c r="O114" s="120">
        <f t="shared" si="52"/>
        <v>5000000</v>
      </c>
      <c r="P114" s="120">
        <f t="shared" si="53"/>
        <v>-2301294</v>
      </c>
      <c r="Q114" s="357">
        <f>7000000-3000000</f>
        <v>4000000</v>
      </c>
      <c r="R114" s="120"/>
      <c r="S114" s="120">
        <f t="shared" si="54"/>
        <v>4000000</v>
      </c>
      <c r="T114" s="120">
        <f t="shared" si="55"/>
        <v>1690000</v>
      </c>
      <c r="U114" s="120">
        <f t="shared" si="56"/>
        <v>5000000</v>
      </c>
      <c r="V114" s="120">
        <f t="shared" si="57"/>
        <v>-981581</v>
      </c>
      <c r="W114" s="120"/>
      <c r="X114" s="120"/>
      <c r="Y114" s="120"/>
      <c r="Z114" s="120"/>
      <c r="AA114" s="120">
        <f>616624+5364957</f>
        <v>5981581</v>
      </c>
      <c r="AB114" s="135" t="s">
        <v>1466</v>
      </c>
      <c r="AC114" s="135">
        <v>824000</v>
      </c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217"/>
      <c r="AW114" s="217"/>
      <c r="AX114" s="217"/>
      <c r="AY114" s="131"/>
      <c r="AZ114" s="131"/>
      <c r="BA114" s="131"/>
      <c r="BB114" s="131"/>
      <c r="BC114" s="131"/>
      <c r="BD114" s="131"/>
      <c r="BE114" s="131"/>
      <c r="BF114" s="131"/>
      <c r="BG114" s="131"/>
    </row>
    <row r="115" spans="1:59" s="5" customFormat="1" ht="63" customHeight="1">
      <c r="A115" s="135">
        <f t="shared" si="41"/>
        <v>100</v>
      </c>
      <c r="B115" s="19">
        <v>2099</v>
      </c>
      <c r="C115" s="135" t="s">
        <v>263</v>
      </c>
      <c r="D115" s="120">
        <f>17650000+3150000+60000</f>
        <v>20860000</v>
      </c>
      <c r="E115" s="120">
        <v>17650000</v>
      </c>
      <c r="F115" s="120">
        <f t="shared" si="49"/>
        <v>3210000</v>
      </c>
      <c r="G115" s="120">
        <f>15000000+1500000</f>
        <v>16500000</v>
      </c>
      <c r="H115" s="120">
        <v>15906185</v>
      </c>
      <c r="I115" s="120"/>
      <c r="J115" s="120"/>
      <c r="K115" s="120">
        <f t="shared" si="50"/>
        <v>0</v>
      </c>
      <c r="L115" s="120">
        <f t="shared" si="51"/>
        <v>15906185</v>
      </c>
      <c r="M115" s="120">
        <f>P115+S115-590000</f>
        <v>3815</v>
      </c>
      <c r="N115" s="120">
        <f>1150000+3150000+60000+590000</f>
        <v>4950000</v>
      </c>
      <c r="O115" s="120">
        <f t="shared" si="52"/>
        <v>0</v>
      </c>
      <c r="P115" s="120">
        <f t="shared" si="53"/>
        <v>593815</v>
      </c>
      <c r="Q115" s="357">
        <f>1500000-1500000</f>
        <v>0</v>
      </c>
      <c r="R115" s="120"/>
      <c r="S115" s="120">
        <f t="shared" si="54"/>
        <v>0</v>
      </c>
      <c r="T115" s="120">
        <f t="shared" si="55"/>
        <v>590000</v>
      </c>
      <c r="U115" s="120">
        <f t="shared" si="56"/>
        <v>4360000</v>
      </c>
      <c r="V115" s="120">
        <f t="shared" si="57"/>
        <v>4360000</v>
      </c>
      <c r="W115" s="120"/>
      <c r="X115" s="120"/>
      <c r="Y115" s="120"/>
      <c r="Z115" s="120"/>
      <c r="AA115" s="135"/>
      <c r="AB115" s="235" t="s">
        <v>565</v>
      </c>
      <c r="AC115" s="135">
        <v>826000</v>
      </c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217"/>
      <c r="AW115" s="217"/>
      <c r="AX115" s="217"/>
      <c r="AY115" s="131"/>
      <c r="AZ115" s="131"/>
      <c r="BA115" s="131"/>
      <c r="BB115" s="131"/>
      <c r="BC115" s="131"/>
      <c r="BD115" s="131"/>
      <c r="BE115" s="131"/>
      <c r="BF115" s="131"/>
      <c r="BG115" s="131"/>
    </row>
    <row r="116" spans="1:59" s="452" customFormat="1" ht="65.400000000000006" customHeight="1">
      <c r="A116" s="135">
        <f t="shared" si="41"/>
        <v>101</v>
      </c>
      <c r="B116" s="19">
        <v>20016</v>
      </c>
      <c r="C116" s="3" t="s">
        <v>664</v>
      </c>
      <c r="D116" s="120">
        <f>2500000</f>
        <v>2500000</v>
      </c>
      <c r="E116" s="120">
        <v>1000000</v>
      </c>
      <c r="F116" s="120">
        <f t="shared" si="49"/>
        <v>1500000</v>
      </c>
      <c r="G116" s="120">
        <f>500000+200000</f>
        <v>700000</v>
      </c>
      <c r="H116" s="120">
        <v>690530</v>
      </c>
      <c r="I116" s="120"/>
      <c r="J116" s="120"/>
      <c r="K116" s="120">
        <f t="shared" si="50"/>
        <v>0</v>
      </c>
      <c r="L116" s="120">
        <f t="shared" si="51"/>
        <v>690530</v>
      </c>
      <c r="M116" s="120">
        <f>P116+S116-305000</f>
        <v>4470</v>
      </c>
      <c r="N116" s="120">
        <f>1500000-500000-200000+305000-100000</f>
        <v>1005000</v>
      </c>
      <c r="O116" s="120">
        <f t="shared" si="52"/>
        <v>800000</v>
      </c>
      <c r="P116" s="120">
        <f t="shared" si="53"/>
        <v>9470</v>
      </c>
      <c r="Q116" s="357">
        <f>500000-200000</f>
        <v>300000</v>
      </c>
      <c r="R116" s="120"/>
      <c r="S116" s="120">
        <f t="shared" si="54"/>
        <v>300000</v>
      </c>
      <c r="T116" s="120">
        <f t="shared" si="55"/>
        <v>305000</v>
      </c>
      <c r="U116" s="120">
        <f t="shared" si="56"/>
        <v>700000</v>
      </c>
      <c r="V116" s="120">
        <f t="shared" si="57"/>
        <v>700000</v>
      </c>
      <c r="W116" s="120"/>
      <c r="X116" s="120"/>
      <c r="Y116" s="120"/>
      <c r="Z116" s="120"/>
      <c r="AA116" s="135"/>
      <c r="AB116" s="3" t="s">
        <v>661</v>
      </c>
      <c r="AC116" s="3">
        <v>826000</v>
      </c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217"/>
      <c r="AW116" s="217"/>
      <c r="AX116" s="217"/>
      <c r="AY116" s="5"/>
      <c r="AZ116" s="5"/>
      <c r="BA116" s="5"/>
      <c r="BB116" s="5"/>
      <c r="BC116" s="5"/>
      <c r="BD116" s="5"/>
      <c r="BE116" s="5"/>
      <c r="BF116" s="5"/>
      <c r="BG116" s="5"/>
    </row>
    <row r="117" spans="1:59" s="452" customFormat="1" ht="57.6" customHeight="1">
      <c r="A117" s="135">
        <f t="shared" si="41"/>
        <v>102</v>
      </c>
      <c r="B117" s="19">
        <v>20018</v>
      </c>
      <c r="C117" s="3" t="s">
        <v>662</v>
      </c>
      <c r="D117" s="120">
        <v>45000000</v>
      </c>
      <c r="E117" s="120">
        <v>1000000</v>
      </c>
      <c r="F117" s="120">
        <f t="shared" si="49"/>
        <v>44000000</v>
      </c>
      <c r="G117" s="120">
        <v>1000000</v>
      </c>
      <c r="H117" s="120">
        <v>956644</v>
      </c>
      <c r="I117" s="120"/>
      <c r="J117" s="120"/>
      <c r="K117" s="120">
        <f t="shared" si="50"/>
        <v>0</v>
      </c>
      <c r="L117" s="120">
        <f t="shared" si="51"/>
        <v>956644</v>
      </c>
      <c r="M117" s="120">
        <f>P117+S117-40000</f>
        <v>3356</v>
      </c>
      <c r="N117" s="120">
        <f>25000000-8000000-5000000+40000-500000</f>
        <v>11540000</v>
      </c>
      <c r="O117" s="120">
        <f t="shared" si="52"/>
        <v>32500000</v>
      </c>
      <c r="P117" s="120">
        <f t="shared" si="53"/>
        <v>43356</v>
      </c>
      <c r="Q117" s="357"/>
      <c r="R117" s="120"/>
      <c r="S117" s="120">
        <f t="shared" si="54"/>
        <v>0</v>
      </c>
      <c r="T117" s="120">
        <f t="shared" si="55"/>
        <v>40000</v>
      </c>
      <c r="U117" s="120">
        <f t="shared" si="56"/>
        <v>11500000</v>
      </c>
      <c r="V117" s="120">
        <f t="shared" si="57"/>
        <v>0</v>
      </c>
      <c r="W117" s="120"/>
      <c r="X117" s="120"/>
      <c r="Y117" s="120"/>
      <c r="Z117" s="120"/>
      <c r="AA117" s="120">
        <f>12000000+1500000-12000000+10000000</f>
        <v>11500000</v>
      </c>
      <c r="AB117" s="3" t="s">
        <v>1389</v>
      </c>
      <c r="AC117" s="3">
        <v>826000</v>
      </c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217"/>
      <c r="AW117" s="217"/>
      <c r="AX117" s="217"/>
      <c r="AY117" s="5"/>
      <c r="AZ117" s="5"/>
      <c r="BA117" s="5"/>
      <c r="BB117" s="5"/>
      <c r="BC117" s="5"/>
      <c r="BD117" s="5"/>
      <c r="BE117" s="5"/>
      <c r="BF117" s="5"/>
      <c r="BG117" s="5"/>
    </row>
    <row r="118" spans="1:59" s="5" customFormat="1" ht="40.950000000000003" customHeight="1">
      <c r="A118" s="135">
        <f t="shared" si="41"/>
        <v>103</v>
      </c>
      <c r="B118" s="3">
        <v>1357</v>
      </c>
      <c r="C118" s="3" t="s">
        <v>40</v>
      </c>
      <c r="D118" s="120">
        <v>18812000</v>
      </c>
      <c r="E118" s="120">
        <v>18812000</v>
      </c>
      <c r="F118" s="120">
        <f t="shared" si="49"/>
        <v>0</v>
      </c>
      <c r="G118" s="120">
        <v>18812000</v>
      </c>
      <c r="H118" s="120">
        <v>17954809</v>
      </c>
      <c r="I118" s="120"/>
      <c r="J118" s="120">
        <f>462475-462475</f>
        <v>0</v>
      </c>
      <c r="K118" s="120">
        <f t="shared" si="50"/>
        <v>0</v>
      </c>
      <c r="L118" s="120">
        <f t="shared" si="51"/>
        <v>17954809</v>
      </c>
      <c r="M118" s="120">
        <f>P118+S118-850000</f>
        <v>7191</v>
      </c>
      <c r="N118" s="120">
        <v>850000</v>
      </c>
      <c r="O118" s="120">
        <f t="shared" si="52"/>
        <v>0</v>
      </c>
      <c r="P118" s="120">
        <f t="shared" si="53"/>
        <v>857191</v>
      </c>
      <c r="Q118" s="357"/>
      <c r="R118" s="120"/>
      <c r="S118" s="120">
        <f t="shared" si="54"/>
        <v>0</v>
      </c>
      <c r="T118" s="120">
        <f t="shared" si="55"/>
        <v>850000</v>
      </c>
      <c r="U118" s="120">
        <f t="shared" si="56"/>
        <v>0</v>
      </c>
      <c r="V118" s="120">
        <f t="shared" si="57"/>
        <v>0</v>
      </c>
      <c r="W118" s="120"/>
      <c r="X118" s="120"/>
      <c r="Y118" s="120"/>
      <c r="Z118" s="120"/>
      <c r="AA118" s="135"/>
      <c r="AB118" s="3" t="s">
        <v>625</v>
      </c>
      <c r="AC118" s="3">
        <v>829000</v>
      </c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217"/>
      <c r="AW118" s="217"/>
      <c r="AX118" s="217"/>
    </row>
    <row r="119" spans="1:59" s="5" customFormat="1" ht="66.599999999999994" customHeight="1">
      <c r="A119" s="135">
        <f t="shared" si="41"/>
        <v>104</v>
      </c>
      <c r="B119" s="220">
        <v>1833</v>
      </c>
      <c r="C119" s="135" t="s">
        <v>102</v>
      </c>
      <c r="D119" s="120">
        <v>29000000</v>
      </c>
      <c r="E119" s="120">
        <v>29000000</v>
      </c>
      <c r="F119" s="120">
        <f t="shared" si="49"/>
        <v>0</v>
      </c>
      <c r="G119" s="120">
        <v>29000000</v>
      </c>
      <c r="H119" s="120">
        <v>28969915</v>
      </c>
      <c r="I119" s="120"/>
      <c r="J119" s="120"/>
      <c r="K119" s="120">
        <f t="shared" si="50"/>
        <v>0</v>
      </c>
      <c r="L119" s="120">
        <f t="shared" si="51"/>
        <v>28969915</v>
      </c>
      <c r="M119" s="120">
        <f>P119+S119-30000</f>
        <v>85</v>
      </c>
      <c r="N119" s="120">
        <v>30000</v>
      </c>
      <c r="O119" s="120">
        <f t="shared" si="52"/>
        <v>0</v>
      </c>
      <c r="P119" s="120">
        <f t="shared" si="53"/>
        <v>30085</v>
      </c>
      <c r="Q119" s="357"/>
      <c r="R119" s="120"/>
      <c r="S119" s="120">
        <f t="shared" si="54"/>
        <v>0</v>
      </c>
      <c r="T119" s="120">
        <f t="shared" si="55"/>
        <v>30000</v>
      </c>
      <c r="U119" s="120">
        <f t="shared" si="56"/>
        <v>0</v>
      </c>
      <c r="V119" s="120">
        <f t="shared" si="57"/>
        <v>0</v>
      </c>
      <c r="W119" s="120"/>
      <c r="X119" s="120"/>
      <c r="Y119" s="120"/>
      <c r="Z119" s="120"/>
      <c r="AA119" s="135"/>
      <c r="AB119" s="135" t="s">
        <v>1324</v>
      </c>
      <c r="AC119" s="135">
        <v>829000</v>
      </c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217"/>
      <c r="AW119" s="217"/>
      <c r="AX119" s="217"/>
      <c r="AY119" s="131"/>
      <c r="AZ119" s="131"/>
      <c r="BA119" s="131"/>
      <c r="BB119" s="131"/>
      <c r="BC119" s="131"/>
      <c r="BD119" s="131"/>
      <c r="BE119" s="131"/>
      <c r="BF119" s="131"/>
      <c r="BG119" s="131"/>
    </row>
    <row r="120" spans="1:59" s="5" customFormat="1" ht="72" customHeight="1">
      <c r="A120" s="135">
        <f t="shared" si="41"/>
        <v>105</v>
      </c>
      <c r="B120" s="220">
        <v>1896</v>
      </c>
      <c r="C120" s="135" t="s">
        <v>331</v>
      </c>
      <c r="D120" s="120">
        <f>7800000+1500000+1000000</f>
        <v>10300000</v>
      </c>
      <c r="E120" s="120">
        <v>7800000</v>
      </c>
      <c r="F120" s="120">
        <f t="shared" si="49"/>
        <v>2500000</v>
      </c>
      <c r="G120" s="120">
        <v>7800000</v>
      </c>
      <c r="H120" s="120">
        <v>6432030</v>
      </c>
      <c r="I120" s="120"/>
      <c r="J120" s="120">
        <v>951442</v>
      </c>
      <c r="K120" s="120">
        <f t="shared" si="50"/>
        <v>951442</v>
      </c>
      <c r="L120" s="120">
        <f t="shared" si="51"/>
        <v>7383472</v>
      </c>
      <c r="M120" s="120">
        <f>P120+S120-400000</f>
        <v>16528</v>
      </c>
      <c r="N120" s="120">
        <f>1500000+1000000+400000</f>
        <v>2900000</v>
      </c>
      <c r="O120" s="120">
        <f t="shared" si="52"/>
        <v>0</v>
      </c>
      <c r="P120" s="120">
        <f t="shared" si="53"/>
        <v>416528</v>
      </c>
      <c r="Q120" s="357"/>
      <c r="R120" s="120"/>
      <c r="S120" s="120">
        <f t="shared" si="54"/>
        <v>0</v>
      </c>
      <c r="T120" s="120">
        <f t="shared" si="55"/>
        <v>400000</v>
      </c>
      <c r="U120" s="120">
        <f t="shared" si="56"/>
        <v>2500000</v>
      </c>
      <c r="V120" s="120">
        <f t="shared" si="57"/>
        <v>2500000</v>
      </c>
      <c r="W120" s="120"/>
      <c r="X120" s="120"/>
      <c r="Y120" s="120"/>
      <c r="Z120" s="120"/>
      <c r="AA120" s="135"/>
      <c r="AB120" s="135" t="s">
        <v>963</v>
      </c>
      <c r="AC120" s="135">
        <v>829000</v>
      </c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217"/>
      <c r="AW120" s="217"/>
      <c r="AX120" s="217"/>
      <c r="AY120" s="131"/>
      <c r="AZ120" s="131"/>
      <c r="BA120" s="131"/>
      <c r="BB120" s="131"/>
      <c r="BC120" s="131"/>
      <c r="BD120" s="131"/>
      <c r="BE120" s="131"/>
      <c r="BF120" s="131"/>
      <c r="BG120" s="131"/>
    </row>
    <row r="121" spans="1:59" s="5" customFormat="1" ht="37.200000000000003" customHeight="1">
      <c r="A121" s="135">
        <f t="shared" si="41"/>
        <v>106</v>
      </c>
      <c r="B121" s="220">
        <v>1921</v>
      </c>
      <c r="C121" s="135" t="s">
        <v>105</v>
      </c>
      <c r="D121" s="120">
        <f>29716000+15284000</f>
        <v>45000000</v>
      </c>
      <c r="E121" s="120">
        <v>29716000</v>
      </c>
      <c r="F121" s="120">
        <f t="shared" si="49"/>
        <v>15284000</v>
      </c>
      <c r="G121" s="120">
        <f>10166000+200000</f>
        <v>10366000</v>
      </c>
      <c r="H121" s="120">
        <v>10815733</v>
      </c>
      <c r="I121" s="120"/>
      <c r="J121" s="120">
        <v>38153</v>
      </c>
      <c r="K121" s="120">
        <f t="shared" si="50"/>
        <v>38153</v>
      </c>
      <c r="L121" s="120">
        <f t="shared" si="51"/>
        <v>10853886</v>
      </c>
      <c r="M121" s="120">
        <f>P121+S121-2860000</f>
        <v>2114</v>
      </c>
      <c r="N121" s="120">
        <f>16000000+4000000-15000000-5000000+2860000</f>
        <v>2860000</v>
      </c>
      <c r="O121" s="120">
        <f t="shared" si="52"/>
        <v>31284000</v>
      </c>
      <c r="P121" s="120">
        <f t="shared" si="53"/>
        <v>-487886</v>
      </c>
      <c r="Q121" s="357">
        <f>3550000-200000</f>
        <v>3350000</v>
      </c>
      <c r="R121" s="120"/>
      <c r="S121" s="120">
        <f t="shared" si="54"/>
        <v>3350000</v>
      </c>
      <c r="T121" s="120">
        <f t="shared" si="55"/>
        <v>2860000</v>
      </c>
      <c r="U121" s="120">
        <f t="shared" si="56"/>
        <v>0</v>
      </c>
      <c r="V121" s="120">
        <f t="shared" si="57"/>
        <v>0</v>
      </c>
      <c r="W121" s="120"/>
      <c r="X121" s="120"/>
      <c r="Y121" s="120"/>
      <c r="Z121" s="120"/>
      <c r="AA121" s="135"/>
      <c r="AB121" s="218" t="s">
        <v>1343</v>
      </c>
      <c r="AC121" s="135">
        <v>829000</v>
      </c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217"/>
      <c r="AW121" s="217"/>
      <c r="AX121" s="217"/>
      <c r="AY121" s="131"/>
      <c r="AZ121" s="131"/>
      <c r="BA121" s="131"/>
      <c r="BB121" s="131"/>
      <c r="BC121" s="131"/>
      <c r="BD121" s="131"/>
      <c r="BE121" s="131"/>
      <c r="BF121" s="131"/>
      <c r="BG121" s="131"/>
    </row>
    <row r="122" spans="1:59" s="5" customFormat="1" ht="36.6" customHeight="1">
      <c r="A122" s="135">
        <f t="shared" si="41"/>
        <v>107</v>
      </c>
      <c r="B122" s="135">
        <v>2022</v>
      </c>
      <c r="C122" s="135" t="s">
        <v>574</v>
      </c>
      <c r="D122" s="120">
        <f>14000000-100000+50000</f>
        <v>13950000</v>
      </c>
      <c r="E122" s="120">
        <v>14000000</v>
      </c>
      <c r="F122" s="120">
        <f t="shared" si="49"/>
        <v>-50000</v>
      </c>
      <c r="G122" s="120">
        <v>14000000</v>
      </c>
      <c r="H122" s="120">
        <v>13897589</v>
      </c>
      <c r="I122" s="120"/>
      <c r="J122" s="120"/>
      <c r="K122" s="120">
        <f t="shared" si="50"/>
        <v>0</v>
      </c>
      <c r="L122" s="120">
        <f t="shared" si="51"/>
        <v>13897589</v>
      </c>
      <c r="M122" s="120">
        <f>P122+S122-100000</f>
        <v>2411</v>
      </c>
      <c r="N122" s="120">
        <v>50000</v>
      </c>
      <c r="O122" s="120">
        <f t="shared" si="52"/>
        <v>0</v>
      </c>
      <c r="P122" s="120">
        <f t="shared" si="53"/>
        <v>102411</v>
      </c>
      <c r="Q122" s="357"/>
      <c r="R122" s="120"/>
      <c r="S122" s="120">
        <f t="shared" si="54"/>
        <v>0</v>
      </c>
      <c r="T122" s="120">
        <f t="shared" si="55"/>
        <v>100000</v>
      </c>
      <c r="U122" s="120">
        <f t="shared" si="56"/>
        <v>-50000</v>
      </c>
      <c r="V122" s="120">
        <f t="shared" si="57"/>
        <v>-50000</v>
      </c>
      <c r="W122" s="120"/>
      <c r="X122" s="120"/>
      <c r="Y122" s="120"/>
      <c r="Z122" s="120"/>
      <c r="AA122" s="135"/>
      <c r="AB122" s="135" t="s">
        <v>1325</v>
      </c>
      <c r="AC122" s="135">
        <v>829000</v>
      </c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217"/>
      <c r="AW122" s="217"/>
      <c r="AX122" s="217"/>
      <c r="AY122" s="134"/>
      <c r="AZ122" s="134"/>
      <c r="BA122" s="134"/>
      <c r="BB122" s="134"/>
      <c r="BC122" s="134"/>
      <c r="BD122" s="134"/>
      <c r="BE122" s="134"/>
      <c r="BF122" s="134"/>
      <c r="BG122" s="134"/>
    </row>
    <row r="123" spans="1:59" s="5" customFormat="1" ht="36.6" customHeight="1">
      <c r="A123" s="135">
        <f t="shared" si="41"/>
        <v>108</v>
      </c>
      <c r="B123" s="220">
        <v>2064</v>
      </c>
      <c r="C123" s="135" t="s">
        <v>213</v>
      </c>
      <c r="D123" s="120">
        <f>2463705-30000</f>
        <v>2433705</v>
      </c>
      <c r="E123" s="120">
        <v>2463705</v>
      </c>
      <c r="F123" s="120">
        <f t="shared" si="49"/>
        <v>-30000</v>
      </c>
      <c r="G123" s="120">
        <v>2463705</v>
      </c>
      <c r="H123" s="120">
        <v>2429685</v>
      </c>
      <c r="I123" s="120"/>
      <c r="J123" s="120"/>
      <c r="K123" s="120">
        <f t="shared" si="50"/>
        <v>0</v>
      </c>
      <c r="L123" s="120">
        <f t="shared" si="51"/>
        <v>2429685</v>
      </c>
      <c r="M123" s="120">
        <f>P123+S123-30000</f>
        <v>4020</v>
      </c>
      <c r="N123" s="120"/>
      <c r="O123" s="120">
        <f t="shared" si="52"/>
        <v>0</v>
      </c>
      <c r="P123" s="120">
        <f t="shared" si="53"/>
        <v>34020</v>
      </c>
      <c r="Q123" s="357"/>
      <c r="R123" s="120"/>
      <c r="S123" s="120">
        <f t="shared" si="54"/>
        <v>0</v>
      </c>
      <c r="T123" s="120">
        <f t="shared" si="55"/>
        <v>30000</v>
      </c>
      <c r="U123" s="120">
        <f t="shared" si="56"/>
        <v>-30000</v>
      </c>
      <c r="V123" s="120">
        <f t="shared" si="57"/>
        <v>-30000</v>
      </c>
      <c r="W123" s="120"/>
      <c r="X123" s="120"/>
      <c r="Y123" s="120"/>
      <c r="Z123" s="120"/>
      <c r="AA123" s="135"/>
      <c r="AB123" s="135" t="s">
        <v>1460</v>
      </c>
      <c r="AC123" s="135">
        <v>829000</v>
      </c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217"/>
      <c r="AW123" s="217"/>
      <c r="AX123" s="217"/>
      <c r="AY123" s="131"/>
      <c r="AZ123" s="131"/>
      <c r="BA123" s="131"/>
      <c r="BB123" s="131"/>
      <c r="BC123" s="131"/>
      <c r="BD123" s="131"/>
      <c r="BE123" s="131"/>
      <c r="BF123" s="131"/>
      <c r="BG123" s="131"/>
    </row>
    <row r="124" spans="1:59" s="5" customFormat="1" ht="36.6" customHeight="1">
      <c r="A124" s="135">
        <f t="shared" si="41"/>
        <v>109</v>
      </c>
      <c r="B124" s="220">
        <v>2073</v>
      </c>
      <c r="C124" s="224" t="s">
        <v>575</v>
      </c>
      <c r="D124" s="120">
        <f>60000000+5000000+21000000-12000000-62650000</f>
        <v>11350000</v>
      </c>
      <c r="E124" s="120">
        <v>11350000</v>
      </c>
      <c r="F124" s="120">
        <f t="shared" si="49"/>
        <v>0</v>
      </c>
      <c r="G124" s="120">
        <v>1600000</v>
      </c>
      <c r="H124" s="120">
        <v>501947</v>
      </c>
      <c r="I124" s="120"/>
      <c r="J124" s="120"/>
      <c r="K124" s="120">
        <f t="shared" si="50"/>
        <v>0</v>
      </c>
      <c r="L124" s="120">
        <f t="shared" si="51"/>
        <v>501947</v>
      </c>
      <c r="M124" s="120">
        <f>P124+S124-1090000</f>
        <v>8053</v>
      </c>
      <c r="N124" s="120">
        <f>30000000-20000000-4000000+1090000-6000000-300000</f>
        <v>790000</v>
      </c>
      <c r="O124" s="120">
        <f t="shared" si="52"/>
        <v>10050000</v>
      </c>
      <c r="P124" s="120">
        <f t="shared" si="53"/>
        <v>1098053</v>
      </c>
      <c r="Q124" s="357"/>
      <c r="R124" s="120"/>
      <c r="S124" s="120">
        <f t="shared" si="54"/>
        <v>0</v>
      </c>
      <c r="T124" s="120">
        <f t="shared" si="55"/>
        <v>1090000</v>
      </c>
      <c r="U124" s="120">
        <f t="shared" si="56"/>
        <v>-300000</v>
      </c>
      <c r="V124" s="120">
        <f t="shared" si="57"/>
        <v>-300000</v>
      </c>
      <c r="W124" s="120"/>
      <c r="X124" s="120"/>
      <c r="Y124" s="120"/>
      <c r="Z124" s="120"/>
      <c r="AA124" s="135"/>
      <c r="AB124" s="135" t="s">
        <v>884</v>
      </c>
      <c r="AC124" s="135">
        <v>829000</v>
      </c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217"/>
      <c r="AW124" s="217"/>
      <c r="AX124" s="217"/>
      <c r="AY124" s="131"/>
      <c r="AZ124" s="131"/>
      <c r="BA124" s="131"/>
      <c r="BB124" s="131"/>
      <c r="BC124" s="131"/>
      <c r="BD124" s="131"/>
      <c r="BE124" s="131"/>
      <c r="BF124" s="131"/>
      <c r="BG124" s="131"/>
    </row>
    <row r="125" spans="1:59" s="5" customFormat="1" ht="44.4" customHeight="1">
      <c r="A125" s="135">
        <f t="shared" si="41"/>
        <v>110</v>
      </c>
      <c r="B125" s="19">
        <v>2153</v>
      </c>
      <c r="C125" s="3" t="s">
        <v>409</v>
      </c>
      <c r="D125" s="120">
        <v>225000000</v>
      </c>
      <c r="E125" s="120">
        <v>225000000</v>
      </c>
      <c r="F125" s="120">
        <f t="shared" si="49"/>
        <v>0</v>
      </c>
      <c r="G125" s="120">
        <v>1000000</v>
      </c>
      <c r="H125" s="120">
        <v>1999954</v>
      </c>
      <c r="I125" s="120"/>
      <c r="J125" s="120">
        <v>45</v>
      </c>
      <c r="K125" s="120">
        <f t="shared" si="50"/>
        <v>45</v>
      </c>
      <c r="L125" s="120">
        <f t="shared" si="51"/>
        <v>1999999</v>
      </c>
      <c r="M125" s="120">
        <f>P125+S125</f>
        <v>1</v>
      </c>
      <c r="N125" s="120">
        <f>1500000-200000</f>
        <v>1300000</v>
      </c>
      <c r="O125" s="120">
        <f t="shared" si="52"/>
        <v>221700000</v>
      </c>
      <c r="P125" s="120">
        <f t="shared" si="53"/>
        <v>-999999</v>
      </c>
      <c r="Q125" s="357">
        <v>1000000</v>
      </c>
      <c r="R125" s="120"/>
      <c r="S125" s="120">
        <f t="shared" si="54"/>
        <v>1000000</v>
      </c>
      <c r="T125" s="120">
        <f t="shared" si="55"/>
        <v>0</v>
      </c>
      <c r="U125" s="120">
        <f t="shared" si="56"/>
        <v>1300000</v>
      </c>
      <c r="V125" s="120">
        <f t="shared" si="57"/>
        <v>1300000</v>
      </c>
      <c r="W125" s="120"/>
      <c r="X125" s="120"/>
      <c r="Y125" s="120"/>
      <c r="Z125" s="120"/>
      <c r="AA125" s="135"/>
      <c r="AB125" s="19" t="s">
        <v>472</v>
      </c>
      <c r="AC125" s="3">
        <v>829000</v>
      </c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217"/>
      <c r="AW125" s="217"/>
      <c r="AX125" s="217"/>
    </row>
    <row r="126" spans="1:59" s="5" customFormat="1" ht="55.95" customHeight="1">
      <c r="A126" s="135">
        <f t="shared" si="41"/>
        <v>111</v>
      </c>
      <c r="B126" s="19">
        <v>2203</v>
      </c>
      <c r="C126" s="3" t="s">
        <v>719</v>
      </c>
      <c r="D126" s="120">
        <v>1700000</v>
      </c>
      <c r="E126" s="120">
        <v>1000000</v>
      </c>
      <c r="F126" s="120">
        <f t="shared" si="49"/>
        <v>700000</v>
      </c>
      <c r="G126" s="120">
        <v>1000000</v>
      </c>
      <c r="H126" s="120">
        <v>743174</v>
      </c>
      <c r="I126" s="120"/>
      <c r="J126" s="120"/>
      <c r="K126" s="120">
        <f t="shared" si="50"/>
        <v>0</v>
      </c>
      <c r="L126" s="120">
        <f t="shared" si="51"/>
        <v>743174</v>
      </c>
      <c r="M126" s="120">
        <f>P126+S126-250000</f>
        <v>6826</v>
      </c>
      <c r="N126" s="120">
        <f>700000+250000-200000</f>
        <v>750000</v>
      </c>
      <c r="O126" s="120">
        <f t="shared" si="52"/>
        <v>200000</v>
      </c>
      <c r="P126" s="120">
        <f t="shared" si="53"/>
        <v>256826</v>
      </c>
      <c r="Q126" s="357"/>
      <c r="R126" s="120"/>
      <c r="S126" s="120">
        <f t="shared" si="54"/>
        <v>0</v>
      </c>
      <c r="T126" s="120">
        <f t="shared" si="55"/>
        <v>250000</v>
      </c>
      <c r="U126" s="120">
        <f t="shared" si="56"/>
        <v>500000</v>
      </c>
      <c r="V126" s="120">
        <f t="shared" si="57"/>
        <v>500000</v>
      </c>
      <c r="W126" s="120"/>
      <c r="X126" s="120"/>
      <c r="Y126" s="120"/>
      <c r="Z126" s="120"/>
      <c r="AA126" s="135"/>
      <c r="AB126" s="3" t="s">
        <v>886</v>
      </c>
      <c r="AC126" s="3">
        <v>829000</v>
      </c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217"/>
      <c r="AW126" s="217"/>
      <c r="AX126" s="217"/>
    </row>
    <row r="127" spans="1:59" s="5" customFormat="1" ht="51" customHeight="1">
      <c r="A127" s="135">
        <f t="shared" si="41"/>
        <v>112</v>
      </c>
      <c r="B127" s="19">
        <v>20014</v>
      </c>
      <c r="C127" s="3" t="s">
        <v>959</v>
      </c>
      <c r="D127" s="120">
        <v>1500000</v>
      </c>
      <c r="E127" s="120">
        <v>800000</v>
      </c>
      <c r="F127" s="120">
        <f t="shared" si="49"/>
        <v>700000</v>
      </c>
      <c r="G127" s="120">
        <v>300000</v>
      </c>
      <c r="H127" s="120">
        <v>300000</v>
      </c>
      <c r="I127" s="120"/>
      <c r="J127" s="120"/>
      <c r="K127" s="120">
        <f t="shared" si="50"/>
        <v>0</v>
      </c>
      <c r="L127" s="120">
        <f t="shared" si="51"/>
        <v>300000</v>
      </c>
      <c r="M127" s="120">
        <f>P127+S127</f>
        <v>0</v>
      </c>
      <c r="N127" s="120">
        <f>1200000-200000-850000</f>
        <v>150000</v>
      </c>
      <c r="O127" s="120">
        <f t="shared" si="52"/>
        <v>1050000</v>
      </c>
      <c r="P127" s="120">
        <f t="shared" si="53"/>
        <v>0</v>
      </c>
      <c r="Q127" s="357"/>
      <c r="R127" s="120"/>
      <c r="S127" s="120">
        <f t="shared" si="54"/>
        <v>0</v>
      </c>
      <c r="T127" s="120">
        <f t="shared" si="55"/>
        <v>0</v>
      </c>
      <c r="U127" s="120">
        <f t="shared" si="56"/>
        <v>150000</v>
      </c>
      <c r="V127" s="120">
        <f t="shared" si="57"/>
        <v>150000</v>
      </c>
      <c r="W127" s="120"/>
      <c r="X127" s="120"/>
      <c r="Y127" s="120"/>
      <c r="Z127" s="120"/>
      <c r="AA127" s="135"/>
      <c r="AB127" s="3" t="s">
        <v>1431</v>
      </c>
      <c r="AC127" s="3">
        <v>829000</v>
      </c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217"/>
      <c r="AW127" s="217"/>
      <c r="AX127" s="217"/>
    </row>
    <row r="128" spans="1:59" s="223" customFormat="1" ht="45" customHeight="1">
      <c r="A128" s="135">
        <f t="shared" si="41"/>
        <v>113</v>
      </c>
      <c r="B128" s="19">
        <v>20015</v>
      </c>
      <c r="C128" s="3" t="s">
        <v>637</v>
      </c>
      <c r="D128" s="120">
        <f>2500000-360000-923</f>
        <v>2139077</v>
      </c>
      <c r="E128" s="120">
        <v>2500000</v>
      </c>
      <c r="F128" s="120">
        <f t="shared" si="49"/>
        <v>-360923</v>
      </c>
      <c r="G128" s="120">
        <f>2000000+100000</f>
        <v>2100000</v>
      </c>
      <c r="H128" s="120">
        <v>2139077</v>
      </c>
      <c r="I128" s="120"/>
      <c r="J128" s="120"/>
      <c r="K128" s="120">
        <f t="shared" si="50"/>
        <v>0</v>
      </c>
      <c r="L128" s="120">
        <f t="shared" si="51"/>
        <v>2139077</v>
      </c>
      <c r="M128" s="120">
        <f>P128+S128-300000-60000-923</f>
        <v>0</v>
      </c>
      <c r="N128" s="120"/>
      <c r="O128" s="120">
        <f t="shared" si="52"/>
        <v>0</v>
      </c>
      <c r="P128" s="120">
        <f t="shared" si="53"/>
        <v>-39077</v>
      </c>
      <c r="Q128" s="357">
        <f>500000-100000</f>
        <v>400000</v>
      </c>
      <c r="R128" s="120"/>
      <c r="S128" s="120">
        <f t="shared" si="54"/>
        <v>400000</v>
      </c>
      <c r="T128" s="120">
        <f t="shared" si="55"/>
        <v>360923</v>
      </c>
      <c r="U128" s="120">
        <f t="shared" si="56"/>
        <v>-360923</v>
      </c>
      <c r="V128" s="120">
        <f t="shared" si="57"/>
        <v>-360923</v>
      </c>
      <c r="W128" s="120"/>
      <c r="X128" s="120"/>
      <c r="Y128" s="120"/>
      <c r="Z128" s="120"/>
      <c r="AA128" s="135"/>
      <c r="AB128" s="3" t="s">
        <v>1432</v>
      </c>
      <c r="AC128" s="3">
        <v>829000</v>
      </c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217"/>
      <c r="AW128" s="217"/>
      <c r="AX128" s="217"/>
      <c r="AY128" s="5"/>
      <c r="AZ128" s="5"/>
      <c r="BA128" s="5"/>
      <c r="BB128" s="5"/>
      <c r="BC128" s="5"/>
      <c r="BD128" s="5"/>
      <c r="BE128" s="5"/>
      <c r="BF128" s="5"/>
      <c r="BG128" s="5"/>
    </row>
    <row r="129" spans="1:59" s="223" customFormat="1" ht="23.4" customHeight="1">
      <c r="A129" s="135">
        <f t="shared" si="41"/>
        <v>114</v>
      </c>
      <c r="B129" s="3">
        <v>20081</v>
      </c>
      <c r="C129" s="3" t="s">
        <v>946</v>
      </c>
      <c r="D129" s="120">
        <f>39000000+11000000+7500000</f>
        <v>57500000</v>
      </c>
      <c r="E129" s="120">
        <v>39000000</v>
      </c>
      <c r="F129" s="120">
        <f t="shared" si="49"/>
        <v>18500000</v>
      </c>
      <c r="G129" s="120">
        <f>10500000+28500000</f>
        <v>39000000</v>
      </c>
      <c r="H129" s="120">
        <v>33957035</v>
      </c>
      <c r="I129" s="120"/>
      <c r="J129" s="120"/>
      <c r="K129" s="120">
        <f t="shared" si="50"/>
        <v>0</v>
      </c>
      <c r="L129" s="120">
        <f t="shared" si="51"/>
        <v>33957035</v>
      </c>
      <c r="M129" s="120">
        <f>P129+S129-5000000-40000</f>
        <v>2965</v>
      </c>
      <c r="N129" s="120">
        <f>11000000+7500000+5000000-2000000+40000</f>
        <v>21540000</v>
      </c>
      <c r="O129" s="120">
        <f t="shared" si="52"/>
        <v>2000000</v>
      </c>
      <c r="P129" s="120">
        <f t="shared" si="53"/>
        <v>5042965</v>
      </c>
      <c r="Q129" s="357"/>
      <c r="R129" s="120">
        <f>28500000-28500000</f>
        <v>0</v>
      </c>
      <c r="S129" s="120">
        <f t="shared" si="54"/>
        <v>0</v>
      </c>
      <c r="T129" s="120">
        <f t="shared" si="55"/>
        <v>5040000</v>
      </c>
      <c r="U129" s="120">
        <f t="shared" si="56"/>
        <v>16500000</v>
      </c>
      <c r="V129" s="120">
        <f t="shared" si="57"/>
        <v>16500000</v>
      </c>
      <c r="W129" s="120"/>
      <c r="X129" s="120"/>
      <c r="Y129" s="120"/>
      <c r="Z129" s="120"/>
      <c r="AA129" s="135"/>
      <c r="AB129" s="3" t="s">
        <v>945</v>
      </c>
      <c r="AC129" s="3">
        <v>829000</v>
      </c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217"/>
      <c r="AW129" s="217"/>
      <c r="AX129" s="217"/>
      <c r="AY129" s="5"/>
      <c r="AZ129" s="5"/>
      <c r="BA129" s="5"/>
      <c r="BB129" s="5"/>
      <c r="BC129" s="5"/>
      <c r="BD129" s="5"/>
      <c r="BE129" s="5"/>
      <c r="BF129" s="5"/>
      <c r="BG129" s="5"/>
    </row>
    <row r="130" spans="1:59" s="223" customFormat="1" ht="24" customHeight="1">
      <c r="A130" s="135">
        <f t="shared" si="41"/>
        <v>115</v>
      </c>
      <c r="B130" s="3">
        <v>20093</v>
      </c>
      <c r="C130" s="3" t="s">
        <v>931</v>
      </c>
      <c r="D130" s="120">
        <v>12000000</v>
      </c>
      <c r="E130" s="120">
        <v>250000</v>
      </c>
      <c r="F130" s="120">
        <f t="shared" si="49"/>
        <v>11750000</v>
      </c>
      <c r="G130" s="120">
        <v>250000</v>
      </c>
      <c r="H130" s="120">
        <v>14270</v>
      </c>
      <c r="I130" s="120"/>
      <c r="J130" s="120"/>
      <c r="K130" s="120">
        <f t="shared" si="50"/>
        <v>0</v>
      </c>
      <c r="L130" s="120">
        <f t="shared" si="51"/>
        <v>14270</v>
      </c>
      <c r="M130" s="120">
        <f>P130+S130-230000</f>
        <v>5730</v>
      </c>
      <c r="N130" s="120">
        <f>11750000+230000-1750000</f>
        <v>10230000</v>
      </c>
      <c r="O130" s="120">
        <f t="shared" si="52"/>
        <v>1750000</v>
      </c>
      <c r="P130" s="120">
        <f t="shared" si="53"/>
        <v>235730</v>
      </c>
      <c r="Q130" s="357"/>
      <c r="R130" s="120"/>
      <c r="S130" s="120">
        <f t="shared" si="54"/>
        <v>0</v>
      </c>
      <c r="T130" s="120">
        <f t="shared" si="55"/>
        <v>230000</v>
      </c>
      <c r="U130" s="120">
        <f t="shared" si="56"/>
        <v>10000000</v>
      </c>
      <c r="V130" s="120">
        <f t="shared" si="57"/>
        <v>7523000</v>
      </c>
      <c r="W130" s="120"/>
      <c r="X130" s="120"/>
      <c r="Y130" s="120"/>
      <c r="Z130" s="120"/>
      <c r="AA130" s="120">
        <v>2477000</v>
      </c>
      <c r="AB130" s="3" t="s">
        <v>1390</v>
      </c>
      <c r="AC130" s="3">
        <v>829000</v>
      </c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217"/>
      <c r="AW130" s="217"/>
      <c r="AX130" s="217"/>
      <c r="AY130" s="5"/>
      <c r="AZ130" s="5"/>
      <c r="BA130" s="5"/>
      <c r="BB130" s="5"/>
      <c r="BC130" s="5"/>
      <c r="BD130" s="5"/>
      <c r="BE130" s="5"/>
      <c r="BF130" s="5"/>
      <c r="BG130" s="5"/>
    </row>
    <row r="131" spans="1:59" s="245" customFormat="1" ht="24" customHeight="1">
      <c r="A131" s="219"/>
      <c r="B131" s="20"/>
      <c r="C131" s="20" t="s">
        <v>1563</v>
      </c>
      <c r="D131" s="249">
        <f>SUM(D112:D130)</f>
        <v>652694782</v>
      </c>
      <c r="E131" s="249">
        <f t="shared" ref="E131:AA131" si="58">SUM(E112:E130)</f>
        <v>552061705</v>
      </c>
      <c r="F131" s="249">
        <f t="shared" si="58"/>
        <v>100633077</v>
      </c>
      <c r="G131" s="249">
        <f t="shared" si="58"/>
        <v>253011705</v>
      </c>
      <c r="H131" s="249">
        <f t="shared" si="58"/>
        <v>240166849</v>
      </c>
      <c r="I131" s="249">
        <f t="shared" si="58"/>
        <v>0</v>
      </c>
      <c r="J131" s="249">
        <f t="shared" si="58"/>
        <v>1020843</v>
      </c>
      <c r="K131" s="249">
        <f t="shared" si="58"/>
        <v>1020843</v>
      </c>
      <c r="L131" s="249">
        <f t="shared" si="58"/>
        <v>241187692</v>
      </c>
      <c r="M131" s="249">
        <f t="shared" si="58"/>
        <v>98090</v>
      </c>
      <c r="N131" s="249">
        <f t="shared" si="58"/>
        <v>79125000</v>
      </c>
      <c r="O131" s="249">
        <f t="shared" si="58"/>
        <v>332284000</v>
      </c>
      <c r="P131" s="249">
        <f t="shared" si="58"/>
        <v>11824013</v>
      </c>
      <c r="Q131" s="249">
        <f t="shared" si="58"/>
        <v>9050000</v>
      </c>
      <c r="R131" s="249">
        <f t="shared" si="58"/>
        <v>0</v>
      </c>
      <c r="S131" s="249">
        <f t="shared" si="58"/>
        <v>9050000</v>
      </c>
      <c r="T131" s="249">
        <f t="shared" si="58"/>
        <v>20775923</v>
      </c>
      <c r="U131" s="249">
        <f t="shared" si="58"/>
        <v>58349077</v>
      </c>
      <c r="V131" s="249">
        <f t="shared" si="58"/>
        <v>30703863</v>
      </c>
      <c r="W131" s="249">
        <f t="shared" si="58"/>
        <v>0</v>
      </c>
      <c r="X131" s="249">
        <f t="shared" si="58"/>
        <v>0</v>
      </c>
      <c r="Y131" s="249">
        <f t="shared" si="58"/>
        <v>0</v>
      </c>
      <c r="Z131" s="249">
        <f t="shared" si="58"/>
        <v>0</v>
      </c>
      <c r="AA131" s="249">
        <f t="shared" si="58"/>
        <v>27645214</v>
      </c>
      <c r="AB131" s="20"/>
      <c r="AC131" s="20"/>
      <c r="AV131" s="815"/>
      <c r="AW131" s="815"/>
      <c r="AX131" s="815"/>
      <c r="AY131" s="48"/>
      <c r="AZ131" s="48"/>
      <c r="BA131" s="48"/>
      <c r="BB131" s="48"/>
      <c r="BC131" s="48"/>
      <c r="BD131" s="48"/>
      <c r="BE131" s="48"/>
      <c r="BF131" s="48"/>
      <c r="BG131" s="48"/>
    </row>
    <row r="132" spans="1:59" s="245" customFormat="1" ht="24" customHeight="1">
      <c r="A132" s="219"/>
      <c r="B132" s="20"/>
      <c r="C132" s="20">
        <v>84</v>
      </c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49"/>
      <c r="P132" s="249"/>
      <c r="Q132" s="814"/>
      <c r="R132" s="249"/>
      <c r="S132" s="249"/>
      <c r="T132" s="249"/>
      <c r="U132" s="249"/>
      <c r="V132" s="249"/>
      <c r="W132" s="249"/>
      <c r="X132" s="249"/>
      <c r="Y132" s="249"/>
      <c r="Z132" s="249"/>
      <c r="AA132" s="249"/>
      <c r="AB132" s="20"/>
      <c r="AC132" s="20"/>
      <c r="AV132" s="815"/>
      <c r="AW132" s="815"/>
      <c r="AX132" s="815"/>
      <c r="AY132" s="48"/>
      <c r="AZ132" s="48"/>
      <c r="BA132" s="48"/>
      <c r="BB132" s="48"/>
      <c r="BC132" s="48"/>
      <c r="BD132" s="48"/>
      <c r="BE132" s="48"/>
      <c r="BF132" s="48"/>
      <c r="BG132" s="48"/>
    </row>
    <row r="133" spans="1:59" s="134" customFormat="1" ht="55.2">
      <c r="A133" s="135">
        <f>A130+1</f>
        <v>116</v>
      </c>
      <c r="B133" s="19">
        <v>2101</v>
      </c>
      <c r="C133" s="135" t="s">
        <v>437</v>
      </c>
      <c r="D133" s="120">
        <v>24200000</v>
      </c>
      <c r="E133" s="120">
        <v>24200000</v>
      </c>
      <c r="F133" s="120">
        <f>D133-E133</f>
        <v>0</v>
      </c>
      <c r="G133" s="120">
        <f>1500000+1500000</f>
        <v>3000000</v>
      </c>
      <c r="H133" s="120">
        <v>4730972</v>
      </c>
      <c r="I133" s="120"/>
      <c r="J133" s="120"/>
      <c r="K133" s="120">
        <f>SUM(I133:J133)</f>
        <v>0</v>
      </c>
      <c r="L133" s="120">
        <f>K133+H133</f>
        <v>4730972</v>
      </c>
      <c r="M133" s="120">
        <f>P133+S133-2750000</f>
        <v>19028</v>
      </c>
      <c r="N133" s="120">
        <f>16700000-8000000+2750000-1000000</f>
        <v>10450000</v>
      </c>
      <c r="O133" s="120">
        <f>D133-L133-M133-N133</f>
        <v>9000000</v>
      </c>
      <c r="P133" s="120">
        <f>G133-L133</f>
        <v>-1730972</v>
      </c>
      <c r="Q133" s="357">
        <f>6000000-1500000</f>
        <v>4500000</v>
      </c>
      <c r="R133" s="120"/>
      <c r="S133" s="120">
        <f>SUM(Q133:R133)</f>
        <v>4500000</v>
      </c>
      <c r="T133" s="120">
        <f>P133-M133+S133</f>
        <v>2750000</v>
      </c>
      <c r="U133" s="120">
        <f>N133-T133</f>
        <v>7700000</v>
      </c>
      <c r="V133" s="120">
        <f>U133-Z133-X133-AA133-W133-Y133</f>
        <v>7700000</v>
      </c>
      <c r="W133" s="120">
        <f>500000+20000+188000-500000-20000-188000</f>
        <v>0</v>
      </c>
      <c r="X133" s="120"/>
      <c r="Y133" s="120"/>
      <c r="Z133" s="120"/>
      <c r="AA133" s="120">
        <f>W133*0.7</f>
        <v>0</v>
      </c>
      <c r="AB133" s="235" t="s">
        <v>1316</v>
      </c>
      <c r="AC133" s="135">
        <v>840000</v>
      </c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217"/>
      <c r="AW133" s="217"/>
      <c r="AX133" s="217"/>
      <c r="AY133" s="131"/>
      <c r="AZ133" s="131"/>
      <c r="BA133" s="131"/>
      <c r="BB133" s="131"/>
      <c r="BC133" s="131"/>
      <c r="BD133" s="131"/>
      <c r="BE133" s="131"/>
      <c r="BF133" s="131"/>
      <c r="BG133" s="131"/>
    </row>
    <row r="134" spans="1:59" ht="45" customHeight="1">
      <c r="A134" s="135">
        <f t="shared" si="41"/>
        <v>117</v>
      </c>
      <c r="B134" s="19">
        <v>20109</v>
      </c>
      <c r="C134" s="135" t="s">
        <v>962</v>
      </c>
      <c r="D134" s="419">
        <v>1500000</v>
      </c>
      <c r="E134" s="419"/>
      <c r="F134" s="419">
        <f>D134-E134</f>
        <v>1500000</v>
      </c>
      <c r="G134" s="419">
        <v>0</v>
      </c>
      <c r="H134" s="419"/>
      <c r="I134" s="419"/>
      <c r="J134" s="419"/>
      <c r="K134" s="419">
        <f>I134+J134</f>
        <v>0</v>
      </c>
      <c r="L134" s="419">
        <f>H134+K134</f>
        <v>0</v>
      </c>
      <c r="M134" s="419">
        <f>P134+S134</f>
        <v>0</v>
      </c>
      <c r="N134" s="419">
        <v>1500000</v>
      </c>
      <c r="O134" s="120">
        <f>D134-L134-M134-N134</f>
        <v>0</v>
      </c>
      <c r="P134" s="120">
        <f>G134-L134</f>
        <v>0</v>
      </c>
      <c r="Q134" s="120"/>
      <c r="R134" s="120"/>
      <c r="S134" s="120">
        <f>SUM(Q134:R134)</f>
        <v>0</v>
      </c>
      <c r="T134" s="120">
        <f>P134-M134+S134</f>
        <v>0</v>
      </c>
      <c r="U134" s="120">
        <f>N134-T134</f>
        <v>1500000</v>
      </c>
      <c r="V134" s="120">
        <f>U134-W134-Z134-AA134</f>
        <v>1500000</v>
      </c>
      <c r="W134" s="120"/>
      <c r="X134" s="120"/>
      <c r="Y134" s="120"/>
      <c r="Z134" s="120"/>
      <c r="AA134" s="120"/>
      <c r="AB134" s="3" t="s">
        <v>1496</v>
      </c>
      <c r="AC134" s="3">
        <v>840000</v>
      </c>
      <c r="AV134" s="131"/>
      <c r="AW134" s="131"/>
      <c r="AX134" s="131"/>
      <c r="AY134" s="272"/>
      <c r="AZ134" s="272"/>
      <c r="BA134" s="272"/>
      <c r="BB134" s="272"/>
      <c r="BC134" s="272"/>
      <c r="BD134" s="272"/>
      <c r="BE134" s="272"/>
      <c r="BF134" s="272"/>
      <c r="BG134" s="272"/>
    </row>
    <row r="135" spans="1:59" s="245" customFormat="1" ht="25.2" customHeight="1">
      <c r="A135" s="219"/>
      <c r="B135" s="20"/>
      <c r="C135" s="219" t="s">
        <v>1564</v>
      </c>
      <c r="D135" s="809">
        <f>SUM(D133:D134)</f>
        <v>25700000</v>
      </c>
      <c r="E135" s="809">
        <f t="shared" ref="E135:AA135" si="59">SUM(E133:E134)</f>
        <v>24200000</v>
      </c>
      <c r="F135" s="809">
        <f t="shared" si="59"/>
        <v>1500000</v>
      </c>
      <c r="G135" s="809">
        <f t="shared" si="59"/>
        <v>3000000</v>
      </c>
      <c r="H135" s="809">
        <f t="shared" si="59"/>
        <v>4730972</v>
      </c>
      <c r="I135" s="809">
        <f t="shared" si="59"/>
        <v>0</v>
      </c>
      <c r="J135" s="809">
        <f t="shared" si="59"/>
        <v>0</v>
      </c>
      <c r="K135" s="809">
        <f t="shared" si="59"/>
        <v>0</v>
      </c>
      <c r="L135" s="809">
        <f t="shared" si="59"/>
        <v>4730972</v>
      </c>
      <c r="M135" s="809">
        <f t="shared" si="59"/>
        <v>19028</v>
      </c>
      <c r="N135" s="809">
        <f t="shared" si="59"/>
        <v>11950000</v>
      </c>
      <c r="O135" s="809">
        <f t="shared" si="59"/>
        <v>9000000</v>
      </c>
      <c r="P135" s="809">
        <f t="shared" si="59"/>
        <v>-1730972</v>
      </c>
      <c r="Q135" s="809">
        <f t="shared" si="59"/>
        <v>4500000</v>
      </c>
      <c r="R135" s="809">
        <f t="shared" si="59"/>
        <v>0</v>
      </c>
      <c r="S135" s="809">
        <f t="shared" si="59"/>
        <v>4500000</v>
      </c>
      <c r="T135" s="809">
        <f t="shared" si="59"/>
        <v>2750000</v>
      </c>
      <c r="U135" s="809">
        <f t="shared" si="59"/>
        <v>9200000</v>
      </c>
      <c r="V135" s="809">
        <f t="shared" si="59"/>
        <v>9200000</v>
      </c>
      <c r="W135" s="809">
        <f t="shared" si="59"/>
        <v>0</v>
      </c>
      <c r="X135" s="809">
        <f t="shared" si="59"/>
        <v>0</v>
      </c>
      <c r="Y135" s="809">
        <f t="shared" si="59"/>
        <v>0</v>
      </c>
      <c r="Z135" s="809">
        <f t="shared" si="59"/>
        <v>0</v>
      </c>
      <c r="AA135" s="809">
        <f t="shared" si="59"/>
        <v>0</v>
      </c>
      <c r="AB135" s="20"/>
      <c r="AC135" s="20"/>
      <c r="AY135" s="359"/>
      <c r="AZ135" s="359"/>
      <c r="BA135" s="359"/>
      <c r="BB135" s="359"/>
      <c r="BC135" s="359"/>
      <c r="BD135" s="359"/>
      <c r="BE135" s="359"/>
      <c r="BF135" s="359"/>
      <c r="BG135" s="359"/>
    </row>
    <row r="136" spans="1:59" s="245" customFormat="1" ht="31.2" customHeight="1">
      <c r="A136" s="219"/>
      <c r="B136" s="20"/>
      <c r="C136" s="219">
        <v>848</v>
      </c>
      <c r="D136" s="809"/>
      <c r="E136" s="809"/>
      <c r="F136" s="809"/>
      <c r="G136" s="809"/>
      <c r="H136" s="809"/>
      <c r="I136" s="809"/>
      <c r="J136" s="809"/>
      <c r="K136" s="809"/>
      <c r="L136" s="809"/>
      <c r="M136" s="809"/>
      <c r="N136" s="809"/>
      <c r="O136" s="249"/>
      <c r="P136" s="249"/>
      <c r="Q136" s="249"/>
      <c r="R136" s="249"/>
      <c r="S136" s="249"/>
      <c r="T136" s="249"/>
      <c r="U136" s="249"/>
      <c r="V136" s="249"/>
      <c r="W136" s="249"/>
      <c r="X136" s="249"/>
      <c r="Y136" s="249"/>
      <c r="Z136" s="249"/>
      <c r="AA136" s="249"/>
      <c r="AB136" s="20"/>
      <c r="AC136" s="20"/>
      <c r="AY136" s="359"/>
      <c r="AZ136" s="359"/>
      <c r="BA136" s="359"/>
      <c r="BB136" s="359"/>
      <c r="BC136" s="359"/>
      <c r="BD136" s="359"/>
      <c r="BE136" s="359"/>
      <c r="BF136" s="359"/>
      <c r="BG136" s="359"/>
    </row>
    <row r="137" spans="1:59" s="134" customFormat="1" ht="45" customHeight="1">
      <c r="A137" s="135">
        <f>A134+1</f>
        <v>118</v>
      </c>
      <c r="B137" s="19">
        <v>2103</v>
      </c>
      <c r="C137" s="135" t="s">
        <v>293</v>
      </c>
      <c r="D137" s="120">
        <v>4200000</v>
      </c>
      <c r="E137" s="120">
        <v>4200000</v>
      </c>
      <c r="F137" s="120">
        <f>D137-E137</f>
        <v>0</v>
      </c>
      <c r="G137" s="120">
        <v>1000000</v>
      </c>
      <c r="H137" s="120">
        <v>875595</v>
      </c>
      <c r="I137" s="120"/>
      <c r="J137" s="120"/>
      <c r="K137" s="120">
        <f>SUM(I137:J137)</f>
        <v>0</v>
      </c>
      <c r="L137" s="120">
        <f>K137+H137</f>
        <v>875595</v>
      </c>
      <c r="M137" s="120">
        <f>P137+S137-700000-120000</f>
        <v>4405</v>
      </c>
      <c r="N137" s="120">
        <v>120000</v>
      </c>
      <c r="O137" s="120">
        <f>D137-L137-M137-N137</f>
        <v>3200000</v>
      </c>
      <c r="P137" s="120">
        <f>G137-L137</f>
        <v>124405</v>
      </c>
      <c r="Q137" s="357">
        <v>700000</v>
      </c>
      <c r="R137" s="120"/>
      <c r="S137" s="120">
        <f>SUM(Q137:R137)</f>
        <v>700000</v>
      </c>
      <c r="T137" s="120">
        <f>P137-M137+S137</f>
        <v>820000</v>
      </c>
      <c r="U137" s="120">
        <f>N137-T137</f>
        <v>-700000</v>
      </c>
      <c r="V137" s="120">
        <f>U137-Z137-X137-AA137-W137-Y137</f>
        <v>-700000</v>
      </c>
      <c r="W137" s="120"/>
      <c r="X137" s="120"/>
      <c r="Y137" s="120"/>
      <c r="Z137" s="120"/>
      <c r="AA137" s="135"/>
      <c r="AB137" s="224" t="s">
        <v>628</v>
      </c>
      <c r="AC137" s="135">
        <v>848000</v>
      </c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217"/>
      <c r="AW137" s="217"/>
      <c r="AX137" s="217"/>
      <c r="AY137" s="131"/>
      <c r="AZ137" s="131"/>
      <c r="BA137" s="131"/>
      <c r="BB137" s="131"/>
      <c r="BC137" s="131"/>
      <c r="BD137" s="131"/>
      <c r="BE137" s="131"/>
      <c r="BF137" s="131"/>
      <c r="BG137" s="131"/>
    </row>
    <row r="138" spans="1:59" s="238" customFormat="1" ht="45" customHeight="1">
      <c r="A138" s="219"/>
      <c r="B138" s="20"/>
      <c r="C138" s="219" t="s">
        <v>1569</v>
      </c>
      <c r="D138" s="249">
        <f>SUM(D137)</f>
        <v>4200000</v>
      </c>
      <c r="E138" s="249">
        <f t="shared" ref="E138:AA138" si="60">SUM(E137)</f>
        <v>4200000</v>
      </c>
      <c r="F138" s="249">
        <f t="shared" si="60"/>
        <v>0</v>
      </c>
      <c r="G138" s="249">
        <f t="shared" si="60"/>
        <v>1000000</v>
      </c>
      <c r="H138" s="249">
        <f t="shared" si="60"/>
        <v>875595</v>
      </c>
      <c r="I138" s="249">
        <f t="shared" si="60"/>
        <v>0</v>
      </c>
      <c r="J138" s="249">
        <f t="shared" si="60"/>
        <v>0</v>
      </c>
      <c r="K138" s="249">
        <f t="shared" si="60"/>
        <v>0</v>
      </c>
      <c r="L138" s="249">
        <f t="shared" si="60"/>
        <v>875595</v>
      </c>
      <c r="M138" s="249">
        <f t="shared" si="60"/>
        <v>4405</v>
      </c>
      <c r="N138" s="249">
        <f t="shared" si="60"/>
        <v>120000</v>
      </c>
      <c r="O138" s="249">
        <f t="shared" si="60"/>
        <v>3200000</v>
      </c>
      <c r="P138" s="249">
        <f t="shared" si="60"/>
        <v>124405</v>
      </c>
      <c r="Q138" s="249">
        <f t="shared" si="60"/>
        <v>700000</v>
      </c>
      <c r="R138" s="249">
        <f t="shared" si="60"/>
        <v>0</v>
      </c>
      <c r="S138" s="249">
        <f t="shared" si="60"/>
        <v>700000</v>
      </c>
      <c r="T138" s="249">
        <f t="shared" si="60"/>
        <v>820000</v>
      </c>
      <c r="U138" s="249">
        <f t="shared" si="60"/>
        <v>-700000</v>
      </c>
      <c r="V138" s="249">
        <f t="shared" si="60"/>
        <v>-700000</v>
      </c>
      <c r="W138" s="249">
        <f t="shared" si="60"/>
        <v>0</v>
      </c>
      <c r="X138" s="249">
        <f t="shared" si="60"/>
        <v>0</v>
      </c>
      <c r="Y138" s="249">
        <f t="shared" si="60"/>
        <v>0</v>
      </c>
      <c r="Z138" s="249">
        <f t="shared" si="60"/>
        <v>0</v>
      </c>
      <c r="AA138" s="249">
        <f t="shared" si="60"/>
        <v>0</v>
      </c>
      <c r="AB138" s="219"/>
      <c r="AC138" s="219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815"/>
      <c r="AW138" s="815"/>
      <c r="AX138" s="815"/>
      <c r="AY138" s="245"/>
      <c r="AZ138" s="245"/>
      <c r="BA138" s="245"/>
      <c r="BB138" s="245"/>
      <c r="BC138" s="245"/>
      <c r="BD138" s="245"/>
      <c r="BE138" s="245"/>
      <c r="BF138" s="245"/>
      <c r="BG138" s="245"/>
    </row>
    <row r="139" spans="1:59" s="238" customFormat="1" ht="45" customHeight="1">
      <c r="A139" s="219"/>
      <c r="B139" s="20"/>
      <c r="C139" s="219">
        <v>85</v>
      </c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P139" s="249"/>
      <c r="Q139" s="814"/>
      <c r="R139" s="249"/>
      <c r="S139" s="249"/>
      <c r="T139" s="249"/>
      <c r="U139" s="249"/>
      <c r="V139" s="249"/>
      <c r="W139" s="249"/>
      <c r="X139" s="249"/>
      <c r="Y139" s="249"/>
      <c r="Z139" s="249"/>
      <c r="AA139" s="219"/>
      <c r="AB139" s="219"/>
      <c r="AC139" s="219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815"/>
      <c r="AW139" s="815"/>
      <c r="AX139" s="815"/>
      <c r="AY139" s="245"/>
      <c r="AZ139" s="245"/>
      <c r="BA139" s="245"/>
      <c r="BB139" s="245"/>
      <c r="BC139" s="245"/>
      <c r="BD139" s="245"/>
      <c r="BE139" s="245"/>
      <c r="BF139" s="245"/>
      <c r="BG139" s="245"/>
    </row>
    <row r="140" spans="1:59" s="134" customFormat="1" ht="37.950000000000003" customHeight="1">
      <c r="A140" s="135">
        <f>A137+1</f>
        <v>119</v>
      </c>
      <c r="B140" s="220">
        <v>2076</v>
      </c>
      <c r="C140" s="135" t="s">
        <v>261</v>
      </c>
      <c r="D140" s="120">
        <v>2350000</v>
      </c>
      <c r="E140" s="120">
        <v>2350000</v>
      </c>
      <c r="F140" s="120">
        <f>D140-E140</f>
        <v>0</v>
      </c>
      <c r="G140" s="120">
        <v>1450000</v>
      </c>
      <c r="H140" s="120">
        <v>231641</v>
      </c>
      <c r="I140" s="120"/>
      <c r="J140" s="120"/>
      <c r="K140" s="120">
        <f>SUM(I140:J140)</f>
        <v>0</v>
      </c>
      <c r="L140" s="120">
        <f>K140+H140</f>
        <v>231641</v>
      </c>
      <c r="M140" s="120">
        <f>P140+S140-900000-1200000</f>
        <v>18359</v>
      </c>
      <c r="N140" s="120">
        <f>900000+1200000-400000</f>
        <v>1700000</v>
      </c>
      <c r="O140" s="120">
        <f>D140-L140-M140-N140</f>
        <v>400000</v>
      </c>
      <c r="P140" s="120">
        <f>G140-L140</f>
        <v>1218359</v>
      </c>
      <c r="Q140" s="357">
        <v>900000</v>
      </c>
      <c r="R140" s="120"/>
      <c r="S140" s="120">
        <f>SUM(Q140:R140)</f>
        <v>900000</v>
      </c>
      <c r="T140" s="120">
        <f>P140-M140+S140</f>
        <v>2100000</v>
      </c>
      <c r="U140" s="120">
        <f>N140-T140</f>
        <v>-400000</v>
      </c>
      <c r="V140" s="120">
        <f>U140-Z140-X140-AA140-W140-Y140</f>
        <v>-400000</v>
      </c>
      <c r="W140" s="120"/>
      <c r="X140" s="120"/>
      <c r="Y140" s="120"/>
      <c r="Z140" s="120"/>
      <c r="AA140" s="135"/>
      <c r="AB140" s="135" t="s">
        <v>294</v>
      </c>
      <c r="AC140" s="135">
        <v>850000</v>
      </c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217"/>
      <c r="AW140" s="217"/>
      <c r="AX140" s="217"/>
      <c r="AY140" s="131"/>
      <c r="AZ140" s="131"/>
      <c r="BA140" s="131"/>
      <c r="BB140" s="131"/>
      <c r="BC140" s="131"/>
      <c r="BD140" s="131"/>
      <c r="BE140" s="131"/>
      <c r="BF140" s="131"/>
      <c r="BG140" s="131"/>
    </row>
    <row r="141" spans="1:59" ht="75" customHeight="1">
      <c r="A141" s="135">
        <f t="shared" si="41"/>
        <v>120</v>
      </c>
      <c r="B141" s="19">
        <v>2208</v>
      </c>
      <c r="C141" s="3" t="s">
        <v>479</v>
      </c>
      <c r="D141" s="120">
        <f>12750000-12000000-250000-298391</f>
        <v>201609</v>
      </c>
      <c r="E141" s="120">
        <v>12750000</v>
      </c>
      <c r="F141" s="120">
        <f>D141-E141</f>
        <v>-12548391</v>
      </c>
      <c r="G141" s="120">
        <v>500000</v>
      </c>
      <c r="H141" s="120">
        <v>201609</v>
      </c>
      <c r="I141" s="120"/>
      <c r="J141" s="120"/>
      <c r="K141" s="120">
        <f>SUM(I141:J141)</f>
        <v>0</v>
      </c>
      <c r="L141" s="120">
        <f>K141+H141</f>
        <v>201609</v>
      </c>
      <c r="M141" s="120">
        <f>P141+S141-250000-298391</f>
        <v>0</v>
      </c>
      <c r="N141" s="120">
        <f>6000000-6000000</f>
        <v>0</v>
      </c>
      <c r="O141" s="120">
        <f>D141-L141-M141-N141</f>
        <v>0</v>
      </c>
      <c r="P141" s="120">
        <f>G141-L141</f>
        <v>298391</v>
      </c>
      <c r="Q141" s="357">
        <v>250000</v>
      </c>
      <c r="R141" s="120"/>
      <c r="S141" s="120">
        <f>SUM(Q141:R141)</f>
        <v>250000</v>
      </c>
      <c r="T141" s="120">
        <f>P141-M141+S141</f>
        <v>548391</v>
      </c>
      <c r="U141" s="120">
        <f>N141-T141</f>
        <v>-548391</v>
      </c>
      <c r="V141" s="120">
        <f>U141-Z141-X141-AA141-W141-Y141</f>
        <v>-548391</v>
      </c>
      <c r="W141" s="120"/>
      <c r="X141" s="120"/>
      <c r="Y141" s="120"/>
      <c r="Z141" s="120"/>
      <c r="AA141" s="135"/>
      <c r="AB141" s="3" t="s">
        <v>1513</v>
      </c>
      <c r="AC141" s="3">
        <v>850000</v>
      </c>
      <c r="AY141" s="5"/>
      <c r="AZ141" s="5"/>
      <c r="BA141" s="5"/>
      <c r="BB141" s="5"/>
      <c r="BC141" s="5"/>
      <c r="BD141" s="5"/>
      <c r="BE141" s="5"/>
      <c r="BF141" s="5"/>
      <c r="BG141" s="5"/>
    </row>
    <row r="142" spans="1:59" ht="45" customHeight="1">
      <c r="A142" s="135">
        <f t="shared" si="41"/>
        <v>121</v>
      </c>
      <c r="B142" s="19">
        <v>20017</v>
      </c>
      <c r="C142" s="3" t="s">
        <v>1441</v>
      </c>
      <c r="D142" s="120">
        <v>10000000</v>
      </c>
      <c r="E142" s="120">
        <v>10000000</v>
      </c>
      <c r="F142" s="120">
        <f>D142-E142</f>
        <v>0</v>
      </c>
      <c r="G142" s="120">
        <v>350000</v>
      </c>
      <c r="H142" s="120">
        <v>303035</v>
      </c>
      <c r="I142" s="120"/>
      <c r="J142" s="120"/>
      <c r="K142" s="120">
        <f>SUM(I142:J142)</f>
        <v>0</v>
      </c>
      <c r="L142" s="120">
        <f>K142+H142</f>
        <v>303035</v>
      </c>
      <c r="M142" s="120">
        <f>P142+S142-1500000-545000</f>
        <v>1965</v>
      </c>
      <c r="N142" s="120">
        <f>7650000-3650000-1000000+545000-1000000</f>
        <v>2545000</v>
      </c>
      <c r="O142" s="120">
        <f>D142-L142-M142-N142</f>
        <v>7150000</v>
      </c>
      <c r="P142" s="120">
        <f>G142-L142</f>
        <v>46965</v>
      </c>
      <c r="Q142" s="357">
        <v>2000000</v>
      </c>
      <c r="R142" s="120"/>
      <c r="S142" s="120">
        <f>SUM(Q142:R142)</f>
        <v>2000000</v>
      </c>
      <c r="T142" s="120">
        <f>P142-M142+S142</f>
        <v>2045000</v>
      </c>
      <c r="U142" s="120">
        <f>N142-T142</f>
        <v>500000</v>
      </c>
      <c r="V142" s="120">
        <f>U142-Z142-X142-AA142-W142-Y142</f>
        <v>500000</v>
      </c>
      <c r="W142" s="120"/>
      <c r="X142" s="120"/>
      <c r="Y142" s="120"/>
      <c r="Z142" s="120"/>
      <c r="AA142" s="135"/>
      <c r="AB142" s="3" t="s">
        <v>1442</v>
      </c>
      <c r="AC142" s="3">
        <v>850000</v>
      </c>
      <c r="AY142" s="5"/>
      <c r="AZ142" s="5"/>
      <c r="BA142" s="5"/>
      <c r="BB142" s="5"/>
      <c r="BC142" s="5"/>
      <c r="BD142" s="5"/>
      <c r="BE142" s="5"/>
      <c r="BF142" s="5"/>
      <c r="BG142" s="5"/>
    </row>
    <row r="143" spans="1:59" ht="70.95" customHeight="1">
      <c r="A143" s="135">
        <f t="shared" si="41"/>
        <v>122</v>
      </c>
      <c r="B143" s="19">
        <v>20063</v>
      </c>
      <c r="C143" s="3" t="s">
        <v>913</v>
      </c>
      <c r="D143" s="120">
        <f>46500000-45500000+750000</f>
        <v>1750000</v>
      </c>
      <c r="E143" s="120">
        <v>1000000</v>
      </c>
      <c r="F143" s="120">
        <f>D143-E143</f>
        <v>750000</v>
      </c>
      <c r="G143" s="120">
        <v>150000</v>
      </c>
      <c r="H143" s="120">
        <v>379788</v>
      </c>
      <c r="I143" s="120"/>
      <c r="J143" s="120"/>
      <c r="K143" s="120">
        <f>SUM(I143:J143)</f>
        <v>0</v>
      </c>
      <c r="L143" s="120">
        <f>K143+H143</f>
        <v>379788</v>
      </c>
      <c r="M143" s="120">
        <f>P143+S143-250000+130000</f>
        <v>212</v>
      </c>
      <c r="N143" s="120">
        <f>1500000-130000-500000</f>
        <v>870000</v>
      </c>
      <c r="O143" s="120">
        <f>D143-L143-M143-N143</f>
        <v>500000</v>
      </c>
      <c r="P143" s="120">
        <f>G143-L143</f>
        <v>-229788</v>
      </c>
      <c r="Q143" s="357">
        <v>350000</v>
      </c>
      <c r="R143" s="120"/>
      <c r="S143" s="120">
        <f>SUM(Q143:R143)</f>
        <v>350000</v>
      </c>
      <c r="T143" s="120">
        <f>P143-M143+S143</f>
        <v>120000</v>
      </c>
      <c r="U143" s="120">
        <f>N143-T143</f>
        <v>750000</v>
      </c>
      <c r="V143" s="120">
        <f>U143-Z143-X143-AA143-W143-Y143</f>
        <v>750000</v>
      </c>
      <c r="W143" s="120"/>
      <c r="X143" s="120"/>
      <c r="Y143" s="120"/>
      <c r="Z143" s="120"/>
      <c r="AA143" s="135"/>
      <c r="AB143" s="3" t="s">
        <v>837</v>
      </c>
      <c r="AC143" s="3">
        <v>850000</v>
      </c>
      <c r="AY143" s="5"/>
      <c r="AZ143" s="5"/>
      <c r="BA143" s="5"/>
      <c r="BB143" s="5"/>
      <c r="BC143" s="5"/>
      <c r="BD143" s="5"/>
      <c r="BE143" s="5"/>
      <c r="BF143" s="5"/>
      <c r="BG143" s="5"/>
    </row>
    <row r="144" spans="1:59" s="245" customFormat="1" ht="36.6" customHeight="1">
      <c r="A144" s="219"/>
      <c r="B144" s="20"/>
      <c r="C144" s="20" t="s">
        <v>1565</v>
      </c>
      <c r="D144" s="249">
        <f>SUM(D140:D143)</f>
        <v>14301609</v>
      </c>
      <c r="E144" s="249">
        <f t="shared" ref="E144:AA144" si="61">SUM(E140:E143)</f>
        <v>26100000</v>
      </c>
      <c r="F144" s="249">
        <f t="shared" si="61"/>
        <v>-11798391</v>
      </c>
      <c r="G144" s="249">
        <f t="shared" si="61"/>
        <v>2450000</v>
      </c>
      <c r="H144" s="249">
        <f t="shared" si="61"/>
        <v>1116073</v>
      </c>
      <c r="I144" s="249">
        <f t="shared" si="61"/>
        <v>0</v>
      </c>
      <c r="J144" s="249">
        <f t="shared" si="61"/>
        <v>0</v>
      </c>
      <c r="K144" s="249">
        <f t="shared" si="61"/>
        <v>0</v>
      </c>
      <c r="L144" s="249">
        <f t="shared" si="61"/>
        <v>1116073</v>
      </c>
      <c r="M144" s="249">
        <f t="shared" si="61"/>
        <v>20536</v>
      </c>
      <c r="N144" s="249">
        <f t="shared" si="61"/>
        <v>5115000</v>
      </c>
      <c r="O144" s="249">
        <f t="shared" si="61"/>
        <v>8050000</v>
      </c>
      <c r="P144" s="249">
        <f t="shared" si="61"/>
        <v>1333927</v>
      </c>
      <c r="Q144" s="249">
        <f t="shared" si="61"/>
        <v>3500000</v>
      </c>
      <c r="R144" s="249">
        <f t="shared" si="61"/>
        <v>0</v>
      </c>
      <c r="S144" s="249">
        <f t="shared" si="61"/>
        <v>3500000</v>
      </c>
      <c r="T144" s="249">
        <f t="shared" si="61"/>
        <v>4813391</v>
      </c>
      <c r="U144" s="249">
        <f t="shared" si="61"/>
        <v>301609</v>
      </c>
      <c r="V144" s="249">
        <f t="shared" si="61"/>
        <v>301609</v>
      </c>
      <c r="W144" s="249">
        <f t="shared" si="61"/>
        <v>0</v>
      </c>
      <c r="X144" s="249">
        <f t="shared" si="61"/>
        <v>0</v>
      </c>
      <c r="Y144" s="249">
        <f t="shared" si="61"/>
        <v>0</v>
      </c>
      <c r="Z144" s="249">
        <f t="shared" si="61"/>
        <v>0</v>
      </c>
      <c r="AA144" s="249">
        <f t="shared" si="61"/>
        <v>0</v>
      </c>
      <c r="AB144" s="20"/>
      <c r="AC144" s="20"/>
      <c r="AV144" s="815"/>
      <c r="AW144" s="815"/>
      <c r="AX144" s="815"/>
      <c r="AY144" s="48"/>
      <c r="AZ144" s="48"/>
      <c r="BA144" s="48"/>
      <c r="BB144" s="48"/>
      <c r="BC144" s="48"/>
      <c r="BD144" s="48"/>
      <c r="BE144" s="48"/>
      <c r="BF144" s="48"/>
      <c r="BG144" s="48"/>
    </row>
    <row r="145" spans="1:59" s="245" customFormat="1" ht="36.6" customHeight="1">
      <c r="A145" s="219"/>
      <c r="B145" s="20"/>
      <c r="C145" s="20">
        <v>87</v>
      </c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814"/>
      <c r="R145" s="249"/>
      <c r="S145" s="249"/>
      <c r="T145" s="249"/>
      <c r="U145" s="249"/>
      <c r="V145" s="249"/>
      <c r="W145" s="249"/>
      <c r="X145" s="249"/>
      <c r="Y145" s="249"/>
      <c r="Z145" s="249"/>
      <c r="AA145" s="219"/>
      <c r="AB145" s="20"/>
      <c r="AC145" s="20"/>
      <c r="AV145" s="815"/>
      <c r="AW145" s="815"/>
      <c r="AX145" s="815"/>
      <c r="AY145" s="48"/>
      <c r="AZ145" s="48"/>
      <c r="BA145" s="48"/>
      <c r="BB145" s="48"/>
      <c r="BC145" s="48"/>
      <c r="BD145" s="48"/>
      <c r="BE145" s="48"/>
      <c r="BF145" s="48"/>
      <c r="BG145" s="48"/>
    </row>
    <row r="146" spans="1:59" ht="45" customHeight="1">
      <c r="A146" s="135">
        <f>A143+1</f>
        <v>123</v>
      </c>
      <c r="B146" s="212">
        <v>2213</v>
      </c>
      <c r="C146" s="3" t="s">
        <v>449</v>
      </c>
      <c r="D146" s="120">
        <v>7100000</v>
      </c>
      <c r="E146" s="120">
        <v>7100000</v>
      </c>
      <c r="F146" s="120">
        <f>D146-E146</f>
        <v>0</v>
      </c>
      <c r="G146" s="120">
        <v>7100000</v>
      </c>
      <c r="H146" s="120">
        <v>5524946</v>
      </c>
      <c r="I146" s="120"/>
      <c r="J146" s="120"/>
      <c r="K146" s="120">
        <f>SUM(I146:J146)</f>
        <v>0</v>
      </c>
      <c r="L146" s="120">
        <f>K146+H146</f>
        <v>5524946</v>
      </c>
      <c r="M146" s="120">
        <f>P146+S146-1570000</f>
        <v>5054</v>
      </c>
      <c r="N146" s="120">
        <v>1570000</v>
      </c>
      <c r="O146" s="120">
        <f>D146-L146-M146-N146</f>
        <v>0</v>
      </c>
      <c r="P146" s="120">
        <f>G146-L146</f>
        <v>1575054</v>
      </c>
      <c r="Q146" s="357"/>
      <c r="R146" s="120"/>
      <c r="S146" s="120">
        <f>SUM(Q146:R146)</f>
        <v>0</v>
      </c>
      <c r="T146" s="120">
        <f>P146-M146+S146</f>
        <v>1570000</v>
      </c>
      <c r="U146" s="120">
        <f>N146-T146</f>
        <v>0</v>
      </c>
      <c r="V146" s="120">
        <f>U146-Z146-X146-AA146-W146-Y146</f>
        <v>0</v>
      </c>
      <c r="W146" s="120"/>
      <c r="X146" s="120"/>
      <c r="Y146" s="120"/>
      <c r="Z146" s="120"/>
      <c r="AA146" s="135"/>
      <c r="AB146" s="3" t="s">
        <v>961</v>
      </c>
      <c r="AC146" s="3">
        <v>870000</v>
      </c>
      <c r="AY146" s="157"/>
      <c r="AZ146" s="157"/>
      <c r="BA146" s="157"/>
      <c r="BB146" s="157"/>
      <c r="BC146" s="157"/>
      <c r="BD146" s="157"/>
      <c r="BE146" s="157"/>
      <c r="BF146" s="157"/>
      <c r="BG146" s="157"/>
    </row>
    <row r="147" spans="1:59" s="223" customFormat="1" ht="45" customHeight="1">
      <c r="A147" s="137"/>
      <c r="B147" s="818"/>
      <c r="C147" s="7" t="s">
        <v>1560</v>
      </c>
      <c r="D147" s="138">
        <f>SUM(D146)</f>
        <v>7100000</v>
      </c>
      <c r="E147" s="138">
        <f t="shared" ref="E147:AA147" si="62">SUM(E146)</f>
        <v>7100000</v>
      </c>
      <c r="F147" s="138">
        <f t="shared" si="62"/>
        <v>0</v>
      </c>
      <c r="G147" s="138">
        <f t="shared" si="62"/>
        <v>7100000</v>
      </c>
      <c r="H147" s="138">
        <f t="shared" si="62"/>
        <v>5524946</v>
      </c>
      <c r="I147" s="138">
        <f t="shared" si="62"/>
        <v>0</v>
      </c>
      <c r="J147" s="138">
        <f t="shared" si="62"/>
        <v>0</v>
      </c>
      <c r="K147" s="138">
        <f t="shared" si="62"/>
        <v>0</v>
      </c>
      <c r="L147" s="138">
        <f t="shared" si="62"/>
        <v>5524946</v>
      </c>
      <c r="M147" s="138">
        <f t="shared" si="62"/>
        <v>5054</v>
      </c>
      <c r="N147" s="138">
        <f t="shared" si="62"/>
        <v>1570000</v>
      </c>
      <c r="O147" s="138">
        <f t="shared" si="62"/>
        <v>0</v>
      </c>
      <c r="P147" s="138">
        <f t="shared" si="62"/>
        <v>1575054</v>
      </c>
      <c r="Q147" s="138">
        <f t="shared" si="62"/>
        <v>0</v>
      </c>
      <c r="R147" s="138">
        <f t="shared" si="62"/>
        <v>0</v>
      </c>
      <c r="S147" s="138">
        <f t="shared" si="62"/>
        <v>0</v>
      </c>
      <c r="T147" s="138">
        <f t="shared" si="62"/>
        <v>1570000</v>
      </c>
      <c r="U147" s="138">
        <f t="shared" si="62"/>
        <v>0</v>
      </c>
      <c r="V147" s="138">
        <f t="shared" si="62"/>
        <v>0</v>
      </c>
      <c r="W147" s="138">
        <f t="shared" si="62"/>
        <v>0</v>
      </c>
      <c r="X147" s="138">
        <f t="shared" si="62"/>
        <v>0</v>
      </c>
      <c r="Y147" s="138">
        <f t="shared" si="62"/>
        <v>0</v>
      </c>
      <c r="Z147" s="138">
        <f t="shared" si="62"/>
        <v>0</v>
      </c>
      <c r="AA147" s="138">
        <f t="shared" si="62"/>
        <v>0</v>
      </c>
      <c r="AB147" s="7"/>
      <c r="AC147" s="7"/>
      <c r="AV147" s="217"/>
      <c r="AW147" s="217"/>
      <c r="AX147" s="217"/>
      <c r="AY147" s="303"/>
      <c r="AZ147" s="303"/>
      <c r="BA147" s="303"/>
      <c r="BB147" s="303"/>
      <c r="BC147" s="303"/>
      <c r="BD147" s="303"/>
      <c r="BE147" s="303"/>
      <c r="BF147" s="303"/>
      <c r="BG147" s="303"/>
    </row>
    <row r="148" spans="1:59" s="223" customFormat="1" ht="22.2" customHeight="1">
      <c r="A148" s="137"/>
      <c r="B148" s="818"/>
      <c r="C148" s="7">
        <v>93</v>
      </c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817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7"/>
      <c r="AB148" s="7"/>
      <c r="AC148" s="7"/>
      <c r="AV148" s="217"/>
      <c r="AW148" s="217"/>
      <c r="AX148" s="217"/>
      <c r="AY148" s="303"/>
      <c r="AZ148" s="303"/>
      <c r="BA148" s="303"/>
      <c r="BB148" s="303"/>
      <c r="BC148" s="303"/>
      <c r="BD148" s="303"/>
      <c r="BE148" s="303"/>
      <c r="BF148" s="303"/>
      <c r="BG148" s="303"/>
    </row>
    <row r="149" spans="1:59" ht="73.95" customHeight="1">
      <c r="A149" s="135">
        <f>A146+1</f>
        <v>124</v>
      </c>
      <c r="B149" s="3">
        <v>20097</v>
      </c>
      <c r="C149" s="3" t="s">
        <v>932</v>
      </c>
      <c r="D149" s="120">
        <v>2900000</v>
      </c>
      <c r="E149" s="120">
        <v>1000000</v>
      </c>
      <c r="F149" s="120">
        <f>D149-E149</f>
        <v>1900000</v>
      </c>
      <c r="G149" s="120">
        <v>0</v>
      </c>
      <c r="H149" s="120"/>
      <c r="I149" s="120"/>
      <c r="J149" s="120"/>
      <c r="K149" s="120">
        <f>SUM(I149:J149)</f>
        <v>0</v>
      </c>
      <c r="L149" s="120">
        <f>K149+H149</f>
        <v>0</v>
      </c>
      <c r="M149" s="120">
        <f>P149+S149</f>
        <v>0</v>
      </c>
      <c r="N149" s="120">
        <v>2900000</v>
      </c>
      <c r="O149" s="120">
        <f>D149-L149-M149-N149</f>
        <v>0</v>
      </c>
      <c r="P149" s="120">
        <f>G149-L149</f>
        <v>0</v>
      </c>
      <c r="Q149" s="357"/>
      <c r="R149" s="120"/>
      <c r="S149" s="120">
        <f>SUM(Q149:R149)</f>
        <v>0</v>
      </c>
      <c r="T149" s="120">
        <f>P149-M149+S149</f>
        <v>0</v>
      </c>
      <c r="U149" s="120">
        <f>N149-T149</f>
        <v>2900000</v>
      </c>
      <c r="V149" s="120">
        <f>U149-Z149-X149-AA149-W149-Y149</f>
        <v>2300000</v>
      </c>
      <c r="W149" s="120"/>
      <c r="X149" s="120"/>
      <c r="Y149" s="120"/>
      <c r="Z149" s="120"/>
      <c r="AA149" s="120">
        <v>600000</v>
      </c>
      <c r="AB149" s="3" t="s">
        <v>1329</v>
      </c>
      <c r="AC149" s="3">
        <v>930000</v>
      </c>
      <c r="AY149" s="5"/>
      <c r="AZ149" s="5"/>
      <c r="BA149" s="5"/>
      <c r="BB149" s="5"/>
      <c r="BC149" s="5"/>
      <c r="BD149" s="5"/>
      <c r="BE149" s="5"/>
      <c r="BF149" s="5"/>
      <c r="BG149" s="5"/>
    </row>
    <row r="150" spans="1:59" s="245" customFormat="1" ht="25.95" customHeight="1">
      <c r="A150" s="219"/>
      <c r="B150" s="20"/>
      <c r="C150" s="20" t="s">
        <v>534</v>
      </c>
      <c r="D150" s="249">
        <f>SUM(D149)</f>
        <v>2900000</v>
      </c>
      <c r="E150" s="249">
        <f t="shared" ref="E150:AA150" si="63">SUM(E149)</f>
        <v>1000000</v>
      </c>
      <c r="F150" s="249">
        <f t="shared" si="63"/>
        <v>1900000</v>
      </c>
      <c r="G150" s="249">
        <f t="shared" si="63"/>
        <v>0</v>
      </c>
      <c r="H150" s="249">
        <f t="shared" si="63"/>
        <v>0</v>
      </c>
      <c r="I150" s="249">
        <f t="shared" si="63"/>
        <v>0</v>
      </c>
      <c r="J150" s="249">
        <f t="shared" si="63"/>
        <v>0</v>
      </c>
      <c r="K150" s="249">
        <f t="shared" si="63"/>
        <v>0</v>
      </c>
      <c r="L150" s="249">
        <f t="shared" si="63"/>
        <v>0</v>
      </c>
      <c r="M150" s="249">
        <f t="shared" si="63"/>
        <v>0</v>
      </c>
      <c r="N150" s="249">
        <f t="shared" si="63"/>
        <v>2900000</v>
      </c>
      <c r="O150" s="249">
        <f t="shared" si="63"/>
        <v>0</v>
      </c>
      <c r="P150" s="249">
        <f t="shared" si="63"/>
        <v>0</v>
      </c>
      <c r="Q150" s="249">
        <f t="shared" si="63"/>
        <v>0</v>
      </c>
      <c r="R150" s="249">
        <f t="shared" si="63"/>
        <v>0</v>
      </c>
      <c r="S150" s="249">
        <f t="shared" si="63"/>
        <v>0</v>
      </c>
      <c r="T150" s="249">
        <f t="shared" si="63"/>
        <v>0</v>
      </c>
      <c r="U150" s="249">
        <f t="shared" si="63"/>
        <v>2900000</v>
      </c>
      <c r="V150" s="249">
        <f t="shared" si="63"/>
        <v>2300000</v>
      </c>
      <c r="W150" s="249">
        <f t="shared" si="63"/>
        <v>0</v>
      </c>
      <c r="X150" s="249">
        <f t="shared" si="63"/>
        <v>0</v>
      </c>
      <c r="Y150" s="249">
        <f t="shared" si="63"/>
        <v>0</v>
      </c>
      <c r="Z150" s="249">
        <f t="shared" si="63"/>
        <v>0</v>
      </c>
      <c r="AA150" s="249">
        <f t="shared" si="63"/>
        <v>600000</v>
      </c>
      <c r="AB150" s="20"/>
      <c r="AC150" s="20"/>
      <c r="AV150" s="815"/>
      <c r="AW150" s="815"/>
      <c r="AX150" s="815"/>
      <c r="AY150" s="48"/>
      <c r="AZ150" s="48"/>
      <c r="BA150" s="48"/>
      <c r="BB150" s="48"/>
      <c r="BC150" s="48"/>
      <c r="BD150" s="48"/>
      <c r="BE150" s="48"/>
      <c r="BF150" s="48"/>
      <c r="BG150" s="48"/>
    </row>
    <row r="151" spans="1:59" s="288" customFormat="1" ht="30" customHeight="1">
      <c r="A151" s="246">
        <f>A149</f>
        <v>124</v>
      </c>
      <c r="B151" s="246"/>
      <c r="C151" s="20" t="s">
        <v>435</v>
      </c>
      <c r="D151" s="287">
        <f>D150+D147+D144+D138+D135+D131+D110+D76+D73+D68+D13</f>
        <v>3899445537</v>
      </c>
      <c r="E151" s="287">
        <f t="shared" ref="E151:AA151" si="64">E150+E147+E144+E138+E135+E131+E110+E76+E73+E68+E13</f>
        <v>3502520292</v>
      </c>
      <c r="F151" s="287">
        <f t="shared" si="64"/>
        <v>396925245</v>
      </c>
      <c r="G151" s="287">
        <f t="shared" si="64"/>
        <v>1854025664</v>
      </c>
      <c r="H151" s="287">
        <f t="shared" si="64"/>
        <v>1826049527</v>
      </c>
      <c r="I151" s="287">
        <f t="shared" si="64"/>
        <v>449944</v>
      </c>
      <c r="J151" s="287">
        <f t="shared" si="64"/>
        <v>1996222</v>
      </c>
      <c r="K151" s="287">
        <f t="shared" si="64"/>
        <v>2446166</v>
      </c>
      <c r="L151" s="287">
        <f t="shared" si="64"/>
        <v>1828495693</v>
      </c>
      <c r="M151" s="287">
        <f t="shared" si="64"/>
        <v>677795</v>
      </c>
      <c r="N151" s="287">
        <f t="shared" si="64"/>
        <v>485183155</v>
      </c>
      <c r="O151" s="287">
        <f t="shared" si="64"/>
        <v>1585088894</v>
      </c>
      <c r="P151" s="287">
        <f t="shared" si="64"/>
        <v>25529971</v>
      </c>
      <c r="Q151" s="287">
        <f t="shared" si="64"/>
        <v>97530155</v>
      </c>
      <c r="R151" s="287">
        <f t="shared" si="64"/>
        <v>7500000</v>
      </c>
      <c r="S151" s="287">
        <f t="shared" si="64"/>
        <v>105030155</v>
      </c>
      <c r="T151" s="287">
        <f t="shared" si="64"/>
        <v>129882331</v>
      </c>
      <c r="U151" s="287">
        <f t="shared" si="64"/>
        <v>355300824</v>
      </c>
      <c r="V151" s="287">
        <f t="shared" si="64"/>
        <v>240768931</v>
      </c>
      <c r="W151" s="287">
        <f t="shared" si="64"/>
        <v>2216408</v>
      </c>
      <c r="X151" s="287">
        <f t="shared" si="64"/>
        <v>0</v>
      </c>
      <c r="Y151" s="287">
        <f t="shared" si="64"/>
        <v>16236186</v>
      </c>
      <c r="Z151" s="287">
        <f t="shared" si="64"/>
        <v>0</v>
      </c>
      <c r="AA151" s="287">
        <f t="shared" si="64"/>
        <v>96079299</v>
      </c>
      <c r="AB151" s="287"/>
      <c r="AC151" s="287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217"/>
      <c r="AW151" s="217"/>
      <c r="AX151" s="217"/>
      <c r="AY151" s="358"/>
    </row>
    <row r="152" spans="1:59">
      <c r="D152" s="348">
        <f>SUM(L151:O151)</f>
        <v>3899445537</v>
      </c>
      <c r="F152" s="132">
        <f>D151-E151</f>
        <v>396925245</v>
      </c>
      <c r="L152" s="348">
        <f>H151+K151</f>
        <v>1828495693</v>
      </c>
      <c r="P152" s="348">
        <f>G151-L152</f>
        <v>25529971</v>
      </c>
      <c r="T152" s="348">
        <f>P152+S151-M151</f>
        <v>129882331</v>
      </c>
      <c r="U152" s="348">
        <f>N151-T152</f>
        <v>355300824</v>
      </c>
      <c r="V152" s="132"/>
      <c r="W152" s="132"/>
      <c r="X152" s="132"/>
      <c r="Y152" s="132"/>
      <c r="Z152" s="132"/>
      <c r="AA152" s="132"/>
    </row>
    <row r="153" spans="1:59">
      <c r="D153" s="348">
        <f>D151-D152</f>
        <v>0</v>
      </c>
      <c r="L153" s="348">
        <f>L151-L152</f>
        <v>0</v>
      </c>
      <c r="P153" s="348">
        <f>P151-P152</f>
        <v>0</v>
      </c>
      <c r="T153" s="348">
        <f>T151-T152</f>
        <v>0</v>
      </c>
      <c r="U153" s="348">
        <f>U151-U152</f>
        <v>0</v>
      </c>
      <c r="V153" s="132"/>
      <c r="W153" s="132"/>
      <c r="X153" s="132"/>
      <c r="Y153" s="132"/>
      <c r="Z153" s="132"/>
      <c r="AA153" s="132"/>
    </row>
    <row r="154" spans="1:59">
      <c r="U154" s="132"/>
      <c r="V154" s="132"/>
      <c r="W154" s="132"/>
      <c r="X154" s="132"/>
      <c r="Y154" s="132"/>
      <c r="Z154" s="132"/>
      <c r="AA154" s="132"/>
      <c r="AB154" s="132"/>
      <c r="AC154" s="132"/>
    </row>
    <row r="155" spans="1:59">
      <c r="U155" s="132"/>
      <c r="V155" s="132"/>
      <c r="W155" s="132"/>
      <c r="X155" s="132"/>
      <c r="Y155" s="132"/>
      <c r="Z155" s="132"/>
      <c r="AA155" s="132"/>
      <c r="AB155" s="132"/>
      <c r="AC155" s="132"/>
    </row>
    <row r="156" spans="1:59">
      <c r="U156" s="132"/>
      <c r="V156" s="132"/>
      <c r="W156" s="132"/>
      <c r="X156" s="132"/>
      <c r="Y156" s="132"/>
      <c r="Z156" s="132"/>
      <c r="AA156" s="132"/>
      <c r="AB156" s="132"/>
      <c r="AC156" s="132"/>
    </row>
    <row r="157" spans="1:59">
      <c r="U157" s="132"/>
      <c r="V157" s="132"/>
      <c r="W157" s="132"/>
      <c r="X157" s="132"/>
      <c r="Y157" s="132"/>
      <c r="Z157" s="132"/>
      <c r="AA157" s="132"/>
      <c r="AB157" s="132"/>
      <c r="AC157" s="132"/>
    </row>
    <row r="158" spans="1:59">
      <c r="U158" s="132"/>
      <c r="V158" s="132"/>
      <c r="W158" s="132"/>
      <c r="X158" s="132"/>
      <c r="Y158" s="132"/>
      <c r="Z158" s="132"/>
      <c r="AA158" s="132"/>
      <c r="AB158" s="132"/>
      <c r="AC158" s="132"/>
    </row>
    <row r="159" spans="1:59">
      <c r="AB159" s="131"/>
    </row>
    <row r="160" spans="1:59">
      <c r="AB160" s="131"/>
    </row>
    <row r="161" spans="28:28">
      <c r="AB161" s="131"/>
    </row>
    <row r="162" spans="28:28">
      <c r="AB162" s="131"/>
    </row>
    <row r="163" spans="28:28">
      <c r="AB163" s="131"/>
    </row>
    <row r="164" spans="28:28">
      <c r="AB164" s="131"/>
    </row>
    <row r="165" spans="28:28">
      <c r="AB165" s="131"/>
    </row>
    <row r="166" spans="28:28">
      <c r="AB166" s="131"/>
    </row>
    <row r="167" spans="28:28">
      <c r="AB167" s="131"/>
    </row>
    <row r="168" spans="28:28">
      <c r="AB168" s="131"/>
    </row>
    <row r="169" spans="28:28">
      <c r="AB169" s="131"/>
    </row>
    <row r="170" spans="28:28">
      <c r="AB170" s="131"/>
    </row>
    <row r="171" spans="28:28">
      <c r="AB171" s="131"/>
    </row>
    <row r="172" spans="28:28">
      <c r="AB172" s="131"/>
    </row>
    <row r="173" spans="28:28">
      <c r="AB173" s="131"/>
    </row>
    <row r="174" spans="28:28">
      <c r="AB174" s="131"/>
    </row>
    <row r="175" spans="28:28">
      <c r="AB175" s="131"/>
    </row>
    <row r="176" spans="28:28">
      <c r="AB176" s="131"/>
    </row>
  </sheetData>
  <sheetProtection formatCells="0" formatColumns="0" formatRows="0" insertColumns="0" insertRows="0" insertHyperlinks="0" deleteColumns="0" deleteRows="0" sort="0" autoFilter="0" pivotTables="0"/>
  <sortState ref="A5:BG132">
    <sortCondition ref="AC5:AC132"/>
  </sortState>
  <mergeCells count="1">
    <mergeCell ref="V3:AA3"/>
  </mergeCells>
  <conditionalFormatting sqref="O21">
    <cfRule type="cellIs" dxfId="426" priority="6" operator="lessThan">
      <formula>0</formula>
    </cfRule>
  </conditionalFormatting>
  <conditionalFormatting sqref="O83">
    <cfRule type="cellIs" dxfId="425" priority="5" operator="lessThan">
      <formula>0</formula>
    </cfRule>
  </conditionalFormatting>
  <conditionalFormatting sqref="O99">
    <cfRule type="cellIs" dxfId="424" priority="4" operator="lessThan">
      <formula>0</formula>
    </cfRule>
  </conditionalFormatting>
  <conditionalFormatting sqref="AB4:AB5">
    <cfRule type="cellIs" dxfId="423" priority="7" operator="equal">
      <formula>0</formula>
    </cfRule>
  </conditionalFormatting>
  <conditionalFormatting sqref="AF4:AF5">
    <cfRule type="cellIs" dxfId="422" priority="3" operator="equal">
      <formula>0</formula>
    </cfRule>
  </conditionalFormatting>
  <conditionalFormatting sqref="AG4:AG5">
    <cfRule type="cellIs" dxfId="421" priority="2" operator="equal">
      <formula>0</formula>
    </cfRule>
  </conditionalFormatting>
  <conditionalFormatting sqref="AJ4:AJ5">
    <cfRule type="cellIs" dxfId="42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7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8.88671875" style="176" customWidth="1"/>
    <col min="5" max="5" width="30.44140625" style="176" customWidth="1"/>
    <col min="6" max="6" width="12.1093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2" spans="1:17" ht="21">
      <c r="E2" s="177"/>
    </row>
    <row r="3" spans="1:17" ht="21">
      <c r="A3" s="175"/>
      <c r="C3" s="177" t="s">
        <v>598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1272</v>
      </c>
      <c r="D5" s="175"/>
      <c r="E5" s="175"/>
      <c r="F5" s="179">
        <f>'תקציב מינהל תפעול 2024 '!U115</f>
        <v>67083543</v>
      </c>
      <c r="I5" s="175"/>
      <c r="J5" s="175"/>
      <c r="K5" s="175"/>
      <c r="L5" s="175"/>
    </row>
    <row r="6" spans="1:17" ht="15" customHeight="1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1610</v>
      </c>
      <c r="D7" s="175"/>
      <c r="F7" s="179">
        <f>'תקציב מינהל תפעול 2024 '!A115</f>
        <v>110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D11" s="186" t="s">
        <v>220</v>
      </c>
      <c r="E11" s="187" t="s">
        <v>221</v>
      </c>
      <c r="F11" s="188" t="s">
        <v>222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82" t="s">
        <v>13</v>
      </c>
      <c r="E12" s="189">
        <f>'תקציב מינהל תפעול 2024 '!V115</f>
        <v>8775568</v>
      </c>
      <c r="F12" s="211">
        <f>E12/$E$16</f>
        <v>0.13081551163748165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82" t="s">
        <v>14</v>
      </c>
      <c r="E13" s="189">
        <f>'תקציב מינהל תפעול 2024 '!W115</f>
        <v>22573844</v>
      </c>
      <c r="F13" s="211">
        <f>E13/$E$16</f>
        <v>0.33650345510224466</v>
      </c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C14" s="178"/>
      <c r="D14" s="182" t="s">
        <v>1597</v>
      </c>
      <c r="E14" s="189">
        <f>'תקציב מינהל תפעול 2024 '!Y115</f>
        <v>23905000</v>
      </c>
      <c r="F14" s="211">
        <f>E14/$E$16</f>
        <v>0.35634671233748044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2" t="s">
        <v>75</v>
      </c>
      <c r="E15" s="189">
        <f>'תקציב מינהל תפעול 2024 '!AA115</f>
        <v>11829131</v>
      </c>
      <c r="F15" s="211">
        <f>E15/$E$16</f>
        <v>0.17633432092279325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6.2" thickBot="1">
      <c r="C16" s="178"/>
      <c r="D16" s="184" t="s">
        <v>84</v>
      </c>
      <c r="E16" s="191">
        <f>SUM(E12:E15)</f>
        <v>67083543</v>
      </c>
      <c r="F16" s="248">
        <f>SUM(F12:F15)</f>
        <v>1</v>
      </c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C17" s="178"/>
      <c r="D17" s="181"/>
      <c r="E17" s="200"/>
      <c r="F17" s="284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6.2" customHeight="1">
      <c r="A18" s="175"/>
      <c r="C18" s="177"/>
      <c r="E18" s="175"/>
      <c r="F18" s="175"/>
      <c r="G18" s="175"/>
      <c r="H18" s="175"/>
      <c r="I18" s="175"/>
      <c r="J18" s="175"/>
      <c r="K18" s="175"/>
      <c r="L18" s="175"/>
    </row>
    <row r="19" spans="1:17" ht="15.6">
      <c r="A19" s="175"/>
      <c r="B19" s="175"/>
      <c r="C19" s="175"/>
      <c r="D19" s="254" t="s">
        <v>1542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1:17" ht="15.6">
      <c r="C20" s="175"/>
      <c r="D20"/>
      <c r="E20" s="175"/>
      <c r="F20" s="175"/>
      <c r="H20" s="175"/>
      <c r="I20" s="175"/>
      <c r="J20" s="175"/>
      <c r="K20" s="175"/>
      <c r="L20" s="175"/>
    </row>
    <row r="21" spans="1:17" ht="15.6">
      <c r="B21" s="178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17" s="260" customFormat="1" ht="15.6"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</row>
    <row r="37" spans="1:17" s="240" customFormat="1" ht="15.6">
      <c r="A37" s="239"/>
      <c r="B37" s="260"/>
      <c r="C37" s="261" t="s">
        <v>129</v>
      </c>
      <c r="D37" s="262" t="s">
        <v>1632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6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2" width="4.109375" style="71" customWidth="1"/>
    <col min="3" max="3" width="56.88671875" style="71" customWidth="1"/>
    <col min="4" max="4" width="9.109375" style="71"/>
    <col min="5" max="5" width="15.6640625" style="71" customWidth="1"/>
    <col min="6" max="8" width="9.109375" style="71"/>
    <col min="9" max="9" width="7.88671875" style="71" customWidth="1"/>
    <col min="10" max="16384" width="9.109375" style="71"/>
  </cols>
  <sheetData>
    <row r="3" spans="1:16" ht="21">
      <c r="C3" s="72"/>
    </row>
    <row r="4" spans="1:16" ht="15.6">
      <c r="A4" s="73" t="s">
        <v>145</v>
      </c>
      <c r="B4" s="73" t="s">
        <v>145</v>
      </c>
      <c r="C4" s="74" t="s">
        <v>146</v>
      </c>
    </row>
    <row r="5" spans="1:16" ht="15.6">
      <c r="A5" s="73"/>
      <c r="B5" s="73"/>
      <c r="C5" s="74"/>
    </row>
    <row r="6" spans="1:16" ht="15.6">
      <c r="A6" s="73">
        <v>1.1000000000000001</v>
      </c>
      <c r="B6" s="73"/>
      <c r="C6" s="75" t="s">
        <v>147</v>
      </c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5.6">
      <c r="A7" s="73"/>
      <c r="B7" s="73"/>
      <c r="C7" s="73" t="s">
        <v>148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5.6">
      <c r="A8" s="73"/>
      <c r="B8" s="73"/>
      <c r="C8" s="73" t="s">
        <v>425</v>
      </c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5.6">
      <c r="A9" s="73"/>
      <c r="B9" s="73"/>
      <c r="C9" s="73" t="s">
        <v>424</v>
      </c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5.6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5.6">
      <c r="A11" s="73"/>
      <c r="B11" s="73"/>
      <c r="C11" s="73" t="s">
        <v>149</v>
      </c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15.6">
      <c r="A12" s="76"/>
      <c r="B12" s="76" t="s">
        <v>129</v>
      </c>
      <c r="C12" s="73" t="s">
        <v>150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5.6">
      <c r="A13" s="73"/>
      <c r="B13" s="76" t="s">
        <v>129</v>
      </c>
      <c r="C13" s="73" t="s">
        <v>559</v>
      </c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</row>
    <row r="14" spans="1:16" ht="15.6">
      <c r="A14" s="73"/>
      <c r="B14" s="76" t="s">
        <v>129</v>
      </c>
      <c r="C14" s="73" t="s">
        <v>151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</row>
    <row r="15" spans="1:16" ht="15.6">
      <c r="A15" s="73"/>
      <c r="B15" s="73"/>
      <c r="C15" s="73" t="s">
        <v>152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</row>
    <row r="16" spans="1:16" ht="15.6">
      <c r="A16" s="73"/>
      <c r="B16" s="76" t="s">
        <v>129</v>
      </c>
      <c r="C16" s="73" t="s">
        <v>153</v>
      </c>
      <c r="D16" s="73"/>
      <c r="E16" s="73"/>
      <c r="F16" s="73"/>
      <c r="G16" s="73"/>
      <c r="H16" s="73"/>
      <c r="I16" s="73"/>
      <c r="J16" s="75"/>
      <c r="K16" s="73"/>
      <c r="L16" s="73"/>
      <c r="M16" s="73"/>
      <c r="N16" s="73"/>
      <c r="O16" s="73"/>
      <c r="P16" s="73"/>
    </row>
    <row r="17" spans="1:16" ht="15.6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ht="15.6">
      <c r="A18" s="73">
        <v>1.2</v>
      </c>
      <c r="B18" s="73"/>
      <c r="C18" s="75" t="s">
        <v>154</v>
      </c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</row>
    <row r="19" spans="1:16" ht="15.6">
      <c r="A19" s="73"/>
      <c r="B19" s="73"/>
      <c r="C19" s="73" t="s">
        <v>155</v>
      </c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</row>
    <row r="20" spans="1:16" ht="15.6">
      <c r="A20" s="73"/>
      <c r="B20" s="73"/>
      <c r="C20" s="73" t="s">
        <v>422</v>
      </c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</row>
    <row r="21" spans="1:16" ht="15.6">
      <c r="A21" s="73"/>
      <c r="B21" s="73"/>
      <c r="C21" s="73" t="s">
        <v>423</v>
      </c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</row>
    <row r="22" spans="1:16" ht="15.6">
      <c r="A22" s="73"/>
      <c r="B22" s="73"/>
      <c r="C22" s="73" t="s">
        <v>156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</row>
    <row r="23" spans="1:16" ht="15.6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</row>
    <row r="24" spans="1:16" ht="15.6">
      <c r="A24" s="73">
        <v>1.3</v>
      </c>
      <c r="B24" s="73"/>
      <c r="C24" s="75" t="s">
        <v>157</v>
      </c>
      <c r="D24" s="73"/>
      <c r="E24" s="74" t="s">
        <v>158</v>
      </c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</row>
    <row r="25" spans="1:16" ht="15.6">
      <c r="A25" s="73"/>
      <c r="B25" s="73"/>
      <c r="C25" s="75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</row>
    <row r="26" spans="1:16" ht="16.2" thickBot="1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</row>
    <row r="27" spans="1:16" ht="16.2" thickBot="1">
      <c r="A27" s="73"/>
      <c r="B27" s="76" t="s">
        <v>129</v>
      </c>
      <c r="C27" s="73" t="s">
        <v>1012</v>
      </c>
      <c r="E27" s="344">
        <f>'ריכוז אגפים'!S17/1000</f>
        <v>452663.94500000001</v>
      </c>
      <c r="K27" s="73"/>
      <c r="L27" s="73"/>
      <c r="M27" s="73"/>
      <c r="N27" s="73"/>
      <c r="O27" s="73"/>
      <c r="P27" s="73"/>
    </row>
    <row r="28" spans="1:16" ht="16.2" hidden="1" thickBot="1">
      <c r="A28" s="73"/>
      <c r="B28" s="73"/>
      <c r="C28" s="73"/>
      <c r="D28" s="73"/>
      <c r="E28" s="345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</row>
    <row r="29" spans="1:16" ht="16.2" thickBot="1">
      <c r="A29" s="73"/>
      <c r="B29" s="76" t="s">
        <v>129</v>
      </c>
      <c r="C29" s="73" t="s">
        <v>1013</v>
      </c>
      <c r="E29" s="344">
        <f>'ריכוז אגפים'!L17/1000</f>
        <v>659697.41500000004</v>
      </c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</row>
    <row r="30" spans="1:16" ht="16.2" thickBot="1">
      <c r="A30" s="73"/>
      <c r="B30" s="76" t="s">
        <v>129</v>
      </c>
      <c r="C30" s="73" t="s">
        <v>1363</v>
      </c>
      <c r="D30" s="333"/>
      <c r="E30" s="344">
        <f>'ריכוז אגפים'!M17/1000</f>
        <v>2405191.7599999998</v>
      </c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</row>
    <row r="31" spans="1:16" ht="16.2" thickBot="1">
      <c r="A31" s="73"/>
      <c r="B31" s="76" t="s">
        <v>129</v>
      </c>
      <c r="C31" s="73" t="s">
        <v>159</v>
      </c>
      <c r="E31" s="344">
        <f>'ריכוז אגפים'!B17/1000</f>
        <v>5913581.9170000004</v>
      </c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</row>
    <row r="32" spans="1:16" ht="15.6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</row>
    <row r="33" spans="1:16" ht="15.6">
      <c r="A33" s="73"/>
      <c r="B33" s="77"/>
      <c r="C33" s="77"/>
      <c r="D33" s="77"/>
      <c r="E33" s="77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</row>
    <row r="34" spans="1:16" ht="15.6">
      <c r="A34" s="73"/>
      <c r="B34" s="76" t="s">
        <v>129</v>
      </c>
      <c r="C34" s="73" t="s">
        <v>1267</v>
      </c>
      <c r="D34" s="73"/>
      <c r="E34" s="155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</row>
    <row r="35" spans="1:16" ht="15.6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</row>
    <row r="36" spans="1:16" s="73" customFormat="1" ht="15.6">
      <c r="B36" s="76" t="s">
        <v>129</v>
      </c>
      <c r="C36" s="73" t="s">
        <v>1601</v>
      </c>
      <c r="D36" s="267"/>
      <c r="E36" s="267"/>
    </row>
    <row r="37" spans="1:16" s="73" customFormat="1" ht="15.6">
      <c r="D37" s="267"/>
      <c r="E37" s="267"/>
    </row>
    <row r="38" spans="1:16" s="73" customFormat="1" ht="15.6">
      <c r="C38" s="267"/>
      <c r="D38" s="267"/>
      <c r="E38" s="267"/>
    </row>
    <row r="39" spans="1:16" ht="15.6">
      <c r="A39" s="78"/>
      <c r="B39" s="78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</row>
    <row r="40" spans="1:16" ht="15.6">
      <c r="A40" s="78"/>
      <c r="B40" s="78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</row>
    <row r="41" spans="1:16" ht="15.6">
      <c r="A41" s="78"/>
      <c r="B41" s="78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</row>
    <row r="42" spans="1:16" ht="15.6">
      <c r="A42" s="78"/>
      <c r="B42" s="78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</row>
    <row r="43" spans="1:16" ht="15.6">
      <c r="A43" s="78"/>
      <c r="B43" s="78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</row>
    <row r="44" spans="1:16" ht="15.6">
      <c r="A44" s="78"/>
      <c r="B44" s="78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</row>
    <row r="45" spans="1:16" ht="15.6"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</row>
    <row r="46" spans="1:16" ht="15.6"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44.3320312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2" spans="1:17" ht="21">
      <c r="E2" s="177"/>
    </row>
    <row r="3" spans="1:17" ht="21">
      <c r="A3" s="175"/>
      <c r="C3" s="177" t="s">
        <v>648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5.6">
      <c r="B5" s="178" t="s">
        <v>129</v>
      </c>
      <c r="C5" s="175" t="s">
        <v>1270</v>
      </c>
      <c r="D5" s="175"/>
      <c r="E5" s="175"/>
      <c r="F5" s="175"/>
      <c r="H5" s="175"/>
      <c r="I5" s="175"/>
      <c r="J5" s="175"/>
      <c r="K5" s="175"/>
      <c r="L5" s="175"/>
      <c r="M5" s="175"/>
      <c r="N5" s="175"/>
      <c r="O5" s="175"/>
      <c r="P5" s="175"/>
      <c r="Q5" s="175"/>
    </row>
    <row r="6" spans="1:17" ht="16.2" thickBot="1">
      <c r="C6" s="175"/>
      <c r="D6" s="175"/>
      <c r="E6" s="175"/>
      <c r="F6" s="175"/>
      <c r="H6" s="175"/>
      <c r="I6" s="175"/>
      <c r="J6" s="175"/>
      <c r="K6" s="175"/>
      <c r="L6" s="175"/>
    </row>
    <row r="7" spans="1:17" ht="15.6">
      <c r="D7" s="186" t="s">
        <v>223</v>
      </c>
      <c r="E7" s="180" t="s">
        <v>1360</v>
      </c>
      <c r="F7" s="181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C8" s="178"/>
      <c r="D8" s="182" t="s">
        <v>1531</v>
      </c>
      <c r="E8" s="183">
        <f>'תקציב מינהל תפעול 2024 '!N105</f>
        <v>23135000</v>
      </c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C9" s="178"/>
      <c r="D9" s="182" t="s">
        <v>617</v>
      </c>
      <c r="E9" s="194">
        <f>'תקציב מינהל תפעול 2024 '!N80</f>
        <v>9600000</v>
      </c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.6">
      <c r="C10" s="178"/>
      <c r="D10" s="193" t="s">
        <v>1456</v>
      </c>
      <c r="E10" s="194">
        <f>'תקציב מינהל תפעול 2024 '!N106+'תקציב מינהל תפעול 2024 '!N14</f>
        <v>5170000</v>
      </c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C11" s="178"/>
      <c r="D11" s="193" t="s">
        <v>1547</v>
      </c>
      <c r="E11" s="194">
        <f>'תקציב מינהל תפעול 2024 '!N88</f>
        <v>4600000</v>
      </c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93" t="s">
        <v>687</v>
      </c>
      <c r="E12" s="194">
        <f>'תקציב מינהל תפעול 2024 '!N37</f>
        <v>3675000</v>
      </c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93" t="s">
        <v>1549</v>
      </c>
      <c r="E13" s="194">
        <f>'תקציב מינהל תפעול 2024 '!N27</f>
        <v>3000000</v>
      </c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C14" s="178"/>
      <c r="D14" s="193" t="s">
        <v>280</v>
      </c>
      <c r="E14" s="194">
        <f>'תקציב מינהל תפעול 2024 '!N8</f>
        <v>2225000</v>
      </c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98" t="s">
        <v>686</v>
      </c>
      <c r="E15" s="194">
        <f>'תקציב מינהל תפעול 2024 '!N12</f>
        <v>2115000</v>
      </c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C16" s="178"/>
      <c r="D16" s="198" t="s">
        <v>608</v>
      </c>
      <c r="E16" s="194">
        <f>'תקציב מינהל תפעול 2024 '!N72</f>
        <v>2000000</v>
      </c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6.2" thickBot="1">
      <c r="C17" s="178"/>
      <c r="D17" s="804" t="s">
        <v>1548</v>
      </c>
      <c r="E17" s="196">
        <f>'תקציב מינהל תפעול 2024 '!N71</f>
        <v>2000000</v>
      </c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5.6">
      <c r="B18" s="178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1:17" ht="15.6">
      <c r="B19" s="178" t="s">
        <v>129</v>
      </c>
      <c r="C19" s="175"/>
      <c r="D19" s="175" t="s">
        <v>1550</v>
      </c>
      <c r="E19" s="175"/>
      <c r="F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1:17" ht="15.6">
      <c r="B20" s="178"/>
      <c r="C20" s="175"/>
      <c r="D20" s="175" t="s">
        <v>810</v>
      </c>
      <c r="E20" s="175"/>
      <c r="F20" s="175"/>
      <c r="G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ht="15.6">
      <c r="B21" s="178"/>
      <c r="C21" s="175"/>
      <c r="D21" s="175" t="s">
        <v>1551</v>
      </c>
      <c r="E21" s="175"/>
      <c r="F21" s="175"/>
      <c r="G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17" ht="15.6">
      <c r="C22" s="178"/>
      <c r="D22" s="175"/>
      <c r="E22" s="20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1:17" ht="15.6">
      <c r="B23" s="178"/>
      <c r="C23" s="175"/>
      <c r="D23" s="253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1:17" ht="15.6">
      <c r="A24" s="185"/>
      <c r="B24" s="199"/>
    </row>
    <row r="25" spans="1:17" ht="15.6">
      <c r="A25" s="175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</row>
    <row r="26" spans="1:17" ht="15.6">
      <c r="A26" s="175"/>
      <c r="B26" s="175"/>
      <c r="C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1:17" ht="15.6">
      <c r="B27" s="178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</row>
    <row r="43" spans="4:4" ht="15.6">
      <c r="D43" s="175"/>
    </row>
  </sheetData>
  <sortState ref="A8:Q17">
    <sortCondition descending="1" ref="E8:E17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35"/>
  <sheetViews>
    <sheetView showZeros="0" rightToLeft="1" zoomScaleNormal="100" workbookViewId="0">
      <pane xSplit="4" ySplit="4" topLeftCell="E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477" customWidth="1"/>
    <col min="2" max="2" width="5.6640625" style="477" customWidth="1"/>
    <col min="3" max="3" width="17.109375" style="477" customWidth="1"/>
    <col min="4" max="4" width="10.109375" style="477" customWidth="1"/>
    <col min="5" max="5" width="11.88671875" style="477" customWidth="1"/>
    <col min="6" max="6" width="11" style="477" customWidth="1"/>
    <col min="7" max="8" width="11.109375" style="477" hidden="1" customWidth="1"/>
    <col min="9" max="10" width="10.109375" style="477" hidden="1" customWidth="1"/>
    <col min="11" max="11" width="10.44140625" style="477" hidden="1" customWidth="1"/>
    <col min="12" max="12" width="10" style="477" customWidth="1"/>
    <col min="13" max="13" width="9.44140625" style="477" customWidth="1"/>
    <col min="14" max="14" width="10.33203125" style="477" customWidth="1"/>
    <col min="15" max="15" width="10.44140625" style="477" customWidth="1"/>
    <col min="16" max="16" width="10.109375" style="477" hidden="1" customWidth="1"/>
    <col min="17" max="17" width="9.88671875" style="477" hidden="1" customWidth="1"/>
    <col min="18" max="18" width="8.88671875" style="477" hidden="1" customWidth="1"/>
    <col min="19" max="19" width="10.6640625" style="477" hidden="1" customWidth="1"/>
    <col min="20" max="20" width="9" style="477" customWidth="1"/>
    <col min="21" max="21" width="9.109375" style="477" customWidth="1"/>
    <col min="22" max="22" width="8.88671875" style="477" customWidth="1"/>
    <col min="23" max="23" width="12.5546875" style="477" customWidth="1"/>
    <col min="24" max="24" width="6.33203125" style="477" hidden="1" customWidth="1"/>
    <col min="25" max="25" width="9.109375" style="477" customWidth="1"/>
    <col min="26" max="26" width="9.5546875" style="477" hidden="1" customWidth="1"/>
    <col min="27" max="27" width="9.6640625" style="477" customWidth="1"/>
    <col min="28" max="28" width="30.33203125" style="157" hidden="1" customWidth="1"/>
    <col min="29" max="29" width="6.88671875" style="157" hidden="1" customWidth="1"/>
    <col min="30" max="30" width="31.33203125" style="756" customWidth="1"/>
    <col min="31" max="31" width="28.6640625" style="756" customWidth="1"/>
    <col min="32" max="32" width="14.6640625" style="756" customWidth="1"/>
    <col min="33" max="33" width="31.33203125" style="756" customWidth="1"/>
    <col min="34" max="34" width="6.44140625" style="756" customWidth="1"/>
    <col min="35" max="35" width="14.6640625" style="756" customWidth="1"/>
    <col min="36" max="36" width="19.44140625" style="756" customWidth="1"/>
    <col min="37" max="37" width="26.33203125" style="756" customWidth="1"/>
    <col min="38" max="39" width="9.44140625" style="756" customWidth="1"/>
    <col min="40" max="40" width="13" style="756" customWidth="1"/>
    <col min="41" max="41" width="26.44140625" style="756" customWidth="1"/>
    <col min="42" max="42" width="10.33203125" style="756" customWidth="1"/>
    <col min="43" max="43" width="32.88671875" customWidth="1"/>
    <col min="44" max="49" width="10.6640625" customWidth="1"/>
    <col min="50" max="50" width="11.33203125" customWidth="1"/>
    <col min="51" max="51" width="22.44140625" customWidth="1"/>
    <col min="52" max="52" width="12.44140625" customWidth="1"/>
    <col min="53" max="53" width="14.88671875" customWidth="1"/>
  </cols>
  <sheetData>
    <row r="1" spans="1:29">
      <c r="A1" s="475"/>
      <c r="B1" s="476"/>
      <c r="C1" s="476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4"/>
    </row>
    <row r="2" spans="1:29" ht="18">
      <c r="A2" s="433" t="s">
        <v>598</v>
      </c>
      <c r="B2" s="433"/>
      <c r="C2" s="476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4"/>
    </row>
    <row r="3" spans="1:29" ht="21">
      <c r="B3" s="478"/>
      <c r="C3" s="478"/>
      <c r="D3" s="423"/>
      <c r="E3" s="423"/>
      <c r="F3" s="423"/>
      <c r="G3" s="423"/>
      <c r="H3" s="423"/>
      <c r="I3" s="423"/>
      <c r="J3" s="423"/>
      <c r="K3" s="423"/>
      <c r="L3" s="423"/>
      <c r="M3" s="479"/>
      <c r="N3" s="423"/>
      <c r="O3" s="423"/>
      <c r="P3" s="423"/>
      <c r="Q3" s="423"/>
      <c r="R3" s="423"/>
      <c r="S3" s="423"/>
      <c r="T3" s="423"/>
      <c r="U3" s="424"/>
      <c r="AB3" s="440"/>
      <c r="AC3" s="424"/>
    </row>
    <row r="4" spans="1:29" ht="82.8">
      <c r="A4" s="480" t="s">
        <v>0</v>
      </c>
      <c r="B4" s="480" t="s">
        <v>1</v>
      </c>
      <c r="C4" s="480" t="s">
        <v>2</v>
      </c>
      <c r="D4" s="480" t="s">
        <v>3</v>
      </c>
      <c r="E4" s="480" t="s">
        <v>4</v>
      </c>
      <c r="F4" s="480" t="s">
        <v>5</v>
      </c>
      <c r="G4" s="480" t="s">
        <v>6</v>
      </c>
      <c r="H4" s="480" t="s">
        <v>7</v>
      </c>
      <c r="I4" s="480" t="s">
        <v>9</v>
      </c>
      <c r="J4" s="480" t="s">
        <v>125</v>
      </c>
      <c r="K4" s="480" t="s">
        <v>10</v>
      </c>
      <c r="L4" s="480" t="s">
        <v>11</v>
      </c>
      <c r="M4" s="480" t="s">
        <v>917</v>
      </c>
      <c r="N4" s="480" t="s">
        <v>918</v>
      </c>
      <c r="O4" s="421" t="s">
        <v>919</v>
      </c>
      <c r="P4" s="481" t="s">
        <v>12</v>
      </c>
      <c r="Q4" s="480" t="s">
        <v>920</v>
      </c>
      <c r="R4" s="480" t="s">
        <v>921</v>
      </c>
      <c r="S4" s="421" t="s">
        <v>922</v>
      </c>
      <c r="T4" s="421" t="s">
        <v>923</v>
      </c>
      <c r="U4" s="421" t="s">
        <v>924</v>
      </c>
      <c r="V4" s="480" t="s">
        <v>13</v>
      </c>
      <c r="W4" s="480" t="s">
        <v>14</v>
      </c>
      <c r="X4" s="480" t="s">
        <v>15</v>
      </c>
      <c r="Y4" s="480" t="s">
        <v>214</v>
      </c>
      <c r="Z4" s="480" t="s">
        <v>502</v>
      </c>
      <c r="AA4" s="480" t="s">
        <v>75</v>
      </c>
      <c r="AB4" s="447" t="s">
        <v>242</v>
      </c>
      <c r="AC4" s="133" t="s">
        <v>16</v>
      </c>
    </row>
    <row r="5" spans="1:29" ht="45" customHeight="1">
      <c r="A5" s="448">
        <v>1</v>
      </c>
      <c r="B5" s="448">
        <v>1210</v>
      </c>
      <c r="C5" s="448" t="s">
        <v>57</v>
      </c>
      <c r="D5" s="449">
        <f>118550000+12000000</f>
        <v>130550000</v>
      </c>
      <c r="E5" s="449">
        <v>118550000</v>
      </c>
      <c r="F5" s="449">
        <f t="shared" ref="F5:F70" si="0">D5-E5</f>
        <v>12000000</v>
      </c>
      <c r="G5" s="449">
        <v>116200000</v>
      </c>
      <c r="H5" s="449">
        <v>111415805</v>
      </c>
      <c r="I5" s="449">
        <v>0</v>
      </c>
      <c r="J5" s="449"/>
      <c r="K5" s="449">
        <f t="shared" ref="K5:K70" si="1">I5+J5</f>
        <v>0</v>
      </c>
      <c r="L5" s="449">
        <f t="shared" ref="L5:L70" si="2">H5+K5</f>
        <v>111415805</v>
      </c>
      <c r="M5" s="449">
        <f>P5+S5-4780000</f>
        <v>4195</v>
      </c>
      <c r="N5" s="449">
        <f>12000000+4780000</f>
        <v>16780000</v>
      </c>
      <c r="O5" s="449">
        <f t="shared" ref="O5:O70" si="3">D5-L5-M5-N5</f>
        <v>2350000</v>
      </c>
      <c r="P5" s="449">
        <f t="shared" ref="P5:P70" si="4">G5-L5</f>
        <v>4784195</v>
      </c>
      <c r="Q5" s="482"/>
      <c r="R5" s="449"/>
      <c r="S5" s="449">
        <f>SUM(Q5:R5)</f>
        <v>0</v>
      </c>
      <c r="T5" s="449">
        <f t="shared" ref="T5:T70" si="5">P5-M5+S5</f>
        <v>4780000</v>
      </c>
      <c r="U5" s="449">
        <f t="shared" ref="U5:U70" si="6">N5-T5</f>
        <v>12000000</v>
      </c>
      <c r="V5" s="449"/>
      <c r="W5" s="449"/>
      <c r="X5" s="449"/>
      <c r="Y5" s="449"/>
      <c r="Z5" s="449"/>
      <c r="AA5" s="449">
        <f>U5</f>
        <v>12000000</v>
      </c>
      <c r="AB5" s="448" t="s">
        <v>414</v>
      </c>
      <c r="AC5" s="448">
        <v>764000</v>
      </c>
    </row>
    <row r="6" spans="1:29" ht="45" customHeight="1">
      <c r="A6" s="448">
        <f t="shared" ref="A6:A71" si="7">A5+1</f>
        <v>2</v>
      </c>
      <c r="B6" s="448">
        <v>1247</v>
      </c>
      <c r="C6" s="448" t="s">
        <v>43</v>
      </c>
      <c r="D6" s="449">
        <f>9750000+300000</f>
        <v>10050000</v>
      </c>
      <c r="E6" s="449">
        <v>9750000</v>
      </c>
      <c r="F6" s="449">
        <f t="shared" si="0"/>
        <v>300000</v>
      </c>
      <c r="G6" s="449">
        <v>9750000</v>
      </c>
      <c r="H6" s="449">
        <v>9382566</v>
      </c>
      <c r="I6" s="449">
        <v>0</v>
      </c>
      <c r="J6" s="449">
        <f>296384+70902</f>
        <v>367286</v>
      </c>
      <c r="K6" s="449">
        <f t="shared" si="1"/>
        <v>367286</v>
      </c>
      <c r="L6" s="449">
        <f t="shared" si="2"/>
        <v>9749852</v>
      </c>
      <c r="M6" s="449">
        <f>P6+S6</f>
        <v>148</v>
      </c>
      <c r="N6" s="449">
        <v>300000</v>
      </c>
      <c r="O6" s="449">
        <f t="shared" si="3"/>
        <v>0</v>
      </c>
      <c r="P6" s="449">
        <f t="shared" si="4"/>
        <v>148</v>
      </c>
      <c r="Q6" s="482"/>
      <c r="R6" s="449"/>
      <c r="S6" s="449">
        <f>SUM(Q6:R6)</f>
        <v>0</v>
      </c>
      <c r="T6" s="449">
        <f t="shared" si="5"/>
        <v>0</v>
      </c>
      <c r="U6" s="449">
        <f t="shared" si="6"/>
        <v>300000</v>
      </c>
      <c r="V6" s="449"/>
      <c r="W6" s="449">
        <f>U6-AA6-V6-Y6</f>
        <v>300000</v>
      </c>
      <c r="X6" s="449"/>
      <c r="Y6" s="449"/>
      <c r="Z6" s="449"/>
      <c r="AA6" s="448"/>
      <c r="AB6" s="448" t="s">
        <v>599</v>
      </c>
      <c r="AC6" s="448">
        <v>732000</v>
      </c>
    </row>
    <row r="7" spans="1:29" ht="45" customHeight="1">
      <c r="A7" s="448">
        <f t="shared" si="7"/>
        <v>3</v>
      </c>
      <c r="B7" s="448">
        <v>1253</v>
      </c>
      <c r="C7" s="448" t="s">
        <v>44</v>
      </c>
      <c r="D7" s="449">
        <f>6100000+500000</f>
        <v>6600000</v>
      </c>
      <c r="E7" s="449">
        <v>6100000</v>
      </c>
      <c r="F7" s="449">
        <f t="shared" si="0"/>
        <v>500000</v>
      </c>
      <c r="G7" s="449">
        <v>6100000</v>
      </c>
      <c r="H7" s="449">
        <v>5666747</v>
      </c>
      <c r="I7" s="449">
        <v>0</v>
      </c>
      <c r="J7" s="449">
        <v>412935</v>
      </c>
      <c r="K7" s="449">
        <f t="shared" si="1"/>
        <v>412935</v>
      </c>
      <c r="L7" s="449">
        <f t="shared" si="2"/>
        <v>6079682</v>
      </c>
      <c r="M7" s="449">
        <f>P7+S7-20000</f>
        <v>318</v>
      </c>
      <c r="N7" s="449">
        <f>500000+20000</f>
        <v>520000</v>
      </c>
      <c r="O7" s="449">
        <f t="shared" si="3"/>
        <v>0</v>
      </c>
      <c r="P7" s="449">
        <f t="shared" si="4"/>
        <v>20318</v>
      </c>
      <c r="Q7" s="482"/>
      <c r="R7" s="449"/>
      <c r="S7" s="449">
        <f t="shared" ref="S7:S69" si="8">SUM(Q7:R7)</f>
        <v>0</v>
      </c>
      <c r="T7" s="449">
        <f t="shared" si="5"/>
        <v>20000</v>
      </c>
      <c r="U7" s="449">
        <f t="shared" si="6"/>
        <v>500000</v>
      </c>
      <c r="V7" s="449"/>
      <c r="W7" s="449">
        <f t="shared" ref="W7:W10" si="9">U7-AA7-V7-Y7</f>
        <v>500000</v>
      </c>
      <c r="X7" s="449"/>
      <c r="Y7" s="449"/>
      <c r="Z7" s="449"/>
      <c r="AA7" s="448"/>
      <c r="AB7" s="448" t="s">
        <v>890</v>
      </c>
      <c r="AC7" s="448">
        <v>850000</v>
      </c>
    </row>
    <row r="8" spans="1:29" ht="82.8">
      <c r="A8" s="448">
        <f t="shared" si="7"/>
        <v>4</v>
      </c>
      <c r="B8" s="448">
        <v>1254</v>
      </c>
      <c r="C8" s="448" t="s">
        <v>280</v>
      </c>
      <c r="D8" s="449">
        <f>53372866+8500000</f>
        <v>61872866</v>
      </c>
      <c r="E8" s="449">
        <v>53372866</v>
      </c>
      <c r="F8" s="449">
        <f t="shared" si="0"/>
        <v>8500000</v>
      </c>
      <c r="G8" s="449">
        <v>51372866</v>
      </c>
      <c r="H8" s="449">
        <v>50975610</v>
      </c>
      <c r="I8" s="449">
        <v>0</v>
      </c>
      <c r="J8" s="449">
        <f>358105-100706-93600+3837</f>
        <v>167636</v>
      </c>
      <c r="K8" s="449">
        <f t="shared" si="1"/>
        <v>167636</v>
      </c>
      <c r="L8" s="449">
        <f t="shared" si="2"/>
        <v>51143246</v>
      </c>
      <c r="M8" s="449">
        <f>P8+S8-225000</f>
        <v>4620</v>
      </c>
      <c r="N8" s="449">
        <f>6500000-3500000-1000000+225000</f>
        <v>2225000</v>
      </c>
      <c r="O8" s="449">
        <f t="shared" si="3"/>
        <v>8500000</v>
      </c>
      <c r="P8" s="449">
        <f t="shared" si="4"/>
        <v>229620</v>
      </c>
      <c r="Q8" s="482"/>
      <c r="R8" s="449"/>
      <c r="S8" s="449">
        <f t="shared" si="8"/>
        <v>0</v>
      </c>
      <c r="T8" s="449">
        <f t="shared" si="5"/>
        <v>225000</v>
      </c>
      <c r="U8" s="449">
        <f t="shared" si="6"/>
        <v>2000000</v>
      </c>
      <c r="V8" s="449"/>
      <c r="W8" s="449">
        <f t="shared" si="9"/>
        <v>2000000</v>
      </c>
      <c r="X8" s="449"/>
      <c r="Y8" s="449"/>
      <c r="Z8" s="449"/>
      <c r="AA8" s="448"/>
      <c r="AB8" s="448" t="s">
        <v>808</v>
      </c>
      <c r="AC8" s="448">
        <v>746000</v>
      </c>
    </row>
    <row r="9" spans="1:29" ht="41.4">
      <c r="A9" s="448">
        <f t="shared" si="7"/>
        <v>5</v>
      </c>
      <c r="B9" s="448">
        <v>1342</v>
      </c>
      <c r="C9" s="448" t="s">
        <v>64</v>
      </c>
      <c r="D9" s="449">
        <f>4700000+1500000</f>
        <v>6200000</v>
      </c>
      <c r="E9" s="449">
        <v>4700000</v>
      </c>
      <c r="F9" s="449">
        <f t="shared" si="0"/>
        <v>1500000</v>
      </c>
      <c r="G9" s="449">
        <v>3940000</v>
      </c>
      <c r="H9" s="449">
        <v>3014312</v>
      </c>
      <c r="I9" s="449">
        <v>0</v>
      </c>
      <c r="J9" s="449">
        <v>918785</v>
      </c>
      <c r="K9" s="449">
        <f t="shared" si="1"/>
        <v>918785</v>
      </c>
      <c r="L9" s="449">
        <f t="shared" si="2"/>
        <v>3933097</v>
      </c>
      <c r="M9" s="449">
        <f t="shared" ref="M9:M70" si="10">P9+S9</f>
        <v>6903</v>
      </c>
      <c r="N9" s="449">
        <f>1500000-750000-250000</f>
        <v>500000</v>
      </c>
      <c r="O9" s="449">
        <f t="shared" si="3"/>
        <v>1760000</v>
      </c>
      <c r="P9" s="449">
        <f t="shared" si="4"/>
        <v>6903</v>
      </c>
      <c r="Q9" s="482"/>
      <c r="R9" s="449"/>
      <c r="S9" s="449">
        <f t="shared" si="8"/>
        <v>0</v>
      </c>
      <c r="T9" s="449">
        <f t="shared" si="5"/>
        <v>0</v>
      </c>
      <c r="U9" s="449">
        <f t="shared" si="6"/>
        <v>500000</v>
      </c>
      <c r="V9" s="449">
        <v>500000</v>
      </c>
      <c r="W9" s="449">
        <f>U9-AA9-V9-Y9</f>
        <v>0</v>
      </c>
      <c r="X9" s="449"/>
      <c r="Y9" s="449"/>
      <c r="Z9" s="449"/>
      <c r="AA9" s="448"/>
      <c r="AB9" s="448" t="s">
        <v>763</v>
      </c>
      <c r="AC9" s="448">
        <v>746000</v>
      </c>
    </row>
    <row r="10" spans="1:29" ht="55.2">
      <c r="A10" s="448">
        <f t="shared" si="7"/>
        <v>6</v>
      </c>
      <c r="B10" s="448">
        <v>1343</v>
      </c>
      <c r="C10" s="448" t="s">
        <v>65</v>
      </c>
      <c r="D10" s="449">
        <f>7570000+1000000</f>
        <v>8570000</v>
      </c>
      <c r="E10" s="449">
        <v>7570000</v>
      </c>
      <c r="F10" s="449">
        <f t="shared" si="0"/>
        <v>1000000</v>
      </c>
      <c r="G10" s="449">
        <v>7570000</v>
      </c>
      <c r="H10" s="449">
        <v>7193339</v>
      </c>
      <c r="I10" s="449">
        <v>0</v>
      </c>
      <c r="J10" s="449">
        <f>376660-94517-128900</f>
        <v>153243</v>
      </c>
      <c r="K10" s="449">
        <f t="shared" si="1"/>
        <v>153243</v>
      </c>
      <c r="L10" s="449">
        <f t="shared" si="2"/>
        <v>7346582</v>
      </c>
      <c r="M10" s="449">
        <f>P10+S10-200000-20000</f>
        <v>3418</v>
      </c>
      <c r="N10" s="449">
        <f>750000+200000-150000+20000</f>
        <v>820000</v>
      </c>
      <c r="O10" s="449">
        <f t="shared" si="3"/>
        <v>400000</v>
      </c>
      <c r="P10" s="449">
        <f t="shared" si="4"/>
        <v>223418</v>
      </c>
      <c r="Q10" s="482"/>
      <c r="R10" s="449"/>
      <c r="S10" s="449">
        <f t="shared" si="8"/>
        <v>0</v>
      </c>
      <c r="T10" s="449">
        <f t="shared" si="5"/>
        <v>220000</v>
      </c>
      <c r="U10" s="449">
        <f t="shared" si="6"/>
        <v>600000</v>
      </c>
      <c r="V10" s="449"/>
      <c r="W10" s="449">
        <f t="shared" si="9"/>
        <v>600000</v>
      </c>
      <c r="X10" s="449"/>
      <c r="Y10" s="449"/>
      <c r="Z10" s="449"/>
      <c r="AA10" s="448"/>
      <c r="AB10" s="448" t="s">
        <v>455</v>
      </c>
      <c r="AC10" s="448">
        <v>746000</v>
      </c>
    </row>
    <row r="11" spans="1:29" ht="45" customHeight="1">
      <c r="A11" s="448">
        <f t="shared" si="7"/>
        <v>7</v>
      </c>
      <c r="B11" s="448">
        <v>1416</v>
      </c>
      <c r="C11" s="448" t="s">
        <v>93</v>
      </c>
      <c r="D11" s="449">
        <f>4600000+600000-200000+470000</f>
        <v>5470000</v>
      </c>
      <c r="E11" s="449">
        <f>4000000+470000</f>
        <v>4470000</v>
      </c>
      <c r="F11" s="449">
        <f t="shared" si="0"/>
        <v>1000000</v>
      </c>
      <c r="G11" s="449">
        <v>4000000</v>
      </c>
      <c r="H11" s="449">
        <v>4000429</v>
      </c>
      <c r="I11" s="449">
        <v>0</v>
      </c>
      <c r="J11" s="449"/>
      <c r="K11" s="449">
        <f t="shared" si="1"/>
        <v>0</v>
      </c>
      <c r="L11" s="449">
        <f t="shared" si="2"/>
        <v>4000429</v>
      </c>
      <c r="M11" s="449">
        <f>P11+S11-450000-15000</f>
        <v>4571</v>
      </c>
      <c r="N11" s="449">
        <f>1000000+450000-1000000+15000+235000+200000</f>
        <v>900000</v>
      </c>
      <c r="O11" s="449">
        <f t="shared" si="3"/>
        <v>565000</v>
      </c>
      <c r="P11" s="449">
        <f t="shared" si="4"/>
        <v>-429</v>
      </c>
      <c r="Q11" s="482"/>
      <c r="R11" s="449">
        <v>470000</v>
      </c>
      <c r="S11" s="449">
        <f t="shared" si="8"/>
        <v>470000</v>
      </c>
      <c r="T11" s="449">
        <f t="shared" si="5"/>
        <v>465000</v>
      </c>
      <c r="U11" s="449">
        <f t="shared" si="6"/>
        <v>435000</v>
      </c>
      <c r="V11" s="449"/>
      <c r="W11" s="449">
        <f>U11-AA11-V11-Y11</f>
        <v>435000</v>
      </c>
      <c r="X11" s="449"/>
      <c r="Y11" s="449"/>
      <c r="Z11" s="449"/>
      <c r="AA11" s="448"/>
      <c r="AB11" s="448" t="s">
        <v>891</v>
      </c>
      <c r="AC11" s="448">
        <v>930000</v>
      </c>
    </row>
    <row r="12" spans="1:29" ht="69">
      <c r="A12" s="448">
        <f t="shared" si="7"/>
        <v>8</v>
      </c>
      <c r="B12" s="448">
        <v>1435</v>
      </c>
      <c r="C12" s="455" t="s">
        <v>394</v>
      </c>
      <c r="D12" s="449">
        <f>42000000+3000000</f>
        <v>45000000</v>
      </c>
      <c r="E12" s="449">
        <v>42000000</v>
      </c>
      <c r="F12" s="449">
        <f t="shared" si="0"/>
        <v>3000000</v>
      </c>
      <c r="G12" s="449">
        <v>38074320</v>
      </c>
      <c r="H12" s="449">
        <v>37408587</v>
      </c>
      <c r="I12" s="449">
        <v>0</v>
      </c>
      <c r="J12" s="449">
        <f>781647-14052-20114</f>
        <v>747481</v>
      </c>
      <c r="K12" s="449">
        <f t="shared" si="1"/>
        <v>747481</v>
      </c>
      <c r="L12" s="449">
        <f t="shared" si="2"/>
        <v>38156068</v>
      </c>
      <c r="M12" s="449">
        <f>P12+S12-100000-115000</f>
        <v>3252</v>
      </c>
      <c r="N12" s="449">
        <f>3000000-400000-600000+115000</f>
        <v>2115000</v>
      </c>
      <c r="O12" s="449">
        <f t="shared" si="3"/>
        <v>4725680</v>
      </c>
      <c r="P12" s="449">
        <f t="shared" si="4"/>
        <v>-81748</v>
      </c>
      <c r="Q12" s="482">
        <v>300000</v>
      </c>
      <c r="R12" s="449"/>
      <c r="S12" s="449">
        <f t="shared" si="8"/>
        <v>300000</v>
      </c>
      <c r="T12" s="449">
        <f t="shared" si="5"/>
        <v>215000</v>
      </c>
      <c r="U12" s="449">
        <f t="shared" si="6"/>
        <v>1900000</v>
      </c>
      <c r="V12" s="449"/>
      <c r="W12" s="449">
        <f>U12-AA12-V12-Y12</f>
        <v>1900000</v>
      </c>
      <c r="X12" s="449"/>
      <c r="Y12" s="449"/>
      <c r="Z12" s="449"/>
      <c r="AA12" s="448"/>
      <c r="AB12" s="448" t="s">
        <v>1408</v>
      </c>
      <c r="AC12" s="448">
        <v>848500</v>
      </c>
    </row>
    <row r="13" spans="1:29" ht="45" customHeight="1">
      <c r="A13" s="448">
        <f t="shared" si="7"/>
        <v>9</v>
      </c>
      <c r="B13" s="448">
        <v>1477</v>
      </c>
      <c r="C13" s="448" t="s">
        <v>444</v>
      </c>
      <c r="D13" s="449">
        <v>9350000</v>
      </c>
      <c r="E13" s="449">
        <v>9350000</v>
      </c>
      <c r="F13" s="449">
        <f t="shared" si="0"/>
        <v>0</v>
      </c>
      <c r="G13" s="449">
        <v>8000000</v>
      </c>
      <c r="H13" s="449">
        <v>5543143</v>
      </c>
      <c r="I13" s="449"/>
      <c r="J13" s="449">
        <v>410309</v>
      </c>
      <c r="K13" s="449">
        <f t="shared" si="1"/>
        <v>410309</v>
      </c>
      <c r="L13" s="449">
        <f t="shared" si="2"/>
        <v>5953452</v>
      </c>
      <c r="M13" s="449">
        <f>P13+S13-2000000-45000</f>
        <v>1548</v>
      </c>
      <c r="N13" s="449"/>
      <c r="O13" s="449">
        <f t="shared" si="3"/>
        <v>3395000</v>
      </c>
      <c r="P13" s="449">
        <f t="shared" si="4"/>
        <v>2046548</v>
      </c>
      <c r="Q13" s="482"/>
      <c r="R13" s="449"/>
      <c r="S13" s="449">
        <f t="shared" si="8"/>
        <v>0</v>
      </c>
      <c r="T13" s="449">
        <f t="shared" si="5"/>
        <v>2045000</v>
      </c>
      <c r="U13" s="449">
        <f t="shared" si="6"/>
        <v>-2045000</v>
      </c>
      <c r="V13" s="449"/>
      <c r="W13" s="449">
        <f t="shared" ref="W13:W78" si="11">U13-AA13-V13-Y13</f>
        <v>-2045000</v>
      </c>
      <c r="X13" s="449"/>
      <c r="Y13" s="449"/>
      <c r="Z13" s="449"/>
      <c r="AA13" s="448"/>
      <c r="AB13" s="322" t="s">
        <v>840</v>
      </c>
      <c r="AC13" s="322">
        <v>810000</v>
      </c>
    </row>
    <row r="14" spans="1:29" ht="55.2">
      <c r="A14" s="448">
        <f t="shared" si="7"/>
        <v>10</v>
      </c>
      <c r="B14" s="448">
        <v>1489</v>
      </c>
      <c r="C14" s="448" t="s">
        <v>268</v>
      </c>
      <c r="D14" s="449">
        <f>68500000+11000000-13000000</f>
        <v>66500000</v>
      </c>
      <c r="E14" s="449">
        <v>68500000</v>
      </c>
      <c r="F14" s="449">
        <f t="shared" si="0"/>
        <v>-2000000</v>
      </c>
      <c r="G14" s="449">
        <v>66500000</v>
      </c>
      <c r="H14" s="449">
        <v>61784558</v>
      </c>
      <c r="I14" s="449">
        <v>0</v>
      </c>
      <c r="J14" s="449">
        <f>4379600-35097-3510-5850-3112-276508-27650-44460-24403-14865-40081-4008-3086-265968-26596-25740-22281-13572</f>
        <v>3542813</v>
      </c>
      <c r="K14" s="449">
        <f t="shared" si="1"/>
        <v>3542813</v>
      </c>
      <c r="L14" s="449">
        <f t="shared" si="2"/>
        <v>65327371</v>
      </c>
      <c r="M14" s="449">
        <f>P14+S14-280000-890000</f>
        <v>2629</v>
      </c>
      <c r="N14" s="449">
        <f>17000000-4000000-6000000-720000-1780000+500000-3830000</f>
        <v>1170000</v>
      </c>
      <c r="O14" s="449">
        <f t="shared" si="3"/>
        <v>0</v>
      </c>
      <c r="P14" s="449">
        <f t="shared" si="4"/>
        <v>1172629</v>
      </c>
      <c r="Q14" s="482"/>
      <c r="R14" s="449"/>
      <c r="S14" s="449">
        <f t="shared" si="8"/>
        <v>0</v>
      </c>
      <c r="T14" s="449">
        <f t="shared" si="5"/>
        <v>1170000</v>
      </c>
      <c r="U14" s="449">
        <f t="shared" si="6"/>
        <v>0</v>
      </c>
      <c r="V14" s="449"/>
      <c r="W14" s="449">
        <f t="shared" si="11"/>
        <v>0</v>
      </c>
      <c r="X14" s="449"/>
      <c r="Y14" s="449"/>
      <c r="Z14" s="449"/>
      <c r="AA14" s="448"/>
      <c r="AB14" s="448" t="s">
        <v>1515</v>
      </c>
      <c r="AC14" s="448">
        <v>742000</v>
      </c>
    </row>
    <row r="15" spans="1:29" ht="82.8">
      <c r="A15" s="448">
        <f t="shared" si="7"/>
        <v>11</v>
      </c>
      <c r="B15" s="448">
        <v>1504</v>
      </c>
      <c r="C15" s="448" t="s">
        <v>66</v>
      </c>
      <c r="D15" s="449">
        <v>2500000</v>
      </c>
      <c r="E15" s="449">
        <v>2500000</v>
      </c>
      <c r="F15" s="449">
        <f t="shared" si="0"/>
        <v>0</v>
      </c>
      <c r="G15" s="449">
        <v>1800000</v>
      </c>
      <c r="H15" s="449">
        <v>1793055</v>
      </c>
      <c r="I15" s="449">
        <v>0</v>
      </c>
      <c r="J15" s="449"/>
      <c r="K15" s="449">
        <f t="shared" si="1"/>
        <v>0</v>
      </c>
      <c r="L15" s="449">
        <f t="shared" si="2"/>
        <v>1793055</v>
      </c>
      <c r="M15" s="449">
        <f>P15+S15-100000-5000</f>
        <v>1945</v>
      </c>
      <c r="N15" s="449">
        <f>300000+5000</f>
        <v>305000</v>
      </c>
      <c r="O15" s="449">
        <f t="shared" si="3"/>
        <v>400000</v>
      </c>
      <c r="P15" s="449">
        <f t="shared" si="4"/>
        <v>6945</v>
      </c>
      <c r="Q15" s="482">
        <v>100000</v>
      </c>
      <c r="R15" s="449"/>
      <c r="S15" s="449">
        <f t="shared" si="8"/>
        <v>100000</v>
      </c>
      <c r="T15" s="449">
        <f t="shared" si="5"/>
        <v>105000</v>
      </c>
      <c r="U15" s="449">
        <f t="shared" si="6"/>
        <v>200000</v>
      </c>
      <c r="V15" s="449">
        <v>200000</v>
      </c>
      <c r="W15" s="449">
        <f t="shared" si="11"/>
        <v>0</v>
      </c>
      <c r="X15" s="449"/>
      <c r="Y15" s="449"/>
      <c r="Z15" s="449"/>
      <c r="AA15" s="448"/>
      <c r="AB15" s="448" t="s">
        <v>395</v>
      </c>
      <c r="AC15" s="448">
        <v>746000</v>
      </c>
    </row>
    <row r="16" spans="1:29" ht="69">
      <c r="A16" s="448">
        <f t="shared" si="7"/>
        <v>12</v>
      </c>
      <c r="B16" s="448">
        <v>1560</v>
      </c>
      <c r="C16" s="448" t="s">
        <v>45</v>
      </c>
      <c r="D16" s="449">
        <f>9060000+3725000</f>
        <v>12785000</v>
      </c>
      <c r="E16" s="449">
        <v>9060000</v>
      </c>
      <c r="F16" s="449">
        <f t="shared" si="0"/>
        <v>3725000</v>
      </c>
      <c r="G16" s="449">
        <v>9060000</v>
      </c>
      <c r="H16" s="449">
        <v>8852994</v>
      </c>
      <c r="I16" s="449">
        <v>0</v>
      </c>
      <c r="J16" s="449"/>
      <c r="K16" s="449">
        <f t="shared" si="1"/>
        <v>0</v>
      </c>
      <c r="L16" s="449">
        <f t="shared" si="2"/>
        <v>8852994</v>
      </c>
      <c r="M16" s="449">
        <f>P16+S16-200000</f>
        <v>7006</v>
      </c>
      <c r="N16" s="449">
        <f>2595000+1005000+125000-1975000-750000+200000</f>
        <v>1200000</v>
      </c>
      <c r="O16" s="449">
        <f t="shared" si="3"/>
        <v>2725000</v>
      </c>
      <c r="P16" s="449">
        <f t="shared" si="4"/>
        <v>207006</v>
      </c>
      <c r="Q16" s="482"/>
      <c r="R16" s="449"/>
      <c r="S16" s="449">
        <f t="shared" si="8"/>
        <v>0</v>
      </c>
      <c r="T16" s="449">
        <f t="shared" si="5"/>
        <v>200000</v>
      </c>
      <c r="U16" s="449">
        <f t="shared" si="6"/>
        <v>1000000</v>
      </c>
      <c r="V16" s="449"/>
      <c r="W16" s="449">
        <f t="shared" si="11"/>
        <v>1000000</v>
      </c>
      <c r="X16" s="449"/>
      <c r="Y16" s="449"/>
      <c r="Z16" s="449"/>
      <c r="AA16" s="448"/>
      <c r="AB16" s="448" t="s">
        <v>978</v>
      </c>
      <c r="AC16" s="448">
        <v>746000</v>
      </c>
    </row>
    <row r="17" spans="1:29" ht="45" customHeight="1">
      <c r="A17" s="448">
        <f t="shared" si="7"/>
        <v>13</v>
      </c>
      <c r="B17" s="448">
        <v>1621</v>
      </c>
      <c r="C17" s="469" t="s">
        <v>46</v>
      </c>
      <c r="D17" s="449">
        <f>6030000+40000</f>
        <v>6070000</v>
      </c>
      <c r="E17" s="449">
        <v>6030000</v>
      </c>
      <c r="F17" s="449">
        <f t="shared" si="0"/>
        <v>40000</v>
      </c>
      <c r="G17" s="449">
        <v>4400000</v>
      </c>
      <c r="H17" s="449">
        <v>3545139</v>
      </c>
      <c r="I17" s="449">
        <v>0</v>
      </c>
      <c r="J17" s="449">
        <f>893856-24937-89006-75000</f>
        <v>704913</v>
      </c>
      <c r="K17" s="449">
        <f t="shared" si="1"/>
        <v>704913</v>
      </c>
      <c r="L17" s="449">
        <f t="shared" si="2"/>
        <v>4250052</v>
      </c>
      <c r="M17" s="449">
        <f>P17+S17-250000-45000</f>
        <v>4948</v>
      </c>
      <c r="N17" s="449">
        <f>1670000+45000</f>
        <v>1715000</v>
      </c>
      <c r="O17" s="449">
        <f t="shared" si="3"/>
        <v>100000</v>
      </c>
      <c r="P17" s="449">
        <f t="shared" si="4"/>
        <v>149948</v>
      </c>
      <c r="Q17" s="482"/>
      <c r="R17" s="449">
        <v>150000</v>
      </c>
      <c r="S17" s="449">
        <f t="shared" si="8"/>
        <v>150000</v>
      </c>
      <c r="T17" s="449">
        <f t="shared" si="5"/>
        <v>295000</v>
      </c>
      <c r="U17" s="449">
        <f t="shared" si="6"/>
        <v>1420000</v>
      </c>
      <c r="V17" s="449"/>
      <c r="W17" s="449">
        <f t="shared" si="11"/>
        <v>1420000</v>
      </c>
      <c r="X17" s="449"/>
      <c r="Y17" s="449"/>
      <c r="Z17" s="449"/>
      <c r="AA17" s="448"/>
      <c r="AB17" s="483" t="s">
        <v>600</v>
      </c>
      <c r="AC17" s="469">
        <v>723000</v>
      </c>
    </row>
    <row r="18" spans="1:29" ht="55.2">
      <c r="A18" s="448">
        <f t="shared" si="7"/>
        <v>14</v>
      </c>
      <c r="B18" s="448">
        <v>1680</v>
      </c>
      <c r="C18" s="448" t="s">
        <v>67</v>
      </c>
      <c r="D18" s="449">
        <f>1700000+1000000</f>
        <v>2700000</v>
      </c>
      <c r="E18" s="449">
        <v>1700000</v>
      </c>
      <c r="F18" s="449">
        <f t="shared" si="0"/>
        <v>1000000</v>
      </c>
      <c r="G18" s="449">
        <v>1600000</v>
      </c>
      <c r="H18" s="449">
        <v>1547840</v>
      </c>
      <c r="I18" s="449">
        <v>0</v>
      </c>
      <c r="J18" s="449">
        <v>47258</v>
      </c>
      <c r="K18" s="449">
        <f t="shared" si="1"/>
        <v>47258</v>
      </c>
      <c r="L18" s="449">
        <f t="shared" si="2"/>
        <v>1595098</v>
      </c>
      <c r="M18" s="449">
        <f>P18+S18-150000+50000</f>
        <v>4902</v>
      </c>
      <c r="N18" s="449">
        <f>800000-250000-50000-50000</f>
        <v>450000</v>
      </c>
      <c r="O18" s="449">
        <f t="shared" si="3"/>
        <v>650000</v>
      </c>
      <c r="P18" s="449">
        <f t="shared" si="4"/>
        <v>4902</v>
      </c>
      <c r="Q18" s="482">
        <v>100000</v>
      </c>
      <c r="R18" s="449"/>
      <c r="S18" s="449">
        <f t="shared" si="8"/>
        <v>100000</v>
      </c>
      <c r="T18" s="449">
        <f t="shared" si="5"/>
        <v>100000</v>
      </c>
      <c r="U18" s="449">
        <f t="shared" si="6"/>
        <v>350000</v>
      </c>
      <c r="V18" s="449"/>
      <c r="W18" s="449">
        <f t="shared" si="11"/>
        <v>350000</v>
      </c>
      <c r="X18" s="449"/>
      <c r="Y18" s="449"/>
      <c r="Z18" s="449"/>
      <c r="AA18" s="448"/>
      <c r="AB18" s="448" t="s">
        <v>456</v>
      </c>
      <c r="AC18" s="448">
        <v>746000</v>
      </c>
    </row>
    <row r="19" spans="1:29" ht="45" customHeight="1">
      <c r="A19" s="448">
        <f t="shared" si="7"/>
        <v>15</v>
      </c>
      <c r="B19" s="448">
        <v>1848</v>
      </c>
      <c r="C19" s="448" t="s">
        <v>720</v>
      </c>
      <c r="D19" s="449">
        <f>1900000+100000</f>
        <v>2000000</v>
      </c>
      <c r="E19" s="449">
        <v>1900000</v>
      </c>
      <c r="F19" s="449">
        <f t="shared" si="0"/>
        <v>100000</v>
      </c>
      <c r="G19" s="449">
        <v>1800000</v>
      </c>
      <c r="H19" s="449">
        <v>1760675</v>
      </c>
      <c r="I19" s="449">
        <v>0</v>
      </c>
      <c r="J19" s="449">
        <v>13406</v>
      </c>
      <c r="K19" s="449">
        <f t="shared" si="1"/>
        <v>13406</v>
      </c>
      <c r="L19" s="449">
        <f t="shared" si="2"/>
        <v>1774081</v>
      </c>
      <c r="M19" s="449">
        <f>P19+S19-25000</f>
        <v>919</v>
      </c>
      <c r="N19" s="449">
        <f>200000+25000</f>
        <v>225000</v>
      </c>
      <c r="O19" s="449">
        <f t="shared" si="3"/>
        <v>0</v>
      </c>
      <c r="P19" s="449">
        <f t="shared" si="4"/>
        <v>25919</v>
      </c>
      <c r="Q19" s="482"/>
      <c r="R19" s="449"/>
      <c r="S19" s="449">
        <f t="shared" si="8"/>
        <v>0</v>
      </c>
      <c r="T19" s="449">
        <f t="shared" si="5"/>
        <v>25000</v>
      </c>
      <c r="U19" s="449">
        <f t="shared" si="6"/>
        <v>200000</v>
      </c>
      <c r="V19" s="449"/>
      <c r="W19" s="449">
        <f t="shared" si="11"/>
        <v>200000</v>
      </c>
      <c r="X19" s="449"/>
      <c r="Y19" s="449"/>
      <c r="Z19" s="449"/>
      <c r="AA19" s="448"/>
      <c r="AB19" s="448" t="s">
        <v>601</v>
      </c>
      <c r="AC19" s="448">
        <v>742000</v>
      </c>
    </row>
    <row r="20" spans="1:29" ht="45" customHeight="1">
      <c r="A20" s="448">
        <f t="shared" si="7"/>
        <v>16</v>
      </c>
      <c r="B20" s="448">
        <v>1850</v>
      </c>
      <c r="C20" s="448" t="s">
        <v>407</v>
      </c>
      <c r="D20" s="449">
        <v>14600000</v>
      </c>
      <c r="E20" s="449">
        <v>14600000</v>
      </c>
      <c r="F20" s="449">
        <f t="shared" si="0"/>
        <v>0</v>
      </c>
      <c r="G20" s="449">
        <v>6700000</v>
      </c>
      <c r="H20" s="449">
        <v>6678072</v>
      </c>
      <c r="I20" s="449">
        <v>0</v>
      </c>
      <c r="J20" s="449"/>
      <c r="K20" s="449">
        <f t="shared" si="1"/>
        <v>0</v>
      </c>
      <c r="L20" s="449">
        <f t="shared" si="2"/>
        <v>6678072</v>
      </c>
      <c r="M20" s="449">
        <f>P20+S20-20000</f>
        <v>1928</v>
      </c>
      <c r="N20" s="449">
        <f>800000-300000+20000</f>
        <v>520000</v>
      </c>
      <c r="O20" s="449">
        <f t="shared" si="3"/>
        <v>7400000</v>
      </c>
      <c r="P20" s="449">
        <f t="shared" si="4"/>
        <v>21928</v>
      </c>
      <c r="Q20" s="482"/>
      <c r="R20" s="449"/>
      <c r="S20" s="449">
        <f t="shared" si="8"/>
        <v>0</v>
      </c>
      <c r="T20" s="449">
        <f t="shared" si="5"/>
        <v>20000</v>
      </c>
      <c r="U20" s="449">
        <f t="shared" si="6"/>
        <v>500000</v>
      </c>
      <c r="V20" s="449"/>
      <c r="W20" s="449">
        <f t="shared" si="11"/>
        <v>500000</v>
      </c>
      <c r="X20" s="449"/>
      <c r="Y20" s="449"/>
      <c r="Z20" s="449"/>
      <c r="AA20" s="448"/>
      <c r="AB20" s="448" t="s">
        <v>1458</v>
      </c>
      <c r="AC20" s="448">
        <v>810000</v>
      </c>
    </row>
    <row r="21" spans="1:29" ht="45" customHeight="1">
      <c r="A21" s="448">
        <f t="shared" si="7"/>
        <v>17</v>
      </c>
      <c r="B21" s="448">
        <v>1883</v>
      </c>
      <c r="C21" s="448" t="s">
        <v>106</v>
      </c>
      <c r="D21" s="449">
        <f>27245000-1030000</f>
        <v>26215000</v>
      </c>
      <c r="E21" s="449">
        <v>27245000</v>
      </c>
      <c r="F21" s="449">
        <f t="shared" si="0"/>
        <v>-1030000</v>
      </c>
      <c r="G21" s="449">
        <v>26215000</v>
      </c>
      <c r="H21" s="449">
        <v>26214141</v>
      </c>
      <c r="I21" s="449">
        <v>0</v>
      </c>
      <c r="J21" s="449">
        <v>0</v>
      </c>
      <c r="K21" s="449">
        <f t="shared" si="1"/>
        <v>0</v>
      </c>
      <c r="L21" s="449">
        <f t="shared" si="2"/>
        <v>26214141</v>
      </c>
      <c r="M21" s="449">
        <f t="shared" si="10"/>
        <v>859</v>
      </c>
      <c r="N21" s="449"/>
      <c r="O21" s="449">
        <f t="shared" si="3"/>
        <v>0</v>
      </c>
      <c r="P21" s="449">
        <f t="shared" si="4"/>
        <v>859</v>
      </c>
      <c r="Q21" s="482"/>
      <c r="R21" s="449"/>
      <c r="S21" s="449">
        <f t="shared" si="8"/>
        <v>0</v>
      </c>
      <c r="T21" s="449">
        <f t="shared" si="5"/>
        <v>0</v>
      </c>
      <c r="U21" s="449">
        <f t="shared" si="6"/>
        <v>0</v>
      </c>
      <c r="V21" s="449"/>
      <c r="W21" s="449">
        <f t="shared" si="11"/>
        <v>0</v>
      </c>
      <c r="X21" s="449"/>
      <c r="Y21" s="449"/>
      <c r="Z21" s="449"/>
      <c r="AA21" s="448"/>
      <c r="AB21" s="448" t="s">
        <v>1433</v>
      </c>
      <c r="AC21" s="448">
        <v>810000</v>
      </c>
    </row>
    <row r="22" spans="1:29" ht="45" customHeight="1">
      <c r="A22" s="448">
        <f t="shared" si="7"/>
        <v>18</v>
      </c>
      <c r="B22" s="448">
        <v>1887</v>
      </c>
      <c r="C22" s="448" t="s">
        <v>107</v>
      </c>
      <c r="D22" s="449">
        <v>5200000</v>
      </c>
      <c r="E22" s="449">
        <v>5200000</v>
      </c>
      <c r="F22" s="449">
        <f t="shared" si="0"/>
        <v>0</v>
      </c>
      <c r="G22" s="449">
        <v>1760000</v>
      </c>
      <c r="H22" s="449">
        <v>1396187</v>
      </c>
      <c r="I22" s="449">
        <v>88157</v>
      </c>
      <c r="J22" s="449">
        <v>0</v>
      </c>
      <c r="K22" s="449">
        <f t="shared" si="1"/>
        <v>88157</v>
      </c>
      <c r="L22" s="449">
        <f t="shared" si="2"/>
        <v>1484344</v>
      </c>
      <c r="M22" s="449">
        <f>P22+S22-280000+5000</f>
        <v>656</v>
      </c>
      <c r="N22" s="449">
        <v>900000</v>
      </c>
      <c r="O22" s="449">
        <f t="shared" si="3"/>
        <v>2815000</v>
      </c>
      <c r="P22" s="449">
        <f t="shared" si="4"/>
        <v>275656</v>
      </c>
      <c r="Q22" s="482"/>
      <c r="R22" s="449"/>
      <c r="S22" s="449">
        <f t="shared" si="8"/>
        <v>0</v>
      </c>
      <c r="T22" s="449">
        <f t="shared" si="5"/>
        <v>275000</v>
      </c>
      <c r="U22" s="449">
        <f t="shared" si="6"/>
        <v>625000</v>
      </c>
      <c r="V22" s="449">
        <v>625000</v>
      </c>
      <c r="W22" s="449">
        <f t="shared" si="11"/>
        <v>0</v>
      </c>
      <c r="X22" s="449"/>
      <c r="Y22" s="449"/>
      <c r="Z22" s="449"/>
      <c r="AA22" s="448"/>
      <c r="AB22" s="448" t="s">
        <v>762</v>
      </c>
      <c r="AC22" s="448">
        <v>810000</v>
      </c>
    </row>
    <row r="23" spans="1:29" ht="45" customHeight="1">
      <c r="A23" s="448">
        <f t="shared" si="7"/>
        <v>19</v>
      </c>
      <c r="B23" s="448">
        <v>1899</v>
      </c>
      <c r="C23" s="448" t="s">
        <v>118</v>
      </c>
      <c r="D23" s="449">
        <f>670000-6248</f>
        <v>663752</v>
      </c>
      <c r="E23" s="449">
        <v>670000</v>
      </c>
      <c r="F23" s="449">
        <f t="shared" si="0"/>
        <v>-6248</v>
      </c>
      <c r="G23" s="449">
        <v>670000</v>
      </c>
      <c r="H23" s="449">
        <v>663752</v>
      </c>
      <c r="I23" s="449">
        <v>0</v>
      </c>
      <c r="J23" s="449">
        <v>0</v>
      </c>
      <c r="K23" s="449">
        <f t="shared" si="1"/>
        <v>0</v>
      </c>
      <c r="L23" s="449">
        <f t="shared" si="2"/>
        <v>663752</v>
      </c>
      <c r="M23" s="449">
        <f>P23+S23-6248</f>
        <v>0</v>
      </c>
      <c r="N23" s="449"/>
      <c r="O23" s="449">
        <f t="shared" si="3"/>
        <v>0</v>
      </c>
      <c r="P23" s="449">
        <f t="shared" si="4"/>
        <v>6248</v>
      </c>
      <c r="Q23" s="482"/>
      <c r="R23" s="449"/>
      <c r="S23" s="449">
        <f t="shared" si="8"/>
        <v>0</v>
      </c>
      <c r="T23" s="449">
        <f t="shared" si="5"/>
        <v>6248</v>
      </c>
      <c r="U23" s="449">
        <f t="shared" si="6"/>
        <v>-6248</v>
      </c>
      <c r="V23" s="449"/>
      <c r="W23" s="449">
        <f t="shared" si="11"/>
        <v>-6248</v>
      </c>
      <c r="X23" s="449"/>
      <c r="Y23" s="449"/>
      <c r="Z23" s="449"/>
      <c r="AA23" s="448"/>
      <c r="AB23" s="484" t="s">
        <v>1435</v>
      </c>
      <c r="AC23" s="448">
        <v>870000</v>
      </c>
    </row>
    <row r="24" spans="1:29" ht="45" customHeight="1">
      <c r="A24" s="448">
        <f t="shared" si="7"/>
        <v>20</v>
      </c>
      <c r="B24" s="448">
        <v>1900</v>
      </c>
      <c r="C24" s="448" t="s">
        <v>108</v>
      </c>
      <c r="D24" s="449">
        <v>600000</v>
      </c>
      <c r="E24" s="449">
        <v>600000</v>
      </c>
      <c r="F24" s="449">
        <f t="shared" si="0"/>
        <v>0</v>
      </c>
      <c r="G24" s="449">
        <v>600000</v>
      </c>
      <c r="H24" s="449">
        <v>572915</v>
      </c>
      <c r="I24" s="449">
        <v>0</v>
      </c>
      <c r="J24" s="449">
        <v>0</v>
      </c>
      <c r="K24" s="449">
        <f t="shared" si="1"/>
        <v>0</v>
      </c>
      <c r="L24" s="449">
        <f t="shared" si="2"/>
        <v>572915</v>
      </c>
      <c r="M24" s="449">
        <f>P24+S24-27000</f>
        <v>85</v>
      </c>
      <c r="N24" s="449"/>
      <c r="O24" s="449">
        <f t="shared" si="3"/>
        <v>27000</v>
      </c>
      <c r="P24" s="449">
        <f t="shared" si="4"/>
        <v>27085</v>
      </c>
      <c r="Q24" s="482"/>
      <c r="R24" s="449"/>
      <c r="S24" s="449">
        <f t="shared" si="8"/>
        <v>0</v>
      </c>
      <c r="T24" s="449">
        <f t="shared" si="5"/>
        <v>27000</v>
      </c>
      <c r="U24" s="449">
        <f t="shared" si="6"/>
        <v>-27000</v>
      </c>
      <c r="V24" s="449">
        <v>-27000</v>
      </c>
      <c r="W24" s="449">
        <f t="shared" si="11"/>
        <v>0</v>
      </c>
      <c r="X24" s="449"/>
      <c r="Y24" s="449"/>
      <c r="Z24" s="449"/>
      <c r="AA24" s="448"/>
      <c r="AB24" s="448" t="s">
        <v>1434</v>
      </c>
      <c r="AC24" s="448">
        <v>810000</v>
      </c>
    </row>
    <row r="25" spans="1:29" ht="55.2">
      <c r="A25" s="448">
        <f t="shared" si="7"/>
        <v>21</v>
      </c>
      <c r="B25" s="448">
        <v>1917</v>
      </c>
      <c r="C25" s="448" t="s">
        <v>109</v>
      </c>
      <c r="D25" s="449">
        <v>33701000</v>
      </c>
      <c r="E25" s="449">
        <v>33701000</v>
      </c>
      <c r="F25" s="449">
        <f t="shared" si="0"/>
        <v>0</v>
      </c>
      <c r="G25" s="449">
        <v>33701000</v>
      </c>
      <c r="H25" s="449">
        <v>30359309</v>
      </c>
      <c r="I25" s="449">
        <v>0</v>
      </c>
      <c r="J25" s="449">
        <v>3210528</v>
      </c>
      <c r="K25" s="449">
        <f t="shared" si="1"/>
        <v>3210528</v>
      </c>
      <c r="L25" s="449">
        <f t="shared" si="2"/>
        <v>33569837</v>
      </c>
      <c r="M25" s="449">
        <f>P25+S25-130000</f>
        <v>1163</v>
      </c>
      <c r="N25" s="449">
        <v>130000</v>
      </c>
      <c r="O25" s="449">
        <f t="shared" si="3"/>
        <v>0</v>
      </c>
      <c r="P25" s="449">
        <f t="shared" si="4"/>
        <v>131163</v>
      </c>
      <c r="Q25" s="482"/>
      <c r="R25" s="449"/>
      <c r="S25" s="449">
        <f t="shared" si="8"/>
        <v>0</v>
      </c>
      <c r="T25" s="449">
        <f t="shared" si="5"/>
        <v>130000</v>
      </c>
      <c r="U25" s="449">
        <f t="shared" si="6"/>
        <v>0</v>
      </c>
      <c r="V25" s="449">
        <v>201613</v>
      </c>
      <c r="W25" s="449">
        <f t="shared" si="11"/>
        <v>0</v>
      </c>
      <c r="X25" s="449"/>
      <c r="Y25" s="449"/>
      <c r="Z25" s="449"/>
      <c r="AA25" s="449">
        <v>-201613</v>
      </c>
      <c r="AB25" s="448" t="s">
        <v>1393</v>
      </c>
      <c r="AC25" s="448">
        <v>743000</v>
      </c>
    </row>
    <row r="26" spans="1:29" ht="55.2">
      <c r="A26" s="448">
        <f t="shared" si="7"/>
        <v>22</v>
      </c>
      <c r="B26" s="448">
        <v>1947</v>
      </c>
      <c r="C26" s="448" t="s">
        <v>721</v>
      </c>
      <c r="D26" s="449">
        <v>2500000</v>
      </c>
      <c r="E26" s="449">
        <v>2500000</v>
      </c>
      <c r="F26" s="449">
        <f t="shared" si="0"/>
        <v>0</v>
      </c>
      <c r="G26" s="449">
        <v>2500000</v>
      </c>
      <c r="H26" s="449">
        <v>1369144</v>
      </c>
      <c r="I26" s="449"/>
      <c r="J26" s="449"/>
      <c r="K26" s="449">
        <f t="shared" si="1"/>
        <v>0</v>
      </c>
      <c r="L26" s="449">
        <f t="shared" si="2"/>
        <v>1369144</v>
      </c>
      <c r="M26" s="449">
        <f>P26+S26-1100000-30000</f>
        <v>856</v>
      </c>
      <c r="N26" s="449">
        <f>1100000+30000</f>
        <v>1130000</v>
      </c>
      <c r="O26" s="449">
        <f t="shared" si="3"/>
        <v>0</v>
      </c>
      <c r="P26" s="449">
        <f t="shared" si="4"/>
        <v>1130856</v>
      </c>
      <c r="Q26" s="482"/>
      <c r="R26" s="449"/>
      <c r="S26" s="449">
        <f t="shared" si="8"/>
        <v>0</v>
      </c>
      <c r="T26" s="449">
        <f t="shared" si="5"/>
        <v>1130000</v>
      </c>
      <c r="U26" s="449">
        <f t="shared" si="6"/>
        <v>0</v>
      </c>
      <c r="V26" s="449">
        <v>128955</v>
      </c>
      <c r="W26" s="449">
        <f t="shared" si="11"/>
        <v>0</v>
      </c>
      <c r="X26" s="449"/>
      <c r="Y26" s="449"/>
      <c r="Z26" s="449"/>
      <c r="AA26" s="449">
        <v>-128955</v>
      </c>
      <c r="AB26" s="448" t="s">
        <v>1394</v>
      </c>
      <c r="AC26" s="448">
        <v>850000</v>
      </c>
    </row>
    <row r="27" spans="1:29" ht="82.8">
      <c r="A27" s="448">
        <f t="shared" si="7"/>
        <v>23</v>
      </c>
      <c r="B27" s="448">
        <v>1967</v>
      </c>
      <c r="C27" s="448" t="s">
        <v>117</v>
      </c>
      <c r="D27" s="449">
        <f>12929000+3300000+400000</f>
        <v>16629000</v>
      </c>
      <c r="E27" s="449">
        <v>12929000</v>
      </c>
      <c r="F27" s="449">
        <f t="shared" si="0"/>
        <v>3700000</v>
      </c>
      <c r="G27" s="449">
        <v>12029000</v>
      </c>
      <c r="H27" s="449">
        <v>10922228</v>
      </c>
      <c r="I27" s="449">
        <v>0</v>
      </c>
      <c r="J27" s="449">
        <f>881141-5101-7423+71136</f>
        <v>939753</v>
      </c>
      <c r="K27" s="449">
        <f t="shared" si="1"/>
        <v>939753</v>
      </c>
      <c r="L27" s="449">
        <f t="shared" si="2"/>
        <v>11861981</v>
      </c>
      <c r="M27" s="449">
        <f>P27+S27-150000</f>
        <v>17019</v>
      </c>
      <c r="N27" s="449">
        <f>1500000+1800000+900000+400000-1450000-150000</f>
        <v>3000000</v>
      </c>
      <c r="O27" s="449">
        <f t="shared" si="3"/>
        <v>1750000</v>
      </c>
      <c r="P27" s="449">
        <f t="shared" si="4"/>
        <v>167019</v>
      </c>
      <c r="Q27" s="482"/>
      <c r="R27" s="449"/>
      <c r="S27" s="449">
        <f t="shared" si="8"/>
        <v>0</v>
      </c>
      <c r="T27" s="449">
        <f t="shared" si="5"/>
        <v>150000</v>
      </c>
      <c r="U27" s="449">
        <f t="shared" si="6"/>
        <v>2850000</v>
      </c>
      <c r="V27" s="449"/>
      <c r="W27" s="449">
        <f t="shared" si="11"/>
        <v>2850000</v>
      </c>
      <c r="X27" s="449"/>
      <c r="Y27" s="449"/>
      <c r="Z27" s="449"/>
      <c r="AA27" s="448"/>
      <c r="AB27" s="448" t="s">
        <v>1516</v>
      </c>
      <c r="AC27" s="448">
        <v>810000</v>
      </c>
    </row>
    <row r="28" spans="1:29" ht="45" customHeight="1">
      <c r="A28" s="448">
        <f t="shared" si="7"/>
        <v>24</v>
      </c>
      <c r="B28" s="448">
        <v>1968</v>
      </c>
      <c r="C28" s="448" t="s">
        <v>791</v>
      </c>
      <c r="D28" s="449">
        <f>2170000-350077</f>
        <v>1819923</v>
      </c>
      <c r="E28" s="449">
        <v>2170000</v>
      </c>
      <c r="F28" s="449">
        <f t="shared" si="0"/>
        <v>-350077</v>
      </c>
      <c r="G28" s="449">
        <v>2170000</v>
      </c>
      <c r="H28" s="449">
        <v>1819923</v>
      </c>
      <c r="I28" s="449">
        <v>0</v>
      </c>
      <c r="J28" s="449"/>
      <c r="K28" s="449">
        <f t="shared" si="1"/>
        <v>0</v>
      </c>
      <c r="L28" s="449">
        <f t="shared" si="2"/>
        <v>1819923</v>
      </c>
      <c r="M28" s="449">
        <f>P28+S28-350077</f>
        <v>0</v>
      </c>
      <c r="N28" s="449"/>
      <c r="O28" s="449">
        <f t="shared" si="3"/>
        <v>0</v>
      </c>
      <c r="P28" s="449">
        <f t="shared" si="4"/>
        <v>350077</v>
      </c>
      <c r="Q28" s="482"/>
      <c r="R28" s="449"/>
      <c r="S28" s="449">
        <f t="shared" si="8"/>
        <v>0</v>
      </c>
      <c r="T28" s="449">
        <f t="shared" si="5"/>
        <v>350077</v>
      </c>
      <c r="U28" s="449">
        <f t="shared" si="6"/>
        <v>-350077</v>
      </c>
      <c r="V28" s="449"/>
      <c r="W28" s="449">
        <f t="shared" si="11"/>
        <v>-350077</v>
      </c>
      <c r="X28" s="449"/>
      <c r="Y28" s="449"/>
      <c r="Z28" s="449"/>
      <c r="AA28" s="448"/>
      <c r="AB28" s="323" t="s">
        <v>1436</v>
      </c>
      <c r="AC28" s="323">
        <v>848500</v>
      </c>
    </row>
    <row r="29" spans="1:29" ht="45" customHeight="1">
      <c r="A29" s="448">
        <f t="shared" si="7"/>
        <v>25</v>
      </c>
      <c r="B29" s="448">
        <v>1970</v>
      </c>
      <c r="C29" s="448" t="s">
        <v>123</v>
      </c>
      <c r="D29" s="449">
        <v>32500000</v>
      </c>
      <c r="E29" s="449">
        <v>32500000</v>
      </c>
      <c r="F29" s="449">
        <f t="shared" si="0"/>
        <v>0</v>
      </c>
      <c r="G29" s="449">
        <v>32500000</v>
      </c>
      <c r="H29" s="449">
        <v>32499902</v>
      </c>
      <c r="I29" s="449">
        <v>0</v>
      </c>
      <c r="J29" s="449">
        <v>0</v>
      </c>
      <c r="K29" s="449">
        <f t="shared" si="1"/>
        <v>0</v>
      </c>
      <c r="L29" s="449">
        <f t="shared" si="2"/>
        <v>32499902</v>
      </c>
      <c r="M29" s="449">
        <f t="shared" si="10"/>
        <v>98</v>
      </c>
      <c r="N29" s="449"/>
      <c r="O29" s="449">
        <f t="shared" si="3"/>
        <v>0</v>
      </c>
      <c r="P29" s="449">
        <f t="shared" si="4"/>
        <v>98</v>
      </c>
      <c r="Q29" s="482"/>
      <c r="R29" s="449"/>
      <c r="S29" s="449">
        <f t="shared" si="8"/>
        <v>0</v>
      </c>
      <c r="T29" s="449">
        <f t="shared" si="5"/>
        <v>0</v>
      </c>
      <c r="U29" s="449">
        <f t="shared" si="6"/>
        <v>0</v>
      </c>
      <c r="V29" s="449"/>
      <c r="W29" s="449">
        <f t="shared" si="11"/>
        <v>0</v>
      </c>
      <c r="X29" s="449"/>
      <c r="Y29" s="449"/>
      <c r="Z29" s="449"/>
      <c r="AA29" s="448"/>
      <c r="AB29" s="448" t="s">
        <v>1356</v>
      </c>
      <c r="AC29" s="448">
        <v>810000</v>
      </c>
    </row>
    <row r="30" spans="1:29" ht="55.2">
      <c r="A30" s="448">
        <f t="shared" si="7"/>
        <v>26</v>
      </c>
      <c r="B30" s="448">
        <v>1973</v>
      </c>
      <c r="C30" s="448" t="s">
        <v>119</v>
      </c>
      <c r="D30" s="449">
        <f>2500000+750000</f>
        <v>3250000</v>
      </c>
      <c r="E30" s="449">
        <v>2500000</v>
      </c>
      <c r="F30" s="449">
        <f t="shared" si="0"/>
        <v>750000</v>
      </c>
      <c r="G30" s="449">
        <v>2250000</v>
      </c>
      <c r="H30" s="449">
        <v>2181760</v>
      </c>
      <c r="I30" s="449">
        <v>0</v>
      </c>
      <c r="J30" s="449">
        <v>51171</v>
      </c>
      <c r="K30" s="449">
        <f t="shared" si="1"/>
        <v>51171</v>
      </c>
      <c r="L30" s="449">
        <f t="shared" si="2"/>
        <v>2232931</v>
      </c>
      <c r="M30" s="449">
        <f>P30+S30-17000</f>
        <v>69</v>
      </c>
      <c r="N30" s="449">
        <f>600000-500000-50000+17000</f>
        <v>67000</v>
      </c>
      <c r="O30" s="449">
        <f t="shared" si="3"/>
        <v>950000</v>
      </c>
      <c r="P30" s="449">
        <f t="shared" si="4"/>
        <v>17069</v>
      </c>
      <c r="Q30" s="482"/>
      <c r="R30" s="449"/>
      <c r="S30" s="449">
        <f t="shared" si="8"/>
        <v>0</v>
      </c>
      <c r="T30" s="449">
        <f t="shared" si="5"/>
        <v>17000</v>
      </c>
      <c r="U30" s="449">
        <f t="shared" si="6"/>
        <v>50000</v>
      </c>
      <c r="V30" s="449"/>
      <c r="W30" s="449">
        <f t="shared" si="11"/>
        <v>50000</v>
      </c>
      <c r="X30" s="449"/>
      <c r="Y30" s="449"/>
      <c r="Z30" s="449"/>
      <c r="AA30" s="448"/>
      <c r="AB30" s="448" t="s">
        <v>1517</v>
      </c>
      <c r="AC30" s="448">
        <v>742000</v>
      </c>
    </row>
    <row r="31" spans="1:29" ht="45" customHeight="1">
      <c r="A31" s="448">
        <f t="shared" si="7"/>
        <v>27</v>
      </c>
      <c r="B31" s="448">
        <v>2028</v>
      </c>
      <c r="C31" s="448" t="s">
        <v>270</v>
      </c>
      <c r="D31" s="449">
        <f>2435000-477</f>
        <v>2434523</v>
      </c>
      <c r="E31" s="449">
        <v>2435000</v>
      </c>
      <c r="F31" s="449">
        <f t="shared" si="0"/>
        <v>-477</v>
      </c>
      <c r="G31" s="449">
        <v>2435000</v>
      </c>
      <c r="H31" s="449">
        <v>2434523</v>
      </c>
      <c r="I31" s="449"/>
      <c r="J31" s="449">
        <v>0</v>
      </c>
      <c r="K31" s="449">
        <f t="shared" si="1"/>
        <v>0</v>
      </c>
      <c r="L31" s="449">
        <f t="shared" si="2"/>
        <v>2434523</v>
      </c>
      <c r="M31" s="449">
        <f>P31+S31-477</f>
        <v>0</v>
      </c>
      <c r="N31" s="449"/>
      <c r="O31" s="449">
        <f t="shared" si="3"/>
        <v>0</v>
      </c>
      <c r="P31" s="449">
        <f t="shared" si="4"/>
        <v>477</v>
      </c>
      <c r="Q31" s="482"/>
      <c r="R31" s="449"/>
      <c r="S31" s="449">
        <f t="shared" si="8"/>
        <v>0</v>
      </c>
      <c r="T31" s="449">
        <f t="shared" si="5"/>
        <v>477</v>
      </c>
      <c r="U31" s="449">
        <f t="shared" si="6"/>
        <v>-477</v>
      </c>
      <c r="V31" s="449"/>
      <c r="W31" s="449">
        <f t="shared" si="11"/>
        <v>-477</v>
      </c>
      <c r="X31" s="449"/>
      <c r="Y31" s="449"/>
      <c r="Z31" s="449"/>
      <c r="AA31" s="448"/>
      <c r="AB31" s="448" t="s">
        <v>1437</v>
      </c>
      <c r="AC31" s="448">
        <v>810000</v>
      </c>
    </row>
    <row r="32" spans="1:29" ht="55.2">
      <c r="A32" s="448">
        <f t="shared" si="7"/>
        <v>28</v>
      </c>
      <c r="B32" s="448">
        <v>2030</v>
      </c>
      <c r="C32" s="448" t="s">
        <v>231</v>
      </c>
      <c r="D32" s="449">
        <f>31500000+19786977-4465000</f>
        <v>46821977</v>
      </c>
      <c r="E32" s="449">
        <v>31500000</v>
      </c>
      <c r="F32" s="449">
        <f t="shared" si="0"/>
        <v>15321977</v>
      </c>
      <c r="G32" s="449">
        <v>16421977</v>
      </c>
      <c r="H32" s="449">
        <v>10816571</v>
      </c>
      <c r="I32" s="449">
        <v>271685</v>
      </c>
      <c r="J32" s="449">
        <f>647230</f>
        <v>647230</v>
      </c>
      <c r="K32" s="449">
        <f t="shared" si="1"/>
        <v>918915</v>
      </c>
      <c r="L32" s="449">
        <f t="shared" si="2"/>
        <v>11735486</v>
      </c>
      <c r="M32" s="449">
        <f>P32+S32-4600000-85000</f>
        <v>1491</v>
      </c>
      <c r="N32" s="449">
        <v>85000</v>
      </c>
      <c r="O32" s="449">
        <f t="shared" si="3"/>
        <v>35000000</v>
      </c>
      <c r="P32" s="449">
        <f t="shared" si="4"/>
        <v>4686491</v>
      </c>
      <c r="Q32" s="482"/>
      <c r="R32" s="449"/>
      <c r="S32" s="449">
        <v>0</v>
      </c>
      <c r="T32" s="449">
        <f t="shared" si="5"/>
        <v>4685000</v>
      </c>
      <c r="U32" s="449">
        <f t="shared" si="6"/>
        <v>-4600000</v>
      </c>
      <c r="V32" s="449">
        <v>-4600000</v>
      </c>
      <c r="W32" s="449">
        <f t="shared" si="11"/>
        <v>0</v>
      </c>
      <c r="X32" s="449"/>
      <c r="Y32" s="449"/>
      <c r="Z32" s="449"/>
      <c r="AA32" s="449">
        <f>3368300-110000-3258300</f>
        <v>0</v>
      </c>
      <c r="AB32" s="448" t="s">
        <v>1366</v>
      </c>
      <c r="AC32" s="448">
        <v>810000</v>
      </c>
    </row>
    <row r="33" spans="1:47" ht="69">
      <c r="A33" s="448">
        <f t="shared" si="7"/>
        <v>29</v>
      </c>
      <c r="B33" s="448">
        <v>2037</v>
      </c>
      <c r="C33" s="448" t="s">
        <v>372</v>
      </c>
      <c r="D33" s="449">
        <v>5000000</v>
      </c>
      <c r="E33" s="449">
        <v>5000000</v>
      </c>
      <c r="F33" s="449">
        <f t="shared" si="0"/>
        <v>0</v>
      </c>
      <c r="G33" s="449">
        <v>2300000</v>
      </c>
      <c r="H33" s="449">
        <v>1381407</v>
      </c>
      <c r="I33" s="449">
        <v>0</v>
      </c>
      <c r="J33" s="449">
        <v>498918</v>
      </c>
      <c r="K33" s="449">
        <f t="shared" si="1"/>
        <v>498918</v>
      </c>
      <c r="L33" s="449">
        <f t="shared" si="2"/>
        <v>1880325</v>
      </c>
      <c r="M33" s="449">
        <f>P33+S33-400000+200000-15000</f>
        <v>4675</v>
      </c>
      <c r="N33" s="449">
        <f>500000-100000+15000</f>
        <v>415000</v>
      </c>
      <c r="O33" s="449">
        <f t="shared" si="3"/>
        <v>2700000</v>
      </c>
      <c r="P33" s="449">
        <f t="shared" si="4"/>
        <v>419675</v>
      </c>
      <c r="Q33" s="482"/>
      <c r="R33" s="449">
        <v>-200000</v>
      </c>
      <c r="S33" s="449">
        <f t="shared" si="8"/>
        <v>-200000</v>
      </c>
      <c r="T33" s="449">
        <f t="shared" si="5"/>
        <v>215000</v>
      </c>
      <c r="U33" s="449">
        <f t="shared" si="6"/>
        <v>200000</v>
      </c>
      <c r="V33" s="449"/>
      <c r="W33" s="449">
        <f t="shared" si="11"/>
        <v>200000</v>
      </c>
      <c r="X33" s="449"/>
      <c r="Y33" s="449"/>
      <c r="Z33" s="449"/>
      <c r="AA33" s="448"/>
      <c r="AB33" s="448" t="s">
        <v>843</v>
      </c>
      <c r="AC33" s="448">
        <v>870000</v>
      </c>
    </row>
    <row r="34" spans="1:47" ht="69">
      <c r="A34" s="448">
        <f t="shared" si="7"/>
        <v>30</v>
      </c>
      <c r="B34" s="448">
        <v>2038</v>
      </c>
      <c r="C34" s="448" t="s">
        <v>396</v>
      </c>
      <c r="D34" s="449">
        <f>6000000+1500000</f>
        <v>7500000</v>
      </c>
      <c r="E34" s="449">
        <v>6000000</v>
      </c>
      <c r="F34" s="449">
        <f t="shared" si="0"/>
        <v>1500000</v>
      </c>
      <c r="G34" s="449">
        <v>5250000</v>
      </c>
      <c r="H34" s="449">
        <v>5247440</v>
      </c>
      <c r="I34" s="449">
        <v>0</v>
      </c>
      <c r="J34" s="449"/>
      <c r="K34" s="449">
        <f t="shared" si="1"/>
        <v>0</v>
      </c>
      <c r="L34" s="449">
        <f t="shared" si="2"/>
        <v>5247440</v>
      </c>
      <c r="M34" s="449">
        <f t="shared" si="10"/>
        <v>2560</v>
      </c>
      <c r="N34" s="449">
        <f>1500000-700000-100000</f>
        <v>700000</v>
      </c>
      <c r="O34" s="449">
        <f t="shared" si="3"/>
        <v>1550000</v>
      </c>
      <c r="P34" s="449">
        <f t="shared" si="4"/>
        <v>2560</v>
      </c>
      <c r="Q34" s="482"/>
      <c r="R34" s="449"/>
      <c r="S34" s="449">
        <f t="shared" si="8"/>
        <v>0</v>
      </c>
      <c r="T34" s="449">
        <f t="shared" si="5"/>
        <v>0</v>
      </c>
      <c r="U34" s="449">
        <f t="shared" si="6"/>
        <v>700000</v>
      </c>
      <c r="V34" s="449"/>
      <c r="W34" s="449">
        <f t="shared" si="11"/>
        <v>700000</v>
      </c>
      <c r="X34" s="449"/>
      <c r="Y34" s="449"/>
      <c r="Z34" s="449"/>
      <c r="AA34" s="448"/>
      <c r="AB34" s="448" t="s">
        <v>416</v>
      </c>
      <c r="AC34" s="448">
        <v>810000</v>
      </c>
    </row>
    <row r="35" spans="1:47" ht="45" customHeight="1">
      <c r="A35" s="448">
        <f t="shared" si="7"/>
        <v>31</v>
      </c>
      <c r="B35" s="448">
        <v>2039</v>
      </c>
      <c r="C35" s="448" t="s">
        <v>130</v>
      </c>
      <c r="D35" s="449">
        <v>535000</v>
      </c>
      <c r="E35" s="449">
        <v>535000</v>
      </c>
      <c r="F35" s="449">
        <f t="shared" si="0"/>
        <v>0</v>
      </c>
      <c r="G35" s="449">
        <v>535000</v>
      </c>
      <c r="H35" s="449">
        <v>264008</v>
      </c>
      <c r="I35" s="449">
        <v>0</v>
      </c>
      <c r="J35" s="449">
        <v>80853</v>
      </c>
      <c r="K35" s="449">
        <f t="shared" si="1"/>
        <v>80853</v>
      </c>
      <c r="L35" s="449">
        <f t="shared" si="2"/>
        <v>344861</v>
      </c>
      <c r="M35" s="449">
        <f>P35+S35-190000</f>
        <v>139</v>
      </c>
      <c r="N35" s="449">
        <f>190000-190000</f>
        <v>0</v>
      </c>
      <c r="O35" s="449">
        <f t="shared" si="3"/>
        <v>190000</v>
      </c>
      <c r="P35" s="449">
        <f t="shared" si="4"/>
        <v>190139</v>
      </c>
      <c r="Q35" s="482"/>
      <c r="R35" s="449"/>
      <c r="S35" s="449">
        <f t="shared" si="8"/>
        <v>0</v>
      </c>
      <c r="T35" s="449">
        <f t="shared" si="5"/>
        <v>190000</v>
      </c>
      <c r="U35" s="449">
        <f t="shared" si="6"/>
        <v>-190000</v>
      </c>
      <c r="V35" s="449"/>
      <c r="W35" s="449">
        <f t="shared" si="11"/>
        <v>-190000</v>
      </c>
      <c r="X35" s="449"/>
      <c r="Y35" s="449"/>
      <c r="Z35" s="449"/>
      <c r="AA35" s="448"/>
      <c r="AB35" s="484" t="s">
        <v>1409</v>
      </c>
      <c r="AC35" s="448">
        <v>760000</v>
      </c>
    </row>
    <row r="36" spans="1:47" ht="45" customHeight="1">
      <c r="A36" s="448">
        <f t="shared" si="7"/>
        <v>32</v>
      </c>
      <c r="B36" s="448">
        <v>2040</v>
      </c>
      <c r="C36" s="448" t="s">
        <v>281</v>
      </c>
      <c r="D36" s="449">
        <v>2710000</v>
      </c>
      <c r="E36" s="449">
        <v>2710000</v>
      </c>
      <c r="F36" s="449">
        <f t="shared" si="0"/>
        <v>0</v>
      </c>
      <c r="G36" s="449">
        <v>1410000</v>
      </c>
      <c r="H36" s="449">
        <v>1156514</v>
      </c>
      <c r="I36" s="449">
        <v>0</v>
      </c>
      <c r="J36" s="449"/>
      <c r="K36" s="449">
        <f t="shared" si="1"/>
        <v>0</v>
      </c>
      <c r="L36" s="449">
        <f t="shared" si="2"/>
        <v>1156514</v>
      </c>
      <c r="M36" s="449">
        <f>P36+S36-250000</f>
        <v>3486</v>
      </c>
      <c r="N36" s="449">
        <f>1200000-500000</f>
        <v>700000</v>
      </c>
      <c r="O36" s="449">
        <f t="shared" si="3"/>
        <v>850000</v>
      </c>
      <c r="P36" s="449">
        <f t="shared" si="4"/>
        <v>253486</v>
      </c>
      <c r="Q36" s="482"/>
      <c r="R36" s="449"/>
      <c r="S36" s="449">
        <f t="shared" si="8"/>
        <v>0</v>
      </c>
      <c r="T36" s="449">
        <f t="shared" si="5"/>
        <v>250000</v>
      </c>
      <c r="U36" s="449">
        <f t="shared" si="6"/>
        <v>450000</v>
      </c>
      <c r="V36" s="449"/>
      <c r="W36" s="449">
        <f t="shared" si="11"/>
        <v>450000</v>
      </c>
      <c r="X36" s="449"/>
      <c r="Y36" s="449"/>
      <c r="Z36" s="449"/>
      <c r="AA36" s="448"/>
      <c r="AB36" s="448" t="s">
        <v>1438</v>
      </c>
      <c r="AC36" s="448">
        <v>829000</v>
      </c>
    </row>
    <row r="37" spans="1:47" ht="45" customHeight="1">
      <c r="A37" s="448">
        <f t="shared" si="7"/>
        <v>33</v>
      </c>
      <c r="B37" s="448">
        <v>2043</v>
      </c>
      <c r="C37" s="448" t="s">
        <v>402</v>
      </c>
      <c r="D37" s="449">
        <f>15350000+6000000-850000</f>
        <v>20500000</v>
      </c>
      <c r="E37" s="449">
        <f>15350000+3000000</f>
        <v>18350000</v>
      </c>
      <c r="F37" s="449">
        <f t="shared" si="0"/>
        <v>2150000</v>
      </c>
      <c r="G37" s="449">
        <v>14850000</v>
      </c>
      <c r="H37" s="449">
        <v>15411264</v>
      </c>
      <c r="I37" s="449">
        <v>56624</v>
      </c>
      <c r="J37" s="449">
        <f>2218+200000+999980</f>
        <v>1202198</v>
      </c>
      <c r="K37" s="449">
        <f t="shared" si="1"/>
        <v>1258822</v>
      </c>
      <c r="L37" s="449">
        <f t="shared" si="2"/>
        <v>16670086</v>
      </c>
      <c r="M37" s="449">
        <f>P37+S37-2500000+500000+825000</f>
        <v>4914</v>
      </c>
      <c r="N37" s="449">
        <f>5650000-3000000+2000000-1050000-825000+1050000-150000</f>
        <v>3675000</v>
      </c>
      <c r="O37" s="449">
        <f t="shared" si="3"/>
        <v>150000</v>
      </c>
      <c r="P37" s="449">
        <f t="shared" si="4"/>
        <v>-1820086</v>
      </c>
      <c r="Q37" s="482"/>
      <c r="R37" s="449">
        <v>3000000</v>
      </c>
      <c r="S37" s="449">
        <f t="shared" si="8"/>
        <v>3000000</v>
      </c>
      <c r="T37" s="449">
        <f t="shared" si="5"/>
        <v>1175000</v>
      </c>
      <c r="U37" s="449">
        <f t="shared" si="6"/>
        <v>2500000</v>
      </c>
      <c r="V37" s="449"/>
      <c r="W37" s="449">
        <f t="shared" si="11"/>
        <v>2500000</v>
      </c>
      <c r="X37" s="449"/>
      <c r="Y37" s="449"/>
      <c r="Z37" s="449"/>
      <c r="AA37" s="448"/>
      <c r="AB37" s="448" t="s">
        <v>702</v>
      </c>
      <c r="AC37" s="448">
        <v>747000</v>
      </c>
    </row>
    <row r="38" spans="1:47" ht="45" customHeight="1">
      <c r="A38" s="448">
        <f t="shared" si="7"/>
        <v>34</v>
      </c>
      <c r="B38" s="448">
        <v>2044</v>
      </c>
      <c r="C38" s="448" t="s">
        <v>131</v>
      </c>
      <c r="D38" s="449">
        <v>105000</v>
      </c>
      <c r="E38" s="449">
        <v>105000</v>
      </c>
      <c r="F38" s="449">
        <f t="shared" si="0"/>
        <v>0</v>
      </c>
      <c r="G38" s="449">
        <v>105000</v>
      </c>
      <c r="H38" s="449">
        <v>56160</v>
      </c>
      <c r="I38" s="449">
        <v>0</v>
      </c>
      <c r="J38" s="449">
        <v>0</v>
      </c>
      <c r="K38" s="449">
        <f t="shared" si="1"/>
        <v>0</v>
      </c>
      <c r="L38" s="449">
        <f t="shared" si="2"/>
        <v>56160</v>
      </c>
      <c r="M38" s="449">
        <f>P38+S38-48800</f>
        <v>40</v>
      </c>
      <c r="N38" s="449">
        <v>48800</v>
      </c>
      <c r="O38" s="449">
        <f t="shared" si="3"/>
        <v>0</v>
      </c>
      <c r="P38" s="449">
        <f t="shared" si="4"/>
        <v>48840</v>
      </c>
      <c r="Q38" s="482"/>
      <c r="R38" s="449"/>
      <c r="S38" s="449">
        <f t="shared" si="8"/>
        <v>0</v>
      </c>
      <c r="T38" s="449">
        <f t="shared" si="5"/>
        <v>48800</v>
      </c>
      <c r="U38" s="449">
        <f t="shared" si="6"/>
        <v>0</v>
      </c>
      <c r="V38" s="449"/>
      <c r="W38" s="449">
        <f t="shared" si="11"/>
        <v>0</v>
      </c>
      <c r="X38" s="449"/>
      <c r="Y38" s="449"/>
      <c r="Z38" s="449"/>
      <c r="AA38" s="448"/>
      <c r="AB38" s="448" t="s">
        <v>554</v>
      </c>
      <c r="AC38" s="448">
        <v>747000</v>
      </c>
    </row>
    <row r="39" spans="1:47" s="485" customFormat="1" ht="45" customHeight="1">
      <c r="A39" s="448">
        <f t="shared" si="7"/>
        <v>35</v>
      </c>
      <c r="B39" s="448">
        <v>2047</v>
      </c>
      <c r="C39" s="448" t="s">
        <v>283</v>
      </c>
      <c r="D39" s="449">
        <v>170000</v>
      </c>
      <c r="E39" s="449">
        <v>170000</v>
      </c>
      <c r="F39" s="449">
        <f t="shared" si="0"/>
        <v>0</v>
      </c>
      <c r="G39" s="449">
        <v>170000</v>
      </c>
      <c r="H39" s="449">
        <v>170000</v>
      </c>
      <c r="I39" s="449">
        <v>0</v>
      </c>
      <c r="J39" s="449">
        <v>0</v>
      </c>
      <c r="K39" s="449">
        <f t="shared" si="1"/>
        <v>0</v>
      </c>
      <c r="L39" s="449">
        <f t="shared" si="2"/>
        <v>170000</v>
      </c>
      <c r="M39" s="449">
        <f t="shared" si="10"/>
        <v>0</v>
      </c>
      <c r="N39" s="449"/>
      <c r="O39" s="449">
        <f t="shared" si="3"/>
        <v>0</v>
      </c>
      <c r="P39" s="449">
        <f t="shared" si="4"/>
        <v>0</v>
      </c>
      <c r="Q39" s="482"/>
      <c r="R39" s="449"/>
      <c r="S39" s="449">
        <f t="shared" si="8"/>
        <v>0</v>
      </c>
      <c r="T39" s="449">
        <f t="shared" si="5"/>
        <v>0</v>
      </c>
      <c r="U39" s="449">
        <f t="shared" si="6"/>
        <v>0</v>
      </c>
      <c r="V39" s="449"/>
      <c r="W39" s="449">
        <f t="shared" si="11"/>
        <v>0</v>
      </c>
      <c r="X39" s="449"/>
      <c r="Y39" s="449"/>
      <c r="Z39" s="449"/>
      <c r="AA39" s="448"/>
      <c r="AB39" s="448" t="s">
        <v>1439</v>
      </c>
      <c r="AC39" s="448">
        <v>747000</v>
      </c>
      <c r="AD39" s="756"/>
      <c r="AE39" s="756"/>
      <c r="AF39" s="756"/>
      <c r="AG39" s="756"/>
      <c r="AH39" s="756"/>
      <c r="AI39" s="756"/>
      <c r="AJ39" s="756"/>
      <c r="AK39" s="756"/>
      <c r="AL39" s="756"/>
      <c r="AM39" s="756"/>
      <c r="AN39" s="756"/>
      <c r="AO39" s="756"/>
      <c r="AP39" s="756"/>
      <c r="AQ39"/>
    </row>
    <row r="40" spans="1:47" ht="45" customHeight="1">
      <c r="A40" s="448">
        <f t="shared" si="7"/>
        <v>36</v>
      </c>
      <c r="B40" s="448">
        <v>2063</v>
      </c>
      <c r="C40" s="448" t="s">
        <v>271</v>
      </c>
      <c r="D40" s="449">
        <f>2500000+600000</f>
        <v>3100000</v>
      </c>
      <c r="E40" s="449">
        <v>2500000</v>
      </c>
      <c r="F40" s="449">
        <f t="shared" si="0"/>
        <v>600000</v>
      </c>
      <c r="G40" s="449">
        <v>2300000</v>
      </c>
      <c r="H40" s="449">
        <v>664045</v>
      </c>
      <c r="I40" s="449">
        <v>0</v>
      </c>
      <c r="J40" s="449">
        <v>1554999</v>
      </c>
      <c r="K40" s="449">
        <f t="shared" si="1"/>
        <v>1554999</v>
      </c>
      <c r="L40" s="449">
        <f t="shared" si="2"/>
        <v>2219044</v>
      </c>
      <c r="M40" s="449">
        <f>P40+S40-80000</f>
        <v>956</v>
      </c>
      <c r="N40" s="449">
        <f>800000-100000+80000</f>
        <v>780000</v>
      </c>
      <c r="O40" s="449">
        <f t="shared" si="3"/>
        <v>100000</v>
      </c>
      <c r="P40" s="449">
        <f t="shared" si="4"/>
        <v>80956</v>
      </c>
      <c r="Q40" s="482"/>
      <c r="R40" s="449"/>
      <c r="S40" s="449">
        <f t="shared" si="8"/>
        <v>0</v>
      </c>
      <c r="T40" s="449">
        <f t="shared" si="5"/>
        <v>80000</v>
      </c>
      <c r="U40" s="449">
        <f t="shared" si="6"/>
        <v>700000</v>
      </c>
      <c r="V40" s="449">
        <v>700000</v>
      </c>
      <c r="W40" s="449">
        <f t="shared" si="11"/>
        <v>0</v>
      </c>
      <c r="X40" s="449"/>
      <c r="Y40" s="449"/>
      <c r="Z40" s="449"/>
      <c r="AA40" s="448"/>
      <c r="AB40" s="448" t="s">
        <v>514</v>
      </c>
      <c r="AC40" s="448">
        <v>810000</v>
      </c>
    </row>
    <row r="41" spans="1:47" ht="45" customHeight="1">
      <c r="A41" s="448">
        <f t="shared" si="7"/>
        <v>37</v>
      </c>
      <c r="B41" s="448">
        <v>2071</v>
      </c>
      <c r="C41" s="448" t="s">
        <v>275</v>
      </c>
      <c r="D41" s="449">
        <f>300000-21920</f>
        <v>278080</v>
      </c>
      <c r="E41" s="449">
        <v>300000</v>
      </c>
      <c r="F41" s="449">
        <f t="shared" si="0"/>
        <v>-21920</v>
      </c>
      <c r="G41" s="449">
        <v>300000</v>
      </c>
      <c r="H41" s="449">
        <v>278080</v>
      </c>
      <c r="I41" s="449">
        <v>0</v>
      </c>
      <c r="J41" s="449">
        <v>0</v>
      </c>
      <c r="K41" s="449">
        <f t="shared" si="1"/>
        <v>0</v>
      </c>
      <c r="L41" s="449">
        <f t="shared" si="2"/>
        <v>278080</v>
      </c>
      <c r="M41" s="449">
        <f>P41+S41-21920</f>
        <v>0</v>
      </c>
      <c r="N41" s="449"/>
      <c r="O41" s="449">
        <f t="shared" si="3"/>
        <v>0</v>
      </c>
      <c r="P41" s="449">
        <f t="shared" si="4"/>
        <v>21920</v>
      </c>
      <c r="Q41" s="482"/>
      <c r="R41" s="449"/>
      <c r="S41" s="449">
        <f t="shared" si="8"/>
        <v>0</v>
      </c>
      <c r="T41" s="449">
        <f t="shared" si="5"/>
        <v>21920</v>
      </c>
      <c r="U41" s="449">
        <f t="shared" si="6"/>
        <v>-21920</v>
      </c>
      <c r="V41" s="449"/>
      <c r="W41" s="449">
        <f t="shared" si="11"/>
        <v>20986</v>
      </c>
      <c r="X41" s="449"/>
      <c r="Y41" s="449"/>
      <c r="Z41" s="449"/>
      <c r="AA41" s="449">
        <v>-42906</v>
      </c>
      <c r="AB41" s="448" t="s">
        <v>388</v>
      </c>
      <c r="AC41" s="448">
        <v>810000</v>
      </c>
    </row>
    <row r="42" spans="1:47" s="5" customFormat="1" ht="45" customHeight="1">
      <c r="A42" s="3">
        <f t="shared" si="7"/>
        <v>38</v>
      </c>
      <c r="B42" s="448">
        <v>2091</v>
      </c>
      <c r="C42" s="3" t="s">
        <v>277</v>
      </c>
      <c r="D42" s="4">
        <v>1360000</v>
      </c>
      <c r="E42" s="4">
        <v>1360000</v>
      </c>
      <c r="F42" s="4">
        <f t="shared" si="0"/>
        <v>0</v>
      </c>
      <c r="G42" s="4">
        <v>400000</v>
      </c>
      <c r="H42" s="4">
        <f>160057-57</f>
        <v>160000</v>
      </c>
      <c r="I42" s="4"/>
      <c r="J42" s="4"/>
      <c r="K42" s="4">
        <f t="shared" si="1"/>
        <v>0</v>
      </c>
      <c r="L42" s="4">
        <f t="shared" si="2"/>
        <v>160000</v>
      </c>
      <c r="M42" s="4">
        <f>P42+S42-80000*3</f>
        <v>0</v>
      </c>
      <c r="N42" s="4"/>
      <c r="O42" s="4">
        <f>D42-M42-N42-L42</f>
        <v>1200000</v>
      </c>
      <c r="P42" s="4">
        <f t="shared" si="4"/>
        <v>240000</v>
      </c>
      <c r="Q42" s="355"/>
      <c r="R42" s="4"/>
      <c r="S42" s="4">
        <f>SUM(Q42:R42)</f>
        <v>0</v>
      </c>
      <c r="T42" s="4">
        <f t="shared" si="5"/>
        <v>240000</v>
      </c>
      <c r="U42" s="4">
        <f t="shared" si="6"/>
        <v>-240000</v>
      </c>
      <c r="V42" s="4"/>
      <c r="W42" s="449">
        <f t="shared" si="11"/>
        <v>0</v>
      </c>
      <c r="X42" s="4"/>
      <c r="Y42" s="4"/>
      <c r="Z42" s="4"/>
      <c r="AA42" s="274">
        <v>-240000</v>
      </c>
      <c r="AB42" s="3" t="s">
        <v>1440</v>
      </c>
      <c r="AC42" s="3">
        <v>810000</v>
      </c>
      <c r="AD42" s="756"/>
      <c r="AE42" s="756"/>
      <c r="AF42" s="756"/>
      <c r="AG42" s="756"/>
      <c r="AH42" s="756"/>
      <c r="AI42" s="756"/>
      <c r="AJ42" s="756"/>
      <c r="AK42" s="756"/>
      <c r="AL42" s="756"/>
      <c r="AM42" s="756"/>
      <c r="AN42" s="756"/>
      <c r="AO42" s="756"/>
      <c r="AP42" s="756"/>
      <c r="AQ42" s="16"/>
      <c r="AR42" s="16"/>
      <c r="AS42" s="16"/>
      <c r="AT42" s="16"/>
      <c r="AU42" s="16"/>
    </row>
    <row r="43" spans="1:47" ht="45" customHeight="1">
      <c r="A43" s="3">
        <f t="shared" si="7"/>
        <v>39</v>
      </c>
      <c r="B43" s="448">
        <v>2095</v>
      </c>
      <c r="C43" s="448" t="s">
        <v>272</v>
      </c>
      <c r="D43" s="449">
        <v>210000</v>
      </c>
      <c r="E43" s="449">
        <v>210000</v>
      </c>
      <c r="F43" s="449">
        <f t="shared" si="0"/>
        <v>0</v>
      </c>
      <c r="G43" s="449">
        <v>160000</v>
      </c>
      <c r="H43" s="449">
        <v>114953</v>
      </c>
      <c r="I43" s="449">
        <v>0</v>
      </c>
      <c r="J43" s="449">
        <v>29835</v>
      </c>
      <c r="K43" s="449">
        <f t="shared" si="1"/>
        <v>29835</v>
      </c>
      <c r="L43" s="449">
        <f t="shared" si="2"/>
        <v>144788</v>
      </c>
      <c r="M43" s="449">
        <f>P43+S43-60000</f>
        <v>5212</v>
      </c>
      <c r="N43" s="449">
        <v>60000</v>
      </c>
      <c r="O43" s="449">
        <f t="shared" si="3"/>
        <v>0</v>
      </c>
      <c r="P43" s="449">
        <f t="shared" si="4"/>
        <v>15212</v>
      </c>
      <c r="Q43" s="482">
        <v>50000</v>
      </c>
      <c r="R43" s="449"/>
      <c r="S43" s="449">
        <f t="shared" si="8"/>
        <v>50000</v>
      </c>
      <c r="T43" s="449">
        <f t="shared" si="5"/>
        <v>60000</v>
      </c>
      <c r="U43" s="449">
        <f t="shared" si="6"/>
        <v>0</v>
      </c>
      <c r="V43" s="449"/>
      <c r="W43" s="449">
        <f t="shared" si="11"/>
        <v>0</v>
      </c>
      <c r="X43" s="449"/>
      <c r="Y43" s="449"/>
      <c r="Z43" s="449"/>
      <c r="AA43" s="448"/>
      <c r="AB43" s="448" t="s">
        <v>515</v>
      </c>
      <c r="AC43" s="448">
        <v>610000</v>
      </c>
    </row>
    <row r="44" spans="1:47" ht="45" customHeight="1">
      <c r="A44" s="448">
        <f t="shared" si="7"/>
        <v>40</v>
      </c>
      <c r="B44" s="448">
        <v>2131</v>
      </c>
      <c r="C44" s="448" t="s">
        <v>418</v>
      </c>
      <c r="D44" s="449">
        <v>7500000</v>
      </c>
      <c r="E44" s="449">
        <v>7500000</v>
      </c>
      <c r="F44" s="449">
        <f t="shared" si="0"/>
        <v>0</v>
      </c>
      <c r="G44" s="449">
        <v>4020000</v>
      </c>
      <c r="H44" s="449">
        <v>3818396</v>
      </c>
      <c r="I44" s="449">
        <v>0</v>
      </c>
      <c r="J44" s="449">
        <v>178564</v>
      </c>
      <c r="K44" s="449">
        <f t="shared" si="1"/>
        <v>178564</v>
      </c>
      <c r="L44" s="449">
        <f t="shared" si="2"/>
        <v>3996960</v>
      </c>
      <c r="M44" s="449">
        <f>P44+S44-20000</f>
        <v>3040</v>
      </c>
      <c r="N44" s="449">
        <v>20000</v>
      </c>
      <c r="O44" s="449">
        <f t="shared" si="3"/>
        <v>3480000</v>
      </c>
      <c r="P44" s="449">
        <f t="shared" si="4"/>
        <v>23040</v>
      </c>
      <c r="Q44" s="482"/>
      <c r="R44" s="449"/>
      <c r="S44" s="449">
        <f t="shared" si="8"/>
        <v>0</v>
      </c>
      <c r="T44" s="449">
        <f t="shared" si="5"/>
        <v>20000</v>
      </c>
      <c r="U44" s="449">
        <f t="shared" si="6"/>
        <v>0</v>
      </c>
      <c r="V44" s="449"/>
      <c r="W44" s="449">
        <f t="shared" si="11"/>
        <v>1520000</v>
      </c>
      <c r="X44" s="449"/>
      <c r="Y44" s="449"/>
      <c r="Z44" s="449"/>
      <c r="AA44" s="449">
        <v>-1520000</v>
      </c>
      <c r="AB44" s="448" t="s">
        <v>552</v>
      </c>
      <c r="AC44" s="448">
        <v>870000</v>
      </c>
    </row>
    <row r="45" spans="1:47" s="315" customFormat="1" ht="45" customHeight="1">
      <c r="A45" s="448">
        <f t="shared" si="7"/>
        <v>41</v>
      </c>
      <c r="B45" s="448">
        <v>2133</v>
      </c>
      <c r="C45" s="448" t="s">
        <v>376</v>
      </c>
      <c r="D45" s="449">
        <v>5150000</v>
      </c>
      <c r="E45" s="449">
        <v>5150000</v>
      </c>
      <c r="F45" s="449">
        <f t="shared" si="0"/>
        <v>0</v>
      </c>
      <c r="G45" s="449">
        <v>2950000</v>
      </c>
      <c r="H45" s="449">
        <v>2669254</v>
      </c>
      <c r="I45" s="449">
        <v>0</v>
      </c>
      <c r="J45" s="449"/>
      <c r="K45" s="449">
        <f t="shared" si="1"/>
        <v>0</v>
      </c>
      <c r="L45" s="449">
        <f t="shared" si="2"/>
        <v>2669254</v>
      </c>
      <c r="M45" s="449">
        <f>P45+S45-270000-10000</f>
        <v>746</v>
      </c>
      <c r="N45" s="449">
        <f>500000+270000-100000+10000</f>
        <v>680000</v>
      </c>
      <c r="O45" s="449">
        <f t="shared" si="3"/>
        <v>1800000</v>
      </c>
      <c r="P45" s="449">
        <f t="shared" si="4"/>
        <v>280746</v>
      </c>
      <c r="Q45" s="449"/>
      <c r="R45" s="449"/>
      <c r="S45" s="449">
        <f t="shared" si="8"/>
        <v>0</v>
      </c>
      <c r="T45" s="449">
        <f t="shared" si="5"/>
        <v>280000</v>
      </c>
      <c r="U45" s="449">
        <f t="shared" si="6"/>
        <v>400000</v>
      </c>
      <c r="V45" s="449"/>
      <c r="W45" s="449">
        <f t="shared" si="11"/>
        <v>400000</v>
      </c>
      <c r="X45" s="449"/>
      <c r="Y45" s="449"/>
      <c r="Z45" s="449"/>
      <c r="AA45" s="448"/>
      <c r="AB45" s="448" t="s">
        <v>894</v>
      </c>
      <c r="AC45" s="448">
        <v>930000</v>
      </c>
      <c r="AD45" s="756"/>
      <c r="AE45" s="756"/>
      <c r="AF45" s="756"/>
      <c r="AG45" s="756"/>
      <c r="AH45" s="756"/>
      <c r="AI45" s="756"/>
      <c r="AJ45" s="756"/>
      <c r="AK45" s="756"/>
      <c r="AL45" s="756"/>
      <c r="AM45" s="756"/>
      <c r="AN45" s="756"/>
      <c r="AO45" s="756"/>
      <c r="AP45" s="756"/>
      <c r="AQ45"/>
    </row>
    <row r="46" spans="1:47" ht="45" customHeight="1">
      <c r="A46" s="448">
        <f t="shared" si="7"/>
        <v>42</v>
      </c>
      <c r="B46" s="448">
        <v>2137</v>
      </c>
      <c r="C46" s="448" t="s">
        <v>378</v>
      </c>
      <c r="D46" s="449">
        <v>50000</v>
      </c>
      <c r="E46" s="449">
        <v>50000</v>
      </c>
      <c r="F46" s="449">
        <f t="shared" si="0"/>
        <v>0</v>
      </c>
      <c r="G46" s="449">
        <v>50000</v>
      </c>
      <c r="H46" s="449">
        <v>49966</v>
      </c>
      <c r="I46" s="449">
        <v>0</v>
      </c>
      <c r="J46" s="449">
        <v>0</v>
      </c>
      <c r="K46" s="449">
        <f t="shared" si="1"/>
        <v>0</v>
      </c>
      <c r="L46" s="449">
        <f t="shared" si="2"/>
        <v>49966</v>
      </c>
      <c r="M46" s="449">
        <f t="shared" si="10"/>
        <v>34</v>
      </c>
      <c r="N46" s="449"/>
      <c r="O46" s="449">
        <f t="shared" si="3"/>
        <v>0</v>
      </c>
      <c r="P46" s="449">
        <f t="shared" si="4"/>
        <v>34</v>
      </c>
      <c r="Q46" s="482"/>
      <c r="R46" s="449"/>
      <c r="S46" s="449">
        <f t="shared" si="8"/>
        <v>0</v>
      </c>
      <c r="T46" s="449">
        <f t="shared" si="5"/>
        <v>0</v>
      </c>
      <c r="U46" s="449">
        <f t="shared" si="6"/>
        <v>0</v>
      </c>
      <c r="V46" s="449"/>
      <c r="W46" s="449">
        <f t="shared" si="11"/>
        <v>0</v>
      </c>
      <c r="X46" s="449"/>
      <c r="Y46" s="449"/>
      <c r="Z46" s="449"/>
      <c r="AA46" s="448"/>
      <c r="AB46" s="448" t="s">
        <v>1443</v>
      </c>
      <c r="AC46" s="448">
        <v>747000</v>
      </c>
    </row>
    <row r="47" spans="1:47" ht="45" customHeight="1">
      <c r="A47" s="448">
        <f t="shared" si="7"/>
        <v>43</v>
      </c>
      <c r="B47" s="448">
        <v>2140</v>
      </c>
      <c r="C47" s="448" t="s">
        <v>430</v>
      </c>
      <c r="D47" s="449">
        <v>360000</v>
      </c>
      <c r="E47" s="449">
        <v>360000</v>
      </c>
      <c r="F47" s="449">
        <f t="shared" si="0"/>
        <v>0</v>
      </c>
      <c r="G47" s="449">
        <v>360000</v>
      </c>
      <c r="H47" s="449">
        <v>283122</v>
      </c>
      <c r="I47" s="449">
        <v>0</v>
      </c>
      <c r="J47" s="449">
        <v>0</v>
      </c>
      <c r="K47" s="449">
        <f t="shared" si="1"/>
        <v>0</v>
      </c>
      <c r="L47" s="449">
        <f t="shared" si="2"/>
        <v>283122</v>
      </c>
      <c r="M47" s="449">
        <f>P47+S47-76878</f>
        <v>0</v>
      </c>
      <c r="N47" s="449"/>
      <c r="O47" s="449">
        <f t="shared" si="3"/>
        <v>76878</v>
      </c>
      <c r="P47" s="449">
        <f t="shared" si="4"/>
        <v>76878</v>
      </c>
      <c r="Q47" s="482"/>
      <c r="R47" s="449"/>
      <c r="S47" s="449">
        <f t="shared" si="8"/>
        <v>0</v>
      </c>
      <c r="T47" s="449">
        <f t="shared" si="5"/>
        <v>76878</v>
      </c>
      <c r="U47" s="449">
        <f t="shared" si="6"/>
        <v>-76878</v>
      </c>
      <c r="V47" s="449"/>
      <c r="W47" s="449">
        <f t="shared" si="11"/>
        <v>0</v>
      </c>
      <c r="X47" s="449"/>
      <c r="Y47" s="449"/>
      <c r="Z47" s="449"/>
      <c r="AA47" s="449">
        <v>-76878</v>
      </c>
      <c r="AB47" s="448" t="s">
        <v>1444</v>
      </c>
      <c r="AC47" s="448">
        <v>810000</v>
      </c>
    </row>
    <row r="48" spans="1:47" ht="45" customHeight="1">
      <c r="A48" s="448">
        <f t="shared" si="7"/>
        <v>44</v>
      </c>
      <c r="B48" s="448">
        <v>2154</v>
      </c>
      <c r="C48" s="448" t="s">
        <v>431</v>
      </c>
      <c r="D48" s="449">
        <v>10500000</v>
      </c>
      <c r="E48" s="449">
        <v>10500000</v>
      </c>
      <c r="F48" s="449">
        <f t="shared" si="0"/>
        <v>0</v>
      </c>
      <c r="G48" s="449">
        <v>750000</v>
      </c>
      <c r="H48" s="449">
        <v>636412</v>
      </c>
      <c r="I48" s="449">
        <v>0</v>
      </c>
      <c r="J48" s="449">
        <v>33221</v>
      </c>
      <c r="K48" s="449">
        <f t="shared" si="1"/>
        <v>33221</v>
      </c>
      <c r="L48" s="449">
        <f t="shared" si="2"/>
        <v>669633</v>
      </c>
      <c r="M48" s="449">
        <f>P48+S48-80000</f>
        <v>367</v>
      </c>
      <c r="N48" s="449"/>
      <c r="O48" s="449">
        <f t="shared" si="3"/>
        <v>9830000</v>
      </c>
      <c r="P48" s="449">
        <f t="shared" si="4"/>
        <v>80367</v>
      </c>
      <c r="Q48" s="482"/>
      <c r="R48" s="449"/>
      <c r="S48" s="449">
        <f t="shared" si="8"/>
        <v>0</v>
      </c>
      <c r="T48" s="449">
        <f t="shared" si="5"/>
        <v>80000</v>
      </c>
      <c r="U48" s="449">
        <f t="shared" si="6"/>
        <v>-80000</v>
      </c>
      <c r="V48" s="449"/>
      <c r="W48" s="449">
        <f t="shared" si="11"/>
        <v>-80000</v>
      </c>
      <c r="X48" s="449"/>
      <c r="Y48" s="449"/>
      <c r="Z48" s="449"/>
      <c r="AA48" s="448"/>
      <c r="AB48" s="448" t="s">
        <v>1518</v>
      </c>
      <c r="AC48" s="448">
        <v>870000</v>
      </c>
    </row>
    <row r="49" spans="1:49" s="315" customFormat="1" ht="45" customHeight="1">
      <c r="A49" s="448">
        <f t="shared" si="7"/>
        <v>45</v>
      </c>
      <c r="B49" s="448">
        <v>2156</v>
      </c>
      <c r="C49" s="448" t="s">
        <v>979</v>
      </c>
      <c r="D49" s="449">
        <v>2700000</v>
      </c>
      <c r="E49" s="449">
        <v>2700000</v>
      </c>
      <c r="F49" s="449">
        <f t="shared" si="0"/>
        <v>0</v>
      </c>
      <c r="G49" s="449">
        <v>800000</v>
      </c>
      <c r="H49" s="449">
        <v>656759</v>
      </c>
      <c r="I49" s="449">
        <v>0</v>
      </c>
      <c r="J49" s="449">
        <v>89163</v>
      </c>
      <c r="K49" s="449">
        <f t="shared" si="1"/>
        <v>89163</v>
      </c>
      <c r="L49" s="449">
        <f t="shared" si="2"/>
        <v>745922</v>
      </c>
      <c r="M49" s="449">
        <f>P49+S49-54000</f>
        <v>78</v>
      </c>
      <c r="N49" s="449">
        <f>750000-50000-400000+54000</f>
        <v>354000</v>
      </c>
      <c r="O49" s="449">
        <f t="shared" si="3"/>
        <v>1600000</v>
      </c>
      <c r="P49" s="449">
        <f t="shared" si="4"/>
        <v>54078</v>
      </c>
      <c r="Q49" s="449"/>
      <c r="R49" s="449"/>
      <c r="S49" s="449">
        <f t="shared" si="8"/>
        <v>0</v>
      </c>
      <c r="T49" s="449">
        <f t="shared" si="5"/>
        <v>54000</v>
      </c>
      <c r="U49" s="449">
        <f t="shared" si="6"/>
        <v>300000</v>
      </c>
      <c r="V49" s="449"/>
      <c r="W49" s="449">
        <f t="shared" si="11"/>
        <v>300000</v>
      </c>
      <c r="X49" s="449"/>
      <c r="Y49" s="449"/>
      <c r="Z49" s="449"/>
      <c r="AA49" s="448"/>
      <c r="AB49" s="448" t="s">
        <v>1373</v>
      </c>
      <c r="AC49" s="448">
        <v>720000</v>
      </c>
      <c r="AD49" s="756"/>
      <c r="AE49" s="756"/>
      <c r="AF49" s="756"/>
      <c r="AG49" s="756"/>
      <c r="AH49" s="756"/>
      <c r="AI49" s="756"/>
      <c r="AJ49" s="756"/>
      <c r="AK49" s="756"/>
      <c r="AL49" s="756"/>
      <c r="AM49" s="756"/>
      <c r="AN49" s="756"/>
      <c r="AO49" s="756"/>
      <c r="AP49" s="756"/>
      <c r="AQ49"/>
    </row>
    <row r="50" spans="1:49" ht="45" customHeight="1">
      <c r="A50" s="448">
        <f t="shared" si="7"/>
        <v>46</v>
      </c>
      <c r="B50" s="448">
        <v>2157</v>
      </c>
      <c r="C50" s="448" t="s">
        <v>432</v>
      </c>
      <c r="D50" s="449">
        <v>5200000</v>
      </c>
      <c r="E50" s="449">
        <v>5200000</v>
      </c>
      <c r="F50" s="449">
        <f t="shared" si="0"/>
        <v>0</v>
      </c>
      <c r="G50" s="449">
        <v>470000</v>
      </c>
      <c r="H50" s="449">
        <v>98625</v>
      </c>
      <c r="I50" s="449">
        <v>0</v>
      </c>
      <c r="J50" s="449">
        <v>210104</v>
      </c>
      <c r="K50" s="449">
        <f t="shared" si="1"/>
        <v>210104</v>
      </c>
      <c r="L50" s="449">
        <f t="shared" si="2"/>
        <v>308729</v>
      </c>
      <c r="M50" s="449">
        <f>P50+S50-200000+40000</f>
        <v>1271</v>
      </c>
      <c r="N50" s="449"/>
      <c r="O50" s="449">
        <f t="shared" si="3"/>
        <v>4890000</v>
      </c>
      <c r="P50" s="449">
        <f t="shared" si="4"/>
        <v>161271</v>
      </c>
      <c r="Q50" s="482"/>
      <c r="R50" s="449"/>
      <c r="S50" s="449">
        <f t="shared" si="8"/>
        <v>0</v>
      </c>
      <c r="T50" s="449">
        <f t="shared" si="5"/>
        <v>160000</v>
      </c>
      <c r="U50" s="449">
        <f t="shared" si="6"/>
        <v>-160000</v>
      </c>
      <c r="V50" s="449"/>
      <c r="W50" s="449">
        <f t="shared" si="11"/>
        <v>-160000</v>
      </c>
      <c r="X50" s="449"/>
      <c r="Y50" s="449"/>
      <c r="Z50" s="449"/>
      <c r="AA50" s="448"/>
      <c r="AB50" s="448" t="s">
        <v>1519</v>
      </c>
      <c r="AC50" s="448">
        <v>810000</v>
      </c>
    </row>
    <row r="51" spans="1:49" s="5" customFormat="1" ht="45" customHeight="1">
      <c r="A51" s="3">
        <f t="shared" si="7"/>
        <v>47</v>
      </c>
      <c r="B51" s="448">
        <v>2160</v>
      </c>
      <c r="C51" s="3" t="s">
        <v>391</v>
      </c>
      <c r="D51" s="4">
        <v>210000</v>
      </c>
      <c r="E51" s="4">
        <v>210000</v>
      </c>
      <c r="F51" s="4">
        <f t="shared" si="0"/>
        <v>0</v>
      </c>
      <c r="G51" s="4">
        <v>210000</v>
      </c>
      <c r="H51" s="4">
        <v>0</v>
      </c>
      <c r="I51" s="4"/>
      <c r="J51" s="4"/>
      <c r="K51" s="4">
        <f t="shared" si="1"/>
        <v>0</v>
      </c>
      <c r="L51" s="4">
        <f t="shared" si="2"/>
        <v>0</v>
      </c>
      <c r="M51" s="4">
        <f>P51+S51-210000</f>
        <v>0</v>
      </c>
      <c r="N51" s="4"/>
      <c r="O51" s="4">
        <f>D51-M51-N51-L51</f>
        <v>210000</v>
      </c>
      <c r="P51" s="4">
        <f t="shared" si="4"/>
        <v>210000</v>
      </c>
      <c r="Q51" s="355"/>
      <c r="R51" s="4"/>
      <c r="S51" s="4">
        <f>SUM(Q51:R51)</f>
        <v>0</v>
      </c>
      <c r="T51" s="4">
        <f t="shared" si="5"/>
        <v>210000</v>
      </c>
      <c r="U51" s="4">
        <f t="shared" si="6"/>
        <v>-210000</v>
      </c>
      <c r="V51" s="4"/>
      <c r="W51" s="449">
        <f t="shared" si="11"/>
        <v>-210000</v>
      </c>
      <c r="X51" s="4"/>
      <c r="Y51" s="4"/>
      <c r="Z51" s="4"/>
      <c r="AA51" s="274"/>
      <c r="AB51" s="3" t="s">
        <v>1445</v>
      </c>
      <c r="AC51" s="3">
        <v>810000</v>
      </c>
      <c r="AD51" s="756"/>
      <c r="AE51" s="756"/>
      <c r="AF51" s="756"/>
      <c r="AG51" s="756"/>
      <c r="AH51" s="756"/>
      <c r="AI51" s="756"/>
      <c r="AJ51" s="756"/>
      <c r="AK51" s="756"/>
      <c r="AL51" s="756"/>
      <c r="AM51" s="756"/>
      <c r="AN51" s="756"/>
      <c r="AO51" s="756"/>
      <c r="AP51" s="756"/>
      <c r="AQ51" s="16"/>
      <c r="AR51" s="16"/>
      <c r="AS51" s="16"/>
      <c r="AT51" s="16"/>
      <c r="AU51" s="16"/>
    </row>
    <row r="52" spans="1:49" ht="45" customHeight="1">
      <c r="A52" s="3">
        <f t="shared" si="7"/>
        <v>48</v>
      </c>
      <c r="B52" s="448">
        <v>2165</v>
      </c>
      <c r="C52" s="448" t="s">
        <v>604</v>
      </c>
      <c r="D52" s="449">
        <v>1600000</v>
      </c>
      <c r="E52" s="449">
        <v>1600000</v>
      </c>
      <c r="F52" s="449">
        <f t="shared" si="0"/>
        <v>0</v>
      </c>
      <c r="G52" s="449">
        <v>0</v>
      </c>
      <c r="H52" s="449">
        <v>0</v>
      </c>
      <c r="I52" s="449">
        <v>0</v>
      </c>
      <c r="J52" s="449">
        <v>0</v>
      </c>
      <c r="K52" s="449">
        <f t="shared" si="1"/>
        <v>0</v>
      </c>
      <c r="L52" s="449">
        <f t="shared" si="2"/>
        <v>0</v>
      </c>
      <c r="M52" s="449">
        <f t="shared" si="10"/>
        <v>0</v>
      </c>
      <c r="N52" s="449"/>
      <c r="O52" s="449">
        <f t="shared" si="3"/>
        <v>1600000</v>
      </c>
      <c r="P52" s="449">
        <f t="shared" si="4"/>
        <v>0</v>
      </c>
      <c r="Q52" s="482"/>
      <c r="R52" s="449"/>
      <c r="S52" s="449">
        <f t="shared" si="8"/>
        <v>0</v>
      </c>
      <c r="T52" s="449">
        <f t="shared" si="5"/>
        <v>0</v>
      </c>
      <c r="U52" s="449">
        <f t="shared" si="6"/>
        <v>0</v>
      </c>
      <c r="V52" s="449"/>
      <c r="W52" s="449">
        <f t="shared" si="11"/>
        <v>0</v>
      </c>
      <c r="X52" s="449"/>
      <c r="Y52" s="449"/>
      <c r="Z52" s="449"/>
      <c r="AA52" s="448"/>
      <c r="AB52" s="448" t="s">
        <v>738</v>
      </c>
      <c r="AC52" s="448">
        <v>746000</v>
      </c>
    </row>
    <row r="53" spans="1:49" ht="45" customHeight="1">
      <c r="A53" s="448">
        <f t="shared" si="7"/>
        <v>49</v>
      </c>
      <c r="B53" s="448">
        <v>2166</v>
      </c>
      <c r="C53" s="448" t="s">
        <v>399</v>
      </c>
      <c r="D53" s="449">
        <f>500000+2205000+3495000</f>
        <v>6200000</v>
      </c>
      <c r="E53" s="449">
        <v>500000</v>
      </c>
      <c r="F53" s="449">
        <f t="shared" si="0"/>
        <v>5700000</v>
      </c>
      <c r="G53" s="449">
        <v>0</v>
      </c>
      <c r="H53" s="449">
        <v>0</v>
      </c>
      <c r="I53" s="449">
        <v>0</v>
      </c>
      <c r="J53" s="449">
        <v>0</v>
      </c>
      <c r="K53" s="449">
        <f t="shared" si="1"/>
        <v>0</v>
      </c>
      <c r="L53" s="449">
        <f t="shared" si="2"/>
        <v>0</v>
      </c>
      <c r="M53" s="449">
        <f t="shared" si="10"/>
        <v>0</v>
      </c>
      <c r="N53" s="449">
        <f>2705000+3495000-4200000-2000000</f>
        <v>0</v>
      </c>
      <c r="O53" s="449">
        <f t="shared" si="3"/>
        <v>6200000</v>
      </c>
      <c r="P53" s="449">
        <f t="shared" si="4"/>
        <v>0</v>
      </c>
      <c r="Q53" s="482"/>
      <c r="R53" s="449"/>
      <c r="S53" s="449">
        <f t="shared" si="8"/>
        <v>0</v>
      </c>
      <c r="T53" s="449">
        <f t="shared" si="5"/>
        <v>0</v>
      </c>
      <c r="U53" s="449">
        <f t="shared" si="6"/>
        <v>0</v>
      </c>
      <c r="V53" s="449"/>
      <c r="W53" s="449">
        <f t="shared" si="11"/>
        <v>0</v>
      </c>
      <c r="X53" s="449"/>
      <c r="Y53" s="449"/>
      <c r="Z53" s="449"/>
      <c r="AA53" s="448"/>
      <c r="AB53" s="448" t="s">
        <v>980</v>
      </c>
      <c r="AC53" s="448">
        <v>746000</v>
      </c>
    </row>
    <row r="54" spans="1:49" ht="45" customHeight="1">
      <c r="A54" s="448">
        <f t="shared" si="7"/>
        <v>50</v>
      </c>
      <c r="B54" s="448">
        <v>2167</v>
      </c>
      <c r="C54" s="448" t="s">
        <v>400</v>
      </c>
      <c r="D54" s="449">
        <v>1400000</v>
      </c>
      <c r="E54" s="449">
        <v>1400000</v>
      </c>
      <c r="F54" s="449">
        <f t="shared" si="0"/>
        <v>0</v>
      </c>
      <c r="G54" s="449">
        <v>100000</v>
      </c>
      <c r="H54" s="449">
        <v>94686</v>
      </c>
      <c r="I54" s="449">
        <v>0</v>
      </c>
      <c r="J54" s="449"/>
      <c r="K54" s="449">
        <f t="shared" si="1"/>
        <v>0</v>
      </c>
      <c r="L54" s="449">
        <f t="shared" si="2"/>
        <v>94686</v>
      </c>
      <c r="M54" s="449">
        <f>P54+S54-5000</f>
        <v>314</v>
      </c>
      <c r="N54" s="449">
        <f>100000-50000+5000</f>
        <v>55000</v>
      </c>
      <c r="O54" s="449">
        <f t="shared" si="3"/>
        <v>1250000</v>
      </c>
      <c r="P54" s="449">
        <f t="shared" si="4"/>
        <v>5314</v>
      </c>
      <c r="Q54" s="482"/>
      <c r="R54" s="449"/>
      <c r="S54" s="449">
        <f t="shared" si="8"/>
        <v>0</v>
      </c>
      <c r="T54" s="449">
        <f t="shared" si="5"/>
        <v>5000</v>
      </c>
      <c r="U54" s="449">
        <f t="shared" si="6"/>
        <v>50000</v>
      </c>
      <c r="V54" s="449"/>
      <c r="W54" s="449">
        <f t="shared" si="11"/>
        <v>50000</v>
      </c>
      <c r="X54" s="449"/>
      <c r="Y54" s="449"/>
      <c r="Z54" s="449"/>
      <c r="AA54" s="448"/>
      <c r="AB54" s="448" t="s">
        <v>845</v>
      </c>
      <c r="AC54" s="448">
        <v>742000</v>
      </c>
    </row>
    <row r="55" spans="1:49" ht="45" customHeight="1">
      <c r="A55" s="448">
        <f t="shared" si="7"/>
        <v>51</v>
      </c>
      <c r="B55" s="448">
        <v>2177</v>
      </c>
      <c r="C55" s="448" t="s">
        <v>577</v>
      </c>
      <c r="D55" s="449">
        <v>12500000</v>
      </c>
      <c r="E55" s="449">
        <v>12500000</v>
      </c>
      <c r="F55" s="449">
        <f t="shared" si="0"/>
        <v>0</v>
      </c>
      <c r="G55" s="449">
        <v>12500000</v>
      </c>
      <c r="H55" s="449">
        <v>12273451</v>
      </c>
      <c r="I55" s="449">
        <v>0</v>
      </c>
      <c r="J55" s="449"/>
      <c r="K55" s="449">
        <f t="shared" si="1"/>
        <v>0</v>
      </c>
      <c r="L55" s="449">
        <f t="shared" si="2"/>
        <v>12273451</v>
      </c>
      <c r="M55" s="449">
        <f>P55+S55-226549</f>
        <v>0</v>
      </c>
      <c r="N55" s="449">
        <v>226549</v>
      </c>
      <c r="O55" s="449">
        <f t="shared" si="3"/>
        <v>0</v>
      </c>
      <c r="P55" s="449">
        <f t="shared" si="4"/>
        <v>226549</v>
      </c>
      <c r="Q55" s="482"/>
      <c r="R55" s="449"/>
      <c r="S55" s="449">
        <f t="shared" si="8"/>
        <v>0</v>
      </c>
      <c r="T55" s="449">
        <f t="shared" si="5"/>
        <v>226549</v>
      </c>
      <c r="U55" s="449">
        <f t="shared" si="6"/>
        <v>0</v>
      </c>
      <c r="V55" s="449"/>
      <c r="W55" s="449">
        <f t="shared" si="11"/>
        <v>0</v>
      </c>
      <c r="X55" s="449"/>
      <c r="Y55" s="449"/>
      <c r="Z55" s="449"/>
      <c r="AA55" s="448"/>
      <c r="AB55" s="448" t="s">
        <v>1465</v>
      </c>
      <c r="AC55" s="448">
        <v>810000</v>
      </c>
    </row>
    <row r="56" spans="1:49" ht="45" customHeight="1">
      <c r="A56" s="448">
        <f t="shared" si="7"/>
        <v>52</v>
      </c>
      <c r="B56" s="448">
        <v>2178</v>
      </c>
      <c r="C56" s="448" t="s">
        <v>433</v>
      </c>
      <c r="D56" s="449">
        <v>15700000</v>
      </c>
      <c r="E56" s="449">
        <v>15700000</v>
      </c>
      <c r="F56" s="449">
        <f t="shared" si="0"/>
        <v>0</v>
      </c>
      <c r="G56" s="449">
        <v>1700000</v>
      </c>
      <c r="H56" s="449">
        <v>1659121</v>
      </c>
      <c r="I56" s="449">
        <v>0</v>
      </c>
      <c r="J56" s="449">
        <v>0</v>
      </c>
      <c r="K56" s="449">
        <f t="shared" si="1"/>
        <v>0</v>
      </c>
      <c r="L56" s="449">
        <f t="shared" si="2"/>
        <v>1659121</v>
      </c>
      <c r="M56" s="449">
        <f>P56+S56-40000</f>
        <v>879</v>
      </c>
      <c r="N56" s="449">
        <v>40000</v>
      </c>
      <c r="O56" s="449">
        <f t="shared" si="3"/>
        <v>14000000</v>
      </c>
      <c r="P56" s="449">
        <f t="shared" si="4"/>
        <v>40879</v>
      </c>
      <c r="Q56" s="482"/>
      <c r="R56" s="449"/>
      <c r="S56" s="449">
        <f t="shared" si="8"/>
        <v>0</v>
      </c>
      <c r="T56" s="449">
        <f t="shared" si="5"/>
        <v>40000</v>
      </c>
      <c r="U56" s="449">
        <f t="shared" si="6"/>
        <v>0</v>
      </c>
      <c r="V56" s="449"/>
      <c r="W56" s="449">
        <f t="shared" si="11"/>
        <v>0</v>
      </c>
      <c r="X56" s="449"/>
      <c r="Y56" s="449"/>
      <c r="Z56" s="449"/>
      <c r="AA56" s="448"/>
      <c r="AB56" s="448" t="s">
        <v>981</v>
      </c>
      <c r="AC56" s="448">
        <v>810000</v>
      </c>
    </row>
    <row r="57" spans="1:49" ht="45" customHeight="1">
      <c r="A57" s="448">
        <f>A56+1</f>
        <v>53</v>
      </c>
      <c r="B57" s="448">
        <v>2181</v>
      </c>
      <c r="C57" s="448" t="s">
        <v>434</v>
      </c>
      <c r="D57" s="449">
        <v>1259000</v>
      </c>
      <c r="E57" s="449">
        <v>1259000</v>
      </c>
      <c r="F57" s="449">
        <f t="shared" si="0"/>
        <v>0</v>
      </c>
      <c r="G57" s="449">
        <v>1259000</v>
      </c>
      <c r="H57" s="449">
        <v>1259000</v>
      </c>
      <c r="I57" s="449">
        <v>0</v>
      </c>
      <c r="J57" s="449">
        <v>0</v>
      </c>
      <c r="K57" s="449">
        <f t="shared" si="1"/>
        <v>0</v>
      </c>
      <c r="L57" s="449">
        <f t="shared" si="2"/>
        <v>1259000</v>
      </c>
      <c r="M57" s="449">
        <f t="shared" si="10"/>
        <v>0</v>
      </c>
      <c r="N57" s="449"/>
      <c r="O57" s="449">
        <f t="shared" si="3"/>
        <v>0</v>
      </c>
      <c r="P57" s="449">
        <f t="shared" si="4"/>
        <v>0</v>
      </c>
      <c r="Q57" s="482"/>
      <c r="R57" s="449"/>
      <c r="S57" s="449">
        <f t="shared" si="8"/>
        <v>0</v>
      </c>
      <c r="T57" s="449">
        <f t="shared" si="5"/>
        <v>0</v>
      </c>
      <c r="U57" s="449">
        <f t="shared" si="6"/>
        <v>0</v>
      </c>
      <c r="V57" s="449"/>
      <c r="W57" s="449">
        <f t="shared" si="11"/>
        <v>0</v>
      </c>
      <c r="X57" s="449"/>
      <c r="Y57" s="449"/>
      <c r="Z57" s="449"/>
      <c r="AA57" s="448"/>
      <c r="AB57" s="448" t="s">
        <v>1446</v>
      </c>
      <c r="AC57" s="448">
        <v>747000</v>
      </c>
    </row>
    <row r="58" spans="1:49" ht="45" customHeight="1">
      <c r="A58" s="448">
        <f t="shared" si="7"/>
        <v>54</v>
      </c>
      <c r="B58" s="448">
        <v>2184</v>
      </c>
      <c r="C58" s="448" t="s">
        <v>934</v>
      </c>
      <c r="D58" s="419">
        <f>2180000+315000</f>
        <v>2495000</v>
      </c>
      <c r="E58" s="419">
        <v>2180000</v>
      </c>
      <c r="F58" s="449">
        <f t="shared" si="0"/>
        <v>315000</v>
      </c>
      <c r="G58" s="419">
        <v>560000</v>
      </c>
      <c r="H58" s="419">
        <v>43432</v>
      </c>
      <c r="I58" s="419">
        <v>0</v>
      </c>
      <c r="J58" s="419">
        <v>499979</v>
      </c>
      <c r="K58" s="449">
        <f t="shared" si="1"/>
        <v>499979</v>
      </c>
      <c r="L58" s="449">
        <f t="shared" si="2"/>
        <v>543411</v>
      </c>
      <c r="M58" s="449">
        <f t="shared" si="10"/>
        <v>16589</v>
      </c>
      <c r="N58" s="449">
        <f>1935000-435000</f>
        <v>1500000</v>
      </c>
      <c r="O58" s="449">
        <f t="shared" si="3"/>
        <v>435000</v>
      </c>
      <c r="P58" s="449">
        <f t="shared" si="4"/>
        <v>16589</v>
      </c>
      <c r="Q58" s="482"/>
      <c r="R58" s="449"/>
      <c r="S58" s="449">
        <f t="shared" si="8"/>
        <v>0</v>
      </c>
      <c r="T58" s="449">
        <f t="shared" si="5"/>
        <v>0</v>
      </c>
      <c r="U58" s="449">
        <f t="shared" si="6"/>
        <v>1500000</v>
      </c>
      <c r="V58" s="449">
        <v>1500000</v>
      </c>
      <c r="W58" s="449">
        <f t="shared" si="11"/>
        <v>0</v>
      </c>
      <c r="X58" s="419"/>
      <c r="Y58" s="419"/>
      <c r="Z58" s="419"/>
      <c r="AA58" s="469"/>
      <c r="AB58" s="448" t="s">
        <v>516</v>
      </c>
      <c r="AC58" s="448">
        <v>930000</v>
      </c>
      <c r="AR58" s="487"/>
      <c r="AS58" s="487"/>
      <c r="AT58" s="487"/>
      <c r="AU58" s="487"/>
      <c r="AV58" s="487"/>
      <c r="AW58" s="487"/>
    </row>
    <row r="59" spans="1:49" ht="45" customHeight="1">
      <c r="A59" s="448">
        <f t="shared" si="7"/>
        <v>55</v>
      </c>
      <c r="B59" s="448">
        <v>2187</v>
      </c>
      <c r="C59" s="448" t="s">
        <v>446</v>
      </c>
      <c r="D59" s="449">
        <f>10600000-450000-250000</f>
        <v>9900000</v>
      </c>
      <c r="E59" s="449">
        <v>10600000</v>
      </c>
      <c r="F59" s="449">
        <f t="shared" si="0"/>
        <v>-700000</v>
      </c>
      <c r="G59" s="449">
        <v>10600000</v>
      </c>
      <c r="H59" s="449">
        <v>9895014</v>
      </c>
      <c r="I59" s="449"/>
      <c r="J59" s="449"/>
      <c r="K59" s="449">
        <f t="shared" si="1"/>
        <v>0</v>
      </c>
      <c r="L59" s="449">
        <f t="shared" si="2"/>
        <v>9895014</v>
      </c>
      <c r="M59" s="449">
        <f>P59+S59-200000-50000</f>
        <v>4986</v>
      </c>
      <c r="N59" s="449"/>
      <c r="O59" s="449">
        <f t="shared" si="3"/>
        <v>0</v>
      </c>
      <c r="P59" s="449">
        <f t="shared" si="4"/>
        <v>704986</v>
      </c>
      <c r="Q59" s="482"/>
      <c r="R59" s="449">
        <v>-450000</v>
      </c>
      <c r="S59" s="449">
        <f t="shared" si="8"/>
        <v>-450000</v>
      </c>
      <c r="T59" s="449">
        <f t="shared" si="5"/>
        <v>250000</v>
      </c>
      <c r="U59" s="449">
        <f t="shared" si="6"/>
        <v>-250000</v>
      </c>
      <c r="V59" s="449"/>
      <c r="W59" s="449">
        <f t="shared" si="11"/>
        <v>-250000</v>
      </c>
      <c r="X59" s="449"/>
      <c r="Y59" s="449"/>
      <c r="Z59" s="449"/>
      <c r="AA59" s="448"/>
      <c r="AB59" s="448" t="s">
        <v>1447</v>
      </c>
      <c r="AC59" s="448">
        <v>810000</v>
      </c>
    </row>
    <row r="60" spans="1:49" ht="45" customHeight="1">
      <c r="A60" s="448">
        <f t="shared" si="7"/>
        <v>56</v>
      </c>
      <c r="B60" s="448">
        <v>2211</v>
      </c>
      <c r="C60" s="448" t="s">
        <v>722</v>
      </c>
      <c r="D60" s="449">
        <f>800000-22991</f>
        <v>777009</v>
      </c>
      <c r="E60" s="449">
        <v>800000</v>
      </c>
      <c r="F60" s="449">
        <f t="shared" si="0"/>
        <v>-22991</v>
      </c>
      <c r="G60" s="449">
        <v>800000</v>
      </c>
      <c r="H60" s="449">
        <v>777009</v>
      </c>
      <c r="I60" s="449"/>
      <c r="J60" s="449">
        <v>0</v>
      </c>
      <c r="K60" s="449">
        <f t="shared" si="1"/>
        <v>0</v>
      </c>
      <c r="L60" s="449">
        <f t="shared" si="2"/>
        <v>777009</v>
      </c>
      <c r="M60" s="449">
        <f>P60+S60-22991</f>
        <v>0</v>
      </c>
      <c r="N60" s="449"/>
      <c r="O60" s="449">
        <f t="shared" si="3"/>
        <v>0</v>
      </c>
      <c r="P60" s="449">
        <f t="shared" si="4"/>
        <v>22991</v>
      </c>
      <c r="Q60" s="482"/>
      <c r="R60" s="449"/>
      <c r="S60" s="449">
        <f t="shared" si="8"/>
        <v>0</v>
      </c>
      <c r="T60" s="449">
        <f t="shared" si="5"/>
        <v>22991</v>
      </c>
      <c r="U60" s="449">
        <f t="shared" si="6"/>
        <v>-22991</v>
      </c>
      <c r="V60" s="449"/>
      <c r="W60" s="449">
        <f t="shared" si="11"/>
        <v>-22991</v>
      </c>
      <c r="X60" s="449"/>
      <c r="Y60" s="449"/>
      <c r="Z60" s="449"/>
      <c r="AA60" s="448"/>
      <c r="AB60" s="448" t="s">
        <v>1448</v>
      </c>
      <c r="AC60" s="448">
        <v>810000</v>
      </c>
    </row>
    <row r="61" spans="1:49" ht="45" customHeight="1">
      <c r="A61" s="448">
        <f t="shared" si="7"/>
        <v>57</v>
      </c>
      <c r="B61" s="448">
        <v>2215</v>
      </c>
      <c r="C61" s="448" t="s">
        <v>450</v>
      </c>
      <c r="D61" s="449">
        <v>420000</v>
      </c>
      <c r="E61" s="449">
        <v>420000</v>
      </c>
      <c r="F61" s="449">
        <f t="shared" si="0"/>
        <v>0</v>
      </c>
      <c r="G61" s="449">
        <v>420000</v>
      </c>
      <c r="H61" s="449">
        <v>396410</v>
      </c>
      <c r="I61" s="449">
        <v>0</v>
      </c>
      <c r="J61" s="449">
        <v>0</v>
      </c>
      <c r="K61" s="449">
        <f t="shared" si="1"/>
        <v>0</v>
      </c>
      <c r="L61" s="449">
        <f t="shared" si="2"/>
        <v>396410</v>
      </c>
      <c r="M61" s="449">
        <f>P61+S61-23590</f>
        <v>0</v>
      </c>
      <c r="N61" s="449"/>
      <c r="O61" s="449">
        <f t="shared" si="3"/>
        <v>23590</v>
      </c>
      <c r="P61" s="449">
        <f t="shared" si="4"/>
        <v>23590</v>
      </c>
      <c r="Q61" s="482"/>
      <c r="R61" s="449"/>
      <c r="S61" s="449">
        <f t="shared" si="8"/>
        <v>0</v>
      </c>
      <c r="T61" s="449">
        <f t="shared" si="5"/>
        <v>23590</v>
      </c>
      <c r="U61" s="449">
        <f t="shared" si="6"/>
        <v>-23590</v>
      </c>
      <c r="V61" s="449"/>
      <c r="W61" s="449">
        <f t="shared" si="11"/>
        <v>0</v>
      </c>
      <c r="X61" s="449"/>
      <c r="Y61" s="449"/>
      <c r="Z61" s="449"/>
      <c r="AA61" s="449">
        <v>-23590</v>
      </c>
      <c r="AB61" s="448" t="s">
        <v>1421</v>
      </c>
      <c r="AC61" s="448">
        <v>810000</v>
      </c>
    </row>
    <row r="62" spans="1:49" ht="45" customHeight="1">
      <c r="A62" s="448">
        <f t="shared" si="7"/>
        <v>58</v>
      </c>
      <c r="B62" s="448">
        <v>2216</v>
      </c>
      <c r="C62" s="448" t="s">
        <v>453</v>
      </c>
      <c r="D62" s="449">
        <v>7500000</v>
      </c>
      <c r="E62" s="449">
        <v>7500000</v>
      </c>
      <c r="F62" s="449">
        <f t="shared" si="0"/>
        <v>0</v>
      </c>
      <c r="G62" s="449">
        <v>7500000</v>
      </c>
      <c r="H62" s="449">
        <v>3371250</v>
      </c>
      <c r="I62" s="449">
        <f>1319550</f>
        <v>1319550</v>
      </c>
      <c r="J62" s="449">
        <f>2537270+108977</f>
        <v>2646247</v>
      </c>
      <c r="K62" s="449">
        <f t="shared" si="1"/>
        <v>3965797</v>
      </c>
      <c r="L62" s="449">
        <f t="shared" si="2"/>
        <v>7337047</v>
      </c>
      <c r="M62" s="449">
        <f>P62+S62-160000</f>
        <v>2953</v>
      </c>
      <c r="N62" s="449">
        <f>270000-110000</f>
        <v>160000</v>
      </c>
      <c r="O62" s="449">
        <f t="shared" si="3"/>
        <v>0</v>
      </c>
      <c r="P62" s="449">
        <f t="shared" si="4"/>
        <v>162953</v>
      </c>
      <c r="Q62" s="482"/>
      <c r="R62" s="449"/>
      <c r="S62" s="449">
        <f t="shared" si="8"/>
        <v>0</v>
      </c>
      <c r="T62" s="449">
        <f t="shared" si="5"/>
        <v>160000</v>
      </c>
      <c r="U62" s="449">
        <f t="shared" si="6"/>
        <v>0</v>
      </c>
      <c r="V62" s="449"/>
      <c r="W62" s="449">
        <f t="shared" si="11"/>
        <v>0</v>
      </c>
      <c r="X62" s="449"/>
      <c r="Y62" s="449"/>
      <c r="Z62" s="449"/>
      <c r="AA62" s="448"/>
      <c r="AB62" s="448" t="s">
        <v>454</v>
      </c>
      <c r="AC62" s="448">
        <v>810000</v>
      </c>
    </row>
    <row r="63" spans="1:49" ht="45" customHeight="1">
      <c r="A63" s="448">
        <f t="shared" si="7"/>
        <v>59</v>
      </c>
      <c r="B63" s="448">
        <v>2221</v>
      </c>
      <c r="C63" s="448" t="s">
        <v>460</v>
      </c>
      <c r="D63" s="449">
        <v>91304</v>
      </c>
      <c r="E63" s="449">
        <v>91304</v>
      </c>
      <c r="F63" s="449">
        <f t="shared" si="0"/>
        <v>0</v>
      </c>
      <c r="G63" s="449">
        <v>91304</v>
      </c>
      <c r="H63" s="449">
        <v>91202</v>
      </c>
      <c r="I63" s="449">
        <v>0</v>
      </c>
      <c r="J63" s="449">
        <v>0</v>
      </c>
      <c r="K63" s="449">
        <f t="shared" si="1"/>
        <v>0</v>
      </c>
      <c r="L63" s="449">
        <f t="shared" si="2"/>
        <v>91202</v>
      </c>
      <c r="M63" s="449">
        <f t="shared" si="10"/>
        <v>102</v>
      </c>
      <c r="N63" s="449"/>
      <c r="O63" s="449">
        <f t="shared" si="3"/>
        <v>0</v>
      </c>
      <c r="P63" s="449">
        <f t="shared" si="4"/>
        <v>102</v>
      </c>
      <c r="Q63" s="482"/>
      <c r="R63" s="449"/>
      <c r="S63" s="449">
        <f t="shared" si="8"/>
        <v>0</v>
      </c>
      <c r="T63" s="449">
        <f t="shared" si="5"/>
        <v>0</v>
      </c>
      <c r="U63" s="449">
        <f t="shared" si="6"/>
        <v>0</v>
      </c>
      <c r="V63" s="449"/>
      <c r="W63" s="449">
        <f t="shared" si="11"/>
        <v>0</v>
      </c>
      <c r="X63" s="449"/>
      <c r="Y63" s="449"/>
      <c r="Z63" s="449"/>
      <c r="AA63" s="448"/>
      <c r="AB63" s="448" t="s">
        <v>1439</v>
      </c>
      <c r="AC63" s="448">
        <v>747000</v>
      </c>
    </row>
    <row r="64" spans="1:49" ht="45" customHeight="1">
      <c r="A64" s="448">
        <f t="shared" si="7"/>
        <v>60</v>
      </c>
      <c r="B64" s="448">
        <v>2225</v>
      </c>
      <c r="C64" s="448" t="s">
        <v>450</v>
      </c>
      <c r="D64" s="449">
        <v>150000</v>
      </c>
      <c r="E64" s="449">
        <v>150000</v>
      </c>
      <c r="F64" s="449">
        <f t="shared" si="0"/>
        <v>0</v>
      </c>
      <c r="G64" s="449">
        <v>150000</v>
      </c>
      <c r="H64" s="449">
        <v>73365</v>
      </c>
      <c r="I64" s="449">
        <v>0</v>
      </c>
      <c r="J64" s="449">
        <v>0</v>
      </c>
      <c r="K64" s="449">
        <f t="shared" si="1"/>
        <v>0</v>
      </c>
      <c r="L64" s="449">
        <f t="shared" si="2"/>
        <v>73365</v>
      </c>
      <c r="M64" s="449">
        <f>P64+S64-60000</f>
        <v>16635</v>
      </c>
      <c r="N64" s="449"/>
      <c r="O64" s="449">
        <f t="shared" si="3"/>
        <v>60000</v>
      </c>
      <c r="P64" s="449">
        <f t="shared" si="4"/>
        <v>76635</v>
      </c>
      <c r="Q64" s="482"/>
      <c r="R64" s="449"/>
      <c r="S64" s="449">
        <f t="shared" si="8"/>
        <v>0</v>
      </c>
      <c r="T64" s="449">
        <f t="shared" si="5"/>
        <v>60000</v>
      </c>
      <c r="U64" s="449">
        <f t="shared" si="6"/>
        <v>-60000</v>
      </c>
      <c r="V64" s="449"/>
      <c r="W64" s="449">
        <f t="shared" si="11"/>
        <v>0</v>
      </c>
      <c r="X64" s="449"/>
      <c r="Y64" s="449"/>
      <c r="Z64" s="449"/>
      <c r="AA64" s="449">
        <v>-60000</v>
      </c>
      <c r="AB64" s="448" t="s">
        <v>1420</v>
      </c>
      <c r="AC64" s="448">
        <v>810000</v>
      </c>
    </row>
    <row r="65" spans="1:43" ht="45" customHeight="1">
      <c r="A65" s="448">
        <f t="shared" si="7"/>
        <v>61</v>
      </c>
      <c r="B65" s="448">
        <v>2226</v>
      </c>
      <c r="C65" s="448" t="s">
        <v>570</v>
      </c>
      <c r="D65" s="449">
        <v>91304</v>
      </c>
      <c r="E65" s="449">
        <v>91304</v>
      </c>
      <c r="F65" s="449">
        <f t="shared" si="0"/>
        <v>0</v>
      </c>
      <c r="G65" s="449">
        <v>91304</v>
      </c>
      <c r="H65" s="449">
        <v>76577</v>
      </c>
      <c r="I65" s="449">
        <v>0</v>
      </c>
      <c r="J65" s="449">
        <v>0</v>
      </c>
      <c r="K65" s="449">
        <f t="shared" si="1"/>
        <v>0</v>
      </c>
      <c r="L65" s="449">
        <f t="shared" si="2"/>
        <v>76577</v>
      </c>
      <c r="M65" s="449">
        <f t="shared" si="10"/>
        <v>14727</v>
      </c>
      <c r="N65" s="449"/>
      <c r="O65" s="449">
        <f t="shared" si="3"/>
        <v>0</v>
      </c>
      <c r="P65" s="449">
        <f t="shared" si="4"/>
        <v>14727</v>
      </c>
      <c r="Q65" s="482"/>
      <c r="R65" s="449"/>
      <c r="S65" s="449">
        <f t="shared" si="8"/>
        <v>0</v>
      </c>
      <c r="T65" s="449">
        <f t="shared" si="5"/>
        <v>0</v>
      </c>
      <c r="U65" s="449">
        <f t="shared" si="6"/>
        <v>0</v>
      </c>
      <c r="V65" s="449"/>
      <c r="W65" s="449">
        <f t="shared" si="11"/>
        <v>0</v>
      </c>
      <c r="X65" s="449"/>
      <c r="Y65" s="449"/>
      <c r="Z65" s="449"/>
      <c r="AA65" s="448"/>
      <c r="AB65" s="448" t="s">
        <v>461</v>
      </c>
      <c r="AC65" s="448">
        <v>747000</v>
      </c>
    </row>
    <row r="66" spans="1:43" ht="45" customHeight="1">
      <c r="A66" s="448">
        <f t="shared" si="7"/>
        <v>62</v>
      </c>
      <c r="B66" s="448">
        <v>2234</v>
      </c>
      <c r="C66" s="448" t="s">
        <v>580</v>
      </c>
      <c r="D66" s="449">
        <v>270000</v>
      </c>
      <c r="E66" s="449">
        <v>270000</v>
      </c>
      <c r="F66" s="449">
        <f t="shared" si="0"/>
        <v>0</v>
      </c>
      <c r="G66" s="449">
        <v>270000</v>
      </c>
      <c r="H66" s="449">
        <v>197586</v>
      </c>
      <c r="I66" s="449">
        <v>0</v>
      </c>
      <c r="J66" s="449">
        <v>0</v>
      </c>
      <c r="K66" s="449">
        <f t="shared" si="1"/>
        <v>0</v>
      </c>
      <c r="L66" s="449">
        <f t="shared" si="2"/>
        <v>197586</v>
      </c>
      <c r="M66" s="449">
        <f>P66+S66-70000</f>
        <v>2414</v>
      </c>
      <c r="N66" s="449">
        <v>70000</v>
      </c>
      <c r="O66" s="449">
        <f t="shared" si="3"/>
        <v>0</v>
      </c>
      <c r="P66" s="449">
        <f t="shared" si="4"/>
        <v>72414</v>
      </c>
      <c r="Q66" s="482"/>
      <c r="R66" s="449"/>
      <c r="S66" s="449">
        <f t="shared" si="8"/>
        <v>0</v>
      </c>
      <c r="T66" s="449">
        <f t="shared" si="5"/>
        <v>70000</v>
      </c>
      <c r="U66" s="449">
        <f t="shared" si="6"/>
        <v>0</v>
      </c>
      <c r="V66" s="449"/>
      <c r="W66" s="449">
        <f t="shared" si="11"/>
        <v>0</v>
      </c>
      <c r="X66" s="449"/>
      <c r="Y66" s="449"/>
      <c r="Z66" s="449"/>
      <c r="AA66" s="448"/>
      <c r="AB66" s="448" t="s">
        <v>582</v>
      </c>
      <c r="AC66" s="448">
        <v>810000</v>
      </c>
    </row>
    <row r="67" spans="1:43" s="485" customFormat="1" ht="45" customHeight="1">
      <c r="A67" s="448">
        <f t="shared" si="7"/>
        <v>63</v>
      </c>
      <c r="B67" s="448">
        <v>2235</v>
      </c>
      <c r="C67" s="448" t="s">
        <v>581</v>
      </c>
      <c r="D67" s="449">
        <f>3000000+775000</f>
        <v>3775000</v>
      </c>
      <c r="E67" s="449">
        <v>3000000</v>
      </c>
      <c r="F67" s="449">
        <f t="shared" si="0"/>
        <v>775000</v>
      </c>
      <c r="G67" s="449">
        <v>3000000</v>
      </c>
      <c r="H67" s="449">
        <v>411258</v>
      </c>
      <c r="I67" s="449">
        <v>0</v>
      </c>
      <c r="J67" s="449">
        <v>2025303</v>
      </c>
      <c r="K67" s="449">
        <f t="shared" si="1"/>
        <v>2025303</v>
      </c>
      <c r="L67" s="449">
        <f t="shared" si="2"/>
        <v>2436561</v>
      </c>
      <c r="M67" s="449">
        <f>P67+S67-560000</f>
        <v>3439</v>
      </c>
      <c r="N67" s="449">
        <f>630000+705000</f>
        <v>1335000</v>
      </c>
      <c r="O67" s="449">
        <f t="shared" si="3"/>
        <v>0</v>
      </c>
      <c r="P67" s="449">
        <f t="shared" si="4"/>
        <v>563439</v>
      </c>
      <c r="Q67" s="482"/>
      <c r="R67" s="449"/>
      <c r="S67" s="449">
        <f t="shared" si="8"/>
        <v>0</v>
      </c>
      <c r="T67" s="449">
        <f t="shared" si="5"/>
        <v>560000</v>
      </c>
      <c r="U67" s="449">
        <f t="shared" si="6"/>
        <v>775000</v>
      </c>
      <c r="V67" s="449"/>
      <c r="W67" s="449">
        <f t="shared" si="11"/>
        <v>70000</v>
      </c>
      <c r="X67" s="449"/>
      <c r="Y67" s="449">
        <v>705000</v>
      </c>
      <c r="Z67" s="449"/>
      <c r="AA67" s="448"/>
      <c r="AB67" s="448" t="s">
        <v>1422</v>
      </c>
      <c r="AC67" s="448">
        <v>829000</v>
      </c>
      <c r="AD67" s="756"/>
      <c r="AE67" s="756"/>
      <c r="AF67" s="756"/>
      <c r="AG67" s="756"/>
      <c r="AH67" s="756"/>
      <c r="AI67" s="756"/>
      <c r="AJ67" s="756"/>
      <c r="AK67" s="756"/>
      <c r="AL67" s="756"/>
      <c r="AM67" s="756"/>
      <c r="AN67" s="756"/>
      <c r="AO67" s="756"/>
      <c r="AP67" s="756"/>
      <c r="AQ67"/>
    </row>
    <row r="68" spans="1:43" ht="45" customHeight="1">
      <c r="A68" s="448">
        <f t="shared" si="7"/>
        <v>64</v>
      </c>
      <c r="B68" s="448">
        <v>2236</v>
      </c>
      <c r="C68" s="448" t="s">
        <v>580</v>
      </c>
      <c r="D68" s="449">
        <v>180000</v>
      </c>
      <c r="E68" s="449">
        <v>180000</v>
      </c>
      <c r="F68" s="449">
        <f t="shared" si="0"/>
        <v>0</v>
      </c>
      <c r="G68" s="449">
        <v>180000</v>
      </c>
      <c r="H68" s="449">
        <v>116522</v>
      </c>
      <c r="I68" s="449">
        <v>0</v>
      </c>
      <c r="J68" s="449">
        <v>0</v>
      </c>
      <c r="K68" s="449">
        <f t="shared" si="1"/>
        <v>0</v>
      </c>
      <c r="L68" s="449">
        <f t="shared" si="2"/>
        <v>116522</v>
      </c>
      <c r="M68" s="449">
        <f>P68+S68-60000</f>
        <v>3478</v>
      </c>
      <c r="N68" s="449">
        <v>60000</v>
      </c>
      <c r="O68" s="449">
        <f t="shared" si="3"/>
        <v>0</v>
      </c>
      <c r="P68" s="449">
        <f t="shared" si="4"/>
        <v>63478</v>
      </c>
      <c r="Q68" s="482"/>
      <c r="R68" s="449"/>
      <c r="S68" s="449">
        <f t="shared" si="8"/>
        <v>0</v>
      </c>
      <c r="T68" s="449">
        <f t="shared" si="5"/>
        <v>60000</v>
      </c>
      <c r="U68" s="449">
        <f t="shared" si="6"/>
        <v>0</v>
      </c>
      <c r="V68" s="449"/>
      <c r="W68" s="449">
        <f t="shared" si="11"/>
        <v>0</v>
      </c>
      <c r="X68" s="449"/>
      <c r="Y68" s="449"/>
      <c r="Z68" s="449"/>
      <c r="AA68" s="448"/>
      <c r="AB68" s="448" t="s">
        <v>847</v>
      </c>
      <c r="AC68" s="448">
        <v>810000</v>
      </c>
    </row>
    <row r="69" spans="1:43" ht="45" customHeight="1">
      <c r="A69" s="448">
        <f t="shared" si="7"/>
        <v>65</v>
      </c>
      <c r="B69" s="448">
        <v>2237</v>
      </c>
      <c r="C69" s="448" t="s">
        <v>605</v>
      </c>
      <c r="D69" s="449">
        <v>1700000</v>
      </c>
      <c r="E69" s="449">
        <v>1700000</v>
      </c>
      <c r="F69" s="449">
        <f t="shared" si="0"/>
        <v>0</v>
      </c>
      <c r="G69" s="449">
        <v>1300000</v>
      </c>
      <c r="H69" s="449">
        <v>1047135</v>
      </c>
      <c r="I69" s="449">
        <v>0</v>
      </c>
      <c r="J69" s="449">
        <f>29835-29835</f>
        <v>0</v>
      </c>
      <c r="K69" s="449">
        <f t="shared" si="1"/>
        <v>0</v>
      </c>
      <c r="L69" s="449">
        <f t="shared" si="2"/>
        <v>1047135</v>
      </c>
      <c r="M69" s="449">
        <f>P69+S69-250000</f>
        <v>2865</v>
      </c>
      <c r="N69" s="449">
        <f>400000-100000-100000</f>
        <v>200000</v>
      </c>
      <c r="O69" s="449">
        <f t="shared" si="3"/>
        <v>450000</v>
      </c>
      <c r="P69" s="449">
        <f t="shared" si="4"/>
        <v>252865</v>
      </c>
      <c r="Q69" s="482"/>
      <c r="R69" s="449"/>
      <c r="S69" s="449">
        <f t="shared" si="8"/>
        <v>0</v>
      </c>
      <c r="T69" s="449">
        <f t="shared" si="5"/>
        <v>250000</v>
      </c>
      <c r="U69" s="449">
        <f t="shared" si="6"/>
        <v>-50000</v>
      </c>
      <c r="V69" s="449">
        <v>-50000</v>
      </c>
      <c r="W69" s="449">
        <f t="shared" si="11"/>
        <v>0</v>
      </c>
      <c r="X69" s="449"/>
      <c r="Y69" s="449"/>
      <c r="Z69" s="449"/>
      <c r="AA69" s="448"/>
      <c r="AB69" s="448" t="s">
        <v>848</v>
      </c>
      <c r="AC69" s="448">
        <v>742000</v>
      </c>
    </row>
    <row r="70" spans="1:43" ht="45" customHeight="1">
      <c r="A70" s="448">
        <f t="shared" si="7"/>
        <v>66</v>
      </c>
      <c r="B70" s="448">
        <v>2238</v>
      </c>
      <c r="C70" s="448" t="s">
        <v>606</v>
      </c>
      <c r="D70" s="449">
        <f>7100000+300000-100000</f>
        <v>7300000</v>
      </c>
      <c r="E70" s="449">
        <v>7100000</v>
      </c>
      <c r="F70" s="449">
        <f t="shared" si="0"/>
        <v>200000</v>
      </c>
      <c r="G70" s="449">
        <v>7100000</v>
      </c>
      <c r="H70" s="449">
        <v>7084174</v>
      </c>
      <c r="I70" s="449">
        <v>0</v>
      </c>
      <c r="J70" s="449"/>
      <c r="K70" s="449">
        <f t="shared" si="1"/>
        <v>0</v>
      </c>
      <c r="L70" s="449">
        <f t="shared" si="2"/>
        <v>7084174</v>
      </c>
      <c r="M70" s="449">
        <f t="shared" si="10"/>
        <v>15826</v>
      </c>
      <c r="N70" s="449">
        <f>300000-100000</f>
        <v>200000</v>
      </c>
      <c r="O70" s="449">
        <f t="shared" si="3"/>
        <v>0</v>
      </c>
      <c r="P70" s="449">
        <f t="shared" si="4"/>
        <v>15826</v>
      </c>
      <c r="Q70" s="482"/>
      <c r="R70" s="449"/>
      <c r="S70" s="449">
        <f t="shared" ref="S70:S105" si="12">SUM(Q70:R70)</f>
        <v>0</v>
      </c>
      <c r="T70" s="449">
        <f t="shared" si="5"/>
        <v>0</v>
      </c>
      <c r="U70" s="449">
        <f t="shared" si="6"/>
        <v>200000</v>
      </c>
      <c r="V70" s="449"/>
      <c r="W70" s="449">
        <f t="shared" si="11"/>
        <v>200000</v>
      </c>
      <c r="X70" s="449"/>
      <c r="Y70" s="449"/>
      <c r="Z70" s="449"/>
      <c r="AA70" s="448"/>
      <c r="AB70" s="448" t="s">
        <v>689</v>
      </c>
      <c r="AC70" s="448">
        <v>747000</v>
      </c>
    </row>
    <row r="71" spans="1:43" ht="45" customHeight="1">
      <c r="A71" s="448">
        <f t="shared" si="7"/>
        <v>67</v>
      </c>
      <c r="B71" s="448">
        <v>2239</v>
      </c>
      <c r="C71" s="448" t="s">
        <v>607</v>
      </c>
      <c r="D71" s="449">
        <v>30000000</v>
      </c>
      <c r="E71" s="449">
        <v>30000000</v>
      </c>
      <c r="F71" s="449">
        <f t="shared" ref="F71:F106" si="13">D71-E71</f>
        <v>0</v>
      </c>
      <c r="G71" s="449">
        <v>5500000</v>
      </c>
      <c r="H71" s="449">
        <v>3340529</v>
      </c>
      <c r="I71" s="449">
        <v>0</v>
      </c>
      <c r="J71" s="449">
        <v>1951835</v>
      </c>
      <c r="K71" s="449">
        <f t="shared" ref="K71:K106" si="14">I71+J71</f>
        <v>1951835</v>
      </c>
      <c r="L71" s="449">
        <f t="shared" ref="L71:L106" si="15">H71+K71</f>
        <v>5292364</v>
      </c>
      <c r="M71" s="449">
        <f>P71+S71-130000-70000</f>
        <v>7636</v>
      </c>
      <c r="N71" s="449">
        <f>3400000-1270000-130000</f>
        <v>2000000</v>
      </c>
      <c r="O71" s="449">
        <f t="shared" ref="O71:O106" si="16">D71-L71-M71-N71</f>
        <v>22700000</v>
      </c>
      <c r="P71" s="449">
        <f t="shared" ref="P71:P106" si="17">G71-L71</f>
        <v>207636</v>
      </c>
      <c r="Q71" s="482"/>
      <c r="R71" s="449"/>
      <c r="S71" s="449">
        <f t="shared" si="12"/>
        <v>0</v>
      </c>
      <c r="T71" s="449">
        <f t="shared" ref="T71:T106" si="18">P71-M71+S71</f>
        <v>200000</v>
      </c>
      <c r="U71" s="449">
        <f t="shared" ref="U71:U106" si="19">N71-T71</f>
        <v>1800000</v>
      </c>
      <c r="V71" s="449">
        <v>1800000</v>
      </c>
      <c r="W71" s="449">
        <f t="shared" si="11"/>
        <v>0</v>
      </c>
      <c r="X71" s="449"/>
      <c r="Y71" s="449"/>
      <c r="Z71" s="449"/>
      <c r="AA71" s="448"/>
      <c r="AB71" s="448" t="s">
        <v>678</v>
      </c>
      <c r="AC71" s="448">
        <v>742000</v>
      </c>
    </row>
    <row r="72" spans="1:43" ht="45" customHeight="1">
      <c r="A72" s="448">
        <f t="shared" ref="A72:A114" si="20">A71+1</f>
        <v>68</v>
      </c>
      <c r="B72" s="448">
        <v>2240</v>
      </c>
      <c r="C72" s="448" t="s">
        <v>608</v>
      </c>
      <c r="D72" s="449">
        <v>13200000</v>
      </c>
      <c r="E72" s="449">
        <v>13200000</v>
      </c>
      <c r="F72" s="449">
        <f t="shared" si="13"/>
        <v>0</v>
      </c>
      <c r="G72" s="449">
        <v>4240000</v>
      </c>
      <c r="H72" s="449">
        <v>3141090</v>
      </c>
      <c r="I72" s="449">
        <v>0</v>
      </c>
      <c r="J72" s="449">
        <f>294722+400488</f>
        <v>695210</v>
      </c>
      <c r="K72" s="449">
        <f t="shared" si="14"/>
        <v>695210</v>
      </c>
      <c r="L72" s="449">
        <f t="shared" si="15"/>
        <v>3836300</v>
      </c>
      <c r="M72" s="449">
        <f>P72+S72-780000+390000</f>
        <v>13700</v>
      </c>
      <c r="N72" s="449">
        <f>2170000+780000-380000-570000</f>
        <v>2000000</v>
      </c>
      <c r="O72" s="449">
        <f t="shared" si="16"/>
        <v>7350000</v>
      </c>
      <c r="P72" s="449">
        <f t="shared" si="17"/>
        <v>403700</v>
      </c>
      <c r="Q72" s="482"/>
      <c r="R72" s="449"/>
      <c r="S72" s="449">
        <f t="shared" si="12"/>
        <v>0</v>
      </c>
      <c r="T72" s="449">
        <f t="shared" si="18"/>
        <v>390000</v>
      </c>
      <c r="U72" s="449">
        <f t="shared" si="19"/>
        <v>1610000</v>
      </c>
      <c r="V72" s="449"/>
      <c r="W72" s="449">
        <f t="shared" si="11"/>
        <v>1675822</v>
      </c>
      <c r="X72" s="449"/>
      <c r="Y72" s="449"/>
      <c r="Z72" s="449"/>
      <c r="AA72" s="449">
        <v>-65822</v>
      </c>
      <c r="AB72" s="448" t="s">
        <v>1349</v>
      </c>
      <c r="AC72" s="448">
        <v>720000</v>
      </c>
    </row>
    <row r="73" spans="1:43" ht="45" customHeight="1">
      <c r="A73" s="448">
        <f t="shared" si="20"/>
        <v>69</v>
      </c>
      <c r="B73" s="448">
        <v>2242</v>
      </c>
      <c r="C73" s="448" t="s">
        <v>715</v>
      </c>
      <c r="D73" s="449">
        <v>93079</v>
      </c>
      <c r="E73" s="449">
        <v>93079</v>
      </c>
      <c r="F73" s="449">
        <f t="shared" si="13"/>
        <v>0</v>
      </c>
      <c r="G73" s="449">
        <v>93079</v>
      </c>
      <c r="H73" s="449">
        <v>17667</v>
      </c>
      <c r="I73" s="449">
        <v>0</v>
      </c>
      <c r="J73" s="449">
        <v>0</v>
      </c>
      <c r="K73" s="449">
        <f t="shared" si="14"/>
        <v>0</v>
      </c>
      <c r="L73" s="449">
        <f t="shared" si="15"/>
        <v>17667</v>
      </c>
      <c r="M73" s="449">
        <f>P73+S73-75000</f>
        <v>412</v>
      </c>
      <c r="N73" s="449">
        <v>75000</v>
      </c>
      <c r="O73" s="449">
        <f t="shared" si="16"/>
        <v>0</v>
      </c>
      <c r="P73" s="449">
        <f t="shared" si="17"/>
        <v>75412</v>
      </c>
      <c r="Q73" s="482"/>
      <c r="R73" s="449"/>
      <c r="S73" s="449">
        <f t="shared" si="12"/>
        <v>0</v>
      </c>
      <c r="T73" s="449">
        <f t="shared" si="18"/>
        <v>75000</v>
      </c>
      <c r="U73" s="449">
        <f t="shared" si="19"/>
        <v>0</v>
      </c>
      <c r="V73" s="449"/>
      <c r="W73" s="449">
        <f t="shared" si="11"/>
        <v>0</v>
      </c>
      <c r="X73" s="449"/>
      <c r="Y73" s="449"/>
      <c r="Z73" s="449"/>
      <c r="AA73" s="448"/>
      <c r="AB73" s="448" t="s">
        <v>849</v>
      </c>
      <c r="AC73" s="448">
        <v>810000</v>
      </c>
    </row>
    <row r="74" spans="1:43" ht="45" customHeight="1">
      <c r="A74" s="448">
        <f t="shared" si="20"/>
        <v>70</v>
      </c>
      <c r="B74" s="448">
        <v>20020</v>
      </c>
      <c r="C74" s="448" t="s">
        <v>610</v>
      </c>
      <c r="D74" s="449">
        <f>730000+1330000+230000</f>
        <v>2290000</v>
      </c>
      <c r="E74" s="449">
        <f>730000+230000</f>
        <v>960000</v>
      </c>
      <c r="F74" s="449">
        <f t="shared" si="13"/>
        <v>1330000</v>
      </c>
      <c r="G74" s="449">
        <v>730000</v>
      </c>
      <c r="H74" s="449">
        <v>750324</v>
      </c>
      <c r="I74" s="449">
        <v>0</v>
      </c>
      <c r="J74" s="449">
        <f>39667+67181</f>
        <v>106848</v>
      </c>
      <c r="K74" s="449">
        <f t="shared" si="14"/>
        <v>106848</v>
      </c>
      <c r="L74" s="449">
        <f t="shared" si="15"/>
        <v>857172</v>
      </c>
      <c r="M74" s="449">
        <f>P74+S74-100000</f>
        <v>2828</v>
      </c>
      <c r="N74" s="449">
        <f>1330000+100000-730000-100000</f>
        <v>600000</v>
      </c>
      <c r="O74" s="449">
        <f t="shared" si="16"/>
        <v>830000</v>
      </c>
      <c r="P74" s="449">
        <f t="shared" si="17"/>
        <v>-127172</v>
      </c>
      <c r="Q74" s="482"/>
      <c r="R74" s="449">
        <v>230000</v>
      </c>
      <c r="S74" s="449">
        <f t="shared" si="12"/>
        <v>230000</v>
      </c>
      <c r="T74" s="449">
        <f t="shared" si="18"/>
        <v>100000</v>
      </c>
      <c r="U74" s="449">
        <f t="shared" si="19"/>
        <v>500000</v>
      </c>
      <c r="V74" s="449"/>
      <c r="W74" s="449">
        <f t="shared" si="11"/>
        <v>410000</v>
      </c>
      <c r="X74" s="449"/>
      <c r="Y74" s="449"/>
      <c r="Z74" s="449"/>
      <c r="AA74" s="449">
        <v>90000</v>
      </c>
      <c r="AB74" s="322" t="s">
        <v>1534</v>
      </c>
      <c r="AC74" s="448">
        <v>720000</v>
      </c>
    </row>
    <row r="75" spans="1:43" s="485" customFormat="1" ht="45" customHeight="1">
      <c r="A75" s="448">
        <f t="shared" si="20"/>
        <v>71</v>
      </c>
      <c r="B75" s="448">
        <v>20021</v>
      </c>
      <c r="C75" s="448" t="s">
        <v>611</v>
      </c>
      <c r="D75" s="449">
        <f>8000000+5000000</f>
        <v>13000000</v>
      </c>
      <c r="E75" s="449">
        <v>8000000</v>
      </c>
      <c r="F75" s="449">
        <f t="shared" si="13"/>
        <v>5000000</v>
      </c>
      <c r="G75" s="449">
        <v>7000000</v>
      </c>
      <c r="H75" s="449">
        <v>3832154</v>
      </c>
      <c r="I75" s="449">
        <v>0</v>
      </c>
      <c r="J75" s="449">
        <f>1544563-1278</f>
        <v>1543285</v>
      </c>
      <c r="K75" s="449">
        <f t="shared" si="14"/>
        <v>1543285</v>
      </c>
      <c r="L75" s="449">
        <f t="shared" si="15"/>
        <v>5375439</v>
      </c>
      <c r="M75" s="449">
        <f>P75+S75-1620000</f>
        <v>4561</v>
      </c>
      <c r="N75" s="449">
        <f>5500000+1620000-5500000-1620000</f>
        <v>0</v>
      </c>
      <c r="O75" s="449">
        <f t="shared" si="16"/>
        <v>7620000</v>
      </c>
      <c r="P75" s="449">
        <f t="shared" si="17"/>
        <v>1624561</v>
      </c>
      <c r="Q75" s="482"/>
      <c r="R75" s="449"/>
      <c r="S75" s="449">
        <f t="shared" si="12"/>
        <v>0</v>
      </c>
      <c r="T75" s="449">
        <f t="shared" si="18"/>
        <v>1620000</v>
      </c>
      <c r="U75" s="449">
        <f t="shared" si="19"/>
        <v>-1620000</v>
      </c>
      <c r="V75" s="449"/>
      <c r="W75" s="449">
        <f t="shared" si="11"/>
        <v>-1620000</v>
      </c>
      <c r="X75" s="449"/>
      <c r="Y75" s="449"/>
      <c r="Z75" s="449"/>
      <c r="AA75" s="448"/>
      <c r="AB75" s="448" t="s">
        <v>612</v>
      </c>
      <c r="AC75" s="448">
        <v>742000</v>
      </c>
      <c r="AD75" s="756"/>
      <c r="AE75" s="756"/>
      <c r="AF75" s="756"/>
      <c r="AG75" s="756"/>
      <c r="AH75" s="756"/>
      <c r="AI75" s="756"/>
      <c r="AJ75" s="756"/>
      <c r="AK75" s="756"/>
      <c r="AL75" s="756"/>
      <c r="AM75" s="756"/>
      <c r="AN75" s="756"/>
      <c r="AO75" s="756"/>
      <c r="AP75" s="756"/>
      <c r="AQ75"/>
    </row>
    <row r="76" spans="1:43" ht="45" customHeight="1">
      <c r="A76" s="448">
        <f t="shared" si="20"/>
        <v>72</v>
      </c>
      <c r="B76" s="448">
        <v>20022</v>
      </c>
      <c r="C76" s="448" t="s">
        <v>613</v>
      </c>
      <c r="D76" s="449">
        <f>180000-180000</f>
        <v>0</v>
      </c>
      <c r="E76" s="449">
        <v>180000</v>
      </c>
      <c r="F76" s="449">
        <f t="shared" si="13"/>
        <v>-180000</v>
      </c>
      <c r="G76" s="449">
        <v>0</v>
      </c>
      <c r="H76" s="449">
        <v>0</v>
      </c>
      <c r="I76" s="449">
        <v>0</v>
      </c>
      <c r="J76" s="449">
        <v>0</v>
      </c>
      <c r="K76" s="449">
        <f t="shared" si="14"/>
        <v>0</v>
      </c>
      <c r="L76" s="449">
        <f t="shared" si="15"/>
        <v>0</v>
      </c>
      <c r="M76" s="449">
        <f>P76+S76</f>
        <v>0</v>
      </c>
      <c r="N76" s="449">
        <f>560000-560000</f>
        <v>0</v>
      </c>
      <c r="O76" s="449">
        <f t="shared" si="16"/>
        <v>0</v>
      </c>
      <c r="P76" s="449">
        <f t="shared" si="17"/>
        <v>0</v>
      </c>
      <c r="Q76" s="482"/>
      <c r="R76" s="449"/>
      <c r="S76" s="449">
        <f t="shared" si="12"/>
        <v>0</v>
      </c>
      <c r="T76" s="449">
        <f t="shared" si="18"/>
        <v>0</v>
      </c>
      <c r="U76" s="449">
        <f t="shared" si="19"/>
        <v>0</v>
      </c>
      <c r="V76" s="449"/>
      <c r="W76" s="449">
        <f t="shared" si="11"/>
        <v>0</v>
      </c>
      <c r="X76" s="449"/>
      <c r="Y76" s="449"/>
      <c r="Z76" s="449"/>
      <c r="AA76" s="448"/>
      <c r="AB76" s="448" t="s">
        <v>1520</v>
      </c>
      <c r="AC76" s="448">
        <v>747000</v>
      </c>
    </row>
    <row r="77" spans="1:43" ht="45" customHeight="1">
      <c r="A77" s="448">
        <f t="shared" si="20"/>
        <v>73</v>
      </c>
      <c r="B77" s="448">
        <v>20023</v>
      </c>
      <c r="C77" s="448" t="s">
        <v>614</v>
      </c>
      <c r="D77" s="449">
        <v>200000</v>
      </c>
      <c r="E77" s="449">
        <v>200000</v>
      </c>
      <c r="F77" s="449">
        <f t="shared" si="13"/>
        <v>0</v>
      </c>
      <c r="G77" s="449">
        <v>200000</v>
      </c>
      <c r="H77" s="449">
        <v>0</v>
      </c>
      <c r="I77" s="449">
        <v>0</v>
      </c>
      <c r="J77" s="449">
        <v>200000</v>
      </c>
      <c r="K77" s="449">
        <f t="shared" si="14"/>
        <v>200000</v>
      </c>
      <c r="L77" s="449">
        <f t="shared" si="15"/>
        <v>200000</v>
      </c>
      <c r="M77" s="449">
        <f>P77+S77</f>
        <v>0</v>
      </c>
      <c r="N77" s="449"/>
      <c r="O77" s="449">
        <f t="shared" si="16"/>
        <v>0</v>
      </c>
      <c r="P77" s="449">
        <f t="shared" si="17"/>
        <v>0</v>
      </c>
      <c r="Q77" s="482"/>
      <c r="R77" s="449"/>
      <c r="S77" s="449">
        <f t="shared" si="12"/>
        <v>0</v>
      </c>
      <c r="T77" s="449">
        <f t="shared" si="18"/>
        <v>0</v>
      </c>
      <c r="U77" s="449">
        <f t="shared" si="19"/>
        <v>0</v>
      </c>
      <c r="V77" s="449"/>
      <c r="W77" s="449">
        <f t="shared" ref="W77" si="21">U77-AA77-V77-Y77</f>
        <v>0</v>
      </c>
      <c r="X77" s="449"/>
      <c r="Y77" s="449"/>
      <c r="Z77" s="449"/>
      <c r="AA77" s="448"/>
      <c r="AB77" s="448" t="s">
        <v>680</v>
      </c>
      <c r="AC77" s="448">
        <v>747000</v>
      </c>
    </row>
    <row r="78" spans="1:43" ht="45" customHeight="1">
      <c r="A78" s="448">
        <f t="shared" si="20"/>
        <v>74</v>
      </c>
      <c r="B78" s="448">
        <v>20027</v>
      </c>
      <c r="C78" s="448" t="s">
        <v>615</v>
      </c>
      <c r="D78" s="449">
        <v>82800</v>
      </c>
      <c r="E78" s="449">
        <v>82800</v>
      </c>
      <c r="F78" s="449">
        <f t="shared" si="13"/>
        <v>0</v>
      </c>
      <c r="G78" s="449">
        <v>82800</v>
      </c>
      <c r="H78" s="449">
        <v>62950</v>
      </c>
      <c r="I78" s="449">
        <v>0</v>
      </c>
      <c r="J78" s="449">
        <v>0</v>
      </c>
      <c r="K78" s="449">
        <f t="shared" si="14"/>
        <v>0</v>
      </c>
      <c r="L78" s="449">
        <f t="shared" si="15"/>
        <v>62950</v>
      </c>
      <c r="M78" s="449">
        <f>P78+S78-19850</f>
        <v>0</v>
      </c>
      <c r="N78" s="449">
        <v>19850</v>
      </c>
      <c r="O78" s="449">
        <f t="shared" si="16"/>
        <v>0</v>
      </c>
      <c r="P78" s="449">
        <f t="shared" si="17"/>
        <v>19850</v>
      </c>
      <c r="Q78" s="482"/>
      <c r="R78" s="449"/>
      <c r="S78" s="449">
        <f t="shared" si="12"/>
        <v>0</v>
      </c>
      <c r="T78" s="449">
        <f t="shared" si="18"/>
        <v>19850</v>
      </c>
      <c r="U78" s="449">
        <f t="shared" si="19"/>
        <v>0</v>
      </c>
      <c r="V78" s="449"/>
      <c r="W78" s="449">
        <f t="shared" si="11"/>
        <v>0</v>
      </c>
      <c r="X78" s="449"/>
      <c r="Y78" s="449"/>
      <c r="Z78" s="449"/>
      <c r="AA78" s="448"/>
      <c r="AB78" s="448" t="s">
        <v>461</v>
      </c>
      <c r="AC78" s="448">
        <v>747000</v>
      </c>
    </row>
    <row r="79" spans="1:43" ht="45" customHeight="1">
      <c r="A79" s="448">
        <f t="shared" si="20"/>
        <v>75</v>
      </c>
      <c r="B79" s="448">
        <v>20029</v>
      </c>
      <c r="C79" s="448" t="s">
        <v>616</v>
      </c>
      <c r="D79" s="449">
        <f>2000000+1500000</f>
        <v>3500000</v>
      </c>
      <c r="E79" s="449">
        <v>2000000</v>
      </c>
      <c r="F79" s="449">
        <f t="shared" si="13"/>
        <v>1500000</v>
      </c>
      <c r="G79" s="449">
        <v>1350000</v>
      </c>
      <c r="H79" s="449">
        <v>1311285</v>
      </c>
      <c r="I79" s="449">
        <v>0</v>
      </c>
      <c r="J79" s="449"/>
      <c r="K79" s="449">
        <f t="shared" si="14"/>
        <v>0</v>
      </c>
      <c r="L79" s="449">
        <f t="shared" si="15"/>
        <v>1311285</v>
      </c>
      <c r="M79" s="449">
        <f>P79+S79-180000</f>
        <v>8715</v>
      </c>
      <c r="N79" s="449">
        <f>1500000-820000-280000</f>
        <v>400000</v>
      </c>
      <c r="O79" s="449">
        <f t="shared" si="16"/>
        <v>1780000</v>
      </c>
      <c r="P79" s="449">
        <f t="shared" si="17"/>
        <v>38715</v>
      </c>
      <c r="Q79" s="482">
        <v>150000</v>
      </c>
      <c r="R79" s="449"/>
      <c r="S79" s="449">
        <f t="shared" si="12"/>
        <v>150000</v>
      </c>
      <c r="T79" s="449">
        <f t="shared" si="18"/>
        <v>180000</v>
      </c>
      <c r="U79" s="449">
        <f t="shared" si="19"/>
        <v>220000</v>
      </c>
      <c r="V79" s="449"/>
      <c r="W79" s="449">
        <f t="shared" ref="W79:W82" si="22">U79-AA79-V79-Y79</f>
        <v>220000</v>
      </c>
      <c r="X79" s="449"/>
      <c r="Y79" s="449"/>
      <c r="Z79" s="449"/>
      <c r="AA79" s="448"/>
      <c r="AB79" s="455" t="s">
        <v>895</v>
      </c>
      <c r="AC79" s="448">
        <v>848000</v>
      </c>
    </row>
    <row r="80" spans="1:43" ht="55.2">
      <c r="A80" s="448">
        <f t="shared" si="20"/>
        <v>76</v>
      </c>
      <c r="B80" s="448">
        <v>20030</v>
      </c>
      <c r="C80" s="448" t="s">
        <v>617</v>
      </c>
      <c r="D80" s="449">
        <f>45150000+10000000+700000-800000</f>
        <v>55050000</v>
      </c>
      <c r="E80" s="449">
        <f>45150000+2700000</f>
        <v>47850000</v>
      </c>
      <c r="F80" s="449">
        <f t="shared" si="13"/>
        <v>7200000</v>
      </c>
      <c r="G80" s="449">
        <v>45150000</v>
      </c>
      <c r="H80" s="449">
        <v>44532460</v>
      </c>
      <c r="I80" s="449">
        <v>0</v>
      </c>
      <c r="J80" s="449">
        <f>26823+76966+118416+24912+1831+15756+1056+3874+149580+198520+31839+8967+139698+58207+58207</f>
        <v>914652</v>
      </c>
      <c r="K80" s="449">
        <f t="shared" si="14"/>
        <v>914652</v>
      </c>
      <c r="L80" s="449">
        <f t="shared" si="15"/>
        <v>45447112</v>
      </c>
      <c r="M80" s="449">
        <f>P80+S80-2000000-200000-150000-50000</f>
        <v>2888</v>
      </c>
      <c r="N80" s="488">
        <f>31000000-21000000-450000+50000</f>
        <v>9600000</v>
      </c>
      <c r="O80" s="449">
        <f t="shared" si="16"/>
        <v>0</v>
      </c>
      <c r="P80" s="449">
        <f t="shared" si="17"/>
        <v>-297112</v>
      </c>
      <c r="Q80" s="489"/>
      <c r="R80" s="488">
        <v>2700000</v>
      </c>
      <c r="S80" s="488">
        <f t="shared" si="12"/>
        <v>2700000</v>
      </c>
      <c r="T80" s="488">
        <f t="shared" si="18"/>
        <v>2400000</v>
      </c>
      <c r="U80" s="449">
        <f t="shared" si="19"/>
        <v>7200000</v>
      </c>
      <c r="V80" s="449">
        <v>1450000</v>
      </c>
      <c r="W80" s="449">
        <f t="shared" si="22"/>
        <v>5139500</v>
      </c>
      <c r="X80" s="449"/>
      <c r="Y80" s="449"/>
      <c r="Z80" s="449"/>
      <c r="AA80" s="449">
        <f>40500+285000+114000+171000</f>
        <v>610500</v>
      </c>
      <c r="AB80" s="448" t="s">
        <v>1395</v>
      </c>
      <c r="AC80" s="448">
        <v>810000</v>
      </c>
    </row>
    <row r="81" spans="1:29" ht="69">
      <c r="A81" s="448">
        <f t="shared" si="20"/>
        <v>77</v>
      </c>
      <c r="B81" s="448">
        <v>20032</v>
      </c>
      <c r="C81" s="448" t="s">
        <v>618</v>
      </c>
      <c r="D81" s="449">
        <f>4850000-1290000</f>
        <v>3560000</v>
      </c>
      <c r="E81" s="449">
        <v>4850000</v>
      </c>
      <c r="F81" s="449">
        <f t="shared" si="13"/>
        <v>-1290000</v>
      </c>
      <c r="G81" s="449">
        <v>3560000</v>
      </c>
      <c r="H81" s="449">
        <v>1237617</v>
      </c>
      <c r="I81" s="449">
        <v>2308424</v>
      </c>
      <c r="J81" s="449">
        <v>7561</v>
      </c>
      <c r="K81" s="449">
        <f t="shared" si="14"/>
        <v>2315985</v>
      </c>
      <c r="L81" s="449">
        <f t="shared" si="15"/>
        <v>3553602</v>
      </c>
      <c r="M81" s="449">
        <f>P81+S81</f>
        <v>6398</v>
      </c>
      <c r="N81" s="449"/>
      <c r="O81" s="449">
        <f t="shared" si="16"/>
        <v>0</v>
      </c>
      <c r="P81" s="449">
        <f t="shared" si="17"/>
        <v>6398</v>
      </c>
      <c r="Q81" s="482"/>
      <c r="R81" s="449"/>
      <c r="S81" s="449">
        <f t="shared" si="12"/>
        <v>0</v>
      </c>
      <c r="T81" s="449">
        <f t="shared" si="18"/>
        <v>0</v>
      </c>
      <c r="U81" s="449">
        <f t="shared" si="19"/>
        <v>0</v>
      </c>
      <c r="V81" s="449"/>
      <c r="W81" s="449">
        <f t="shared" si="22"/>
        <v>0</v>
      </c>
      <c r="X81" s="449"/>
      <c r="Y81" s="449"/>
      <c r="Z81" s="449"/>
      <c r="AA81" s="448"/>
      <c r="AB81" s="448" t="s">
        <v>1449</v>
      </c>
      <c r="AC81" s="448">
        <v>829000</v>
      </c>
    </row>
    <row r="82" spans="1:29" ht="55.2">
      <c r="A82" s="448">
        <f t="shared" si="20"/>
        <v>78</v>
      </c>
      <c r="B82" s="448">
        <v>20034</v>
      </c>
      <c r="C82" s="448" t="s">
        <v>982</v>
      </c>
      <c r="D82" s="449">
        <v>4000000</v>
      </c>
      <c r="E82" s="449">
        <v>4000000</v>
      </c>
      <c r="F82" s="449">
        <f t="shared" si="13"/>
        <v>0</v>
      </c>
      <c r="G82" s="449">
        <v>3000000</v>
      </c>
      <c r="H82" s="449">
        <v>1584796</v>
      </c>
      <c r="I82" s="449">
        <v>0</v>
      </c>
      <c r="J82" s="449"/>
      <c r="K82" s="449">
        <f t="shared" si="14"/>
        <v>0</v>
      </c>
      <c r="L82" s="449">
        <f t="shared" si="15"/>
        <v>1584796</v>
      </c>
      <c r="M82" s="449">
        <f>P82+S82-1400000</f>
        <v>15204</v>
      </c>
      <c r="N82" s="449">
        <v>1400000</v>
      </c>
      <c r="O82" s="449">
        <f t="shared" si="16"/>
        <v>1000000</v>
      </c>
      <c r="P82" s="449">
        <f t="shared" si="17"/>
        <v>1415204</v>
      </c>
      <c r="Q82" s="482"/>
      <c r="R82" s="449"/>
      <c r="S82" s="449">
        <f t="shared" si="12"/>
        <v>0</v>
      </c>
      <c r="T82" s="449">
        <f t="shared" si="18"/>
        <v>1400000</v>
      </c>
      <c r="U82" s="449">
        <f t="shared" si="19"/>
        <v>0</v>
      </c>
      <c r="V82" s="449"/>
      <c r="W82" s="449">
        <f t="shared" si="22"/>
        <v>0</v>
      </c>
      <c r="X82" s="449"/>
      <c r="Y82" s="449"/>
      <c r="Z82" s="449"/>
      <c r="AA82" s="448"/>
      <c r="AB82" s="448" t="s">
        <v>767</v>
      </c>
      <c r="AC82" s="448">
        <v>828000</v>
      </c>
    </row>
    <row r="83" spans="1:29" ht="55.2">
      <c r="A83" s="448">
        <f t="shared" si="20"/>
        <v>79</v>
      </c>
      <c r="B83" s="448">
        <v>20036</v>
      </c>
      <c r="C83" s="448" t="s">
        <v>620</v>
      </c>
      <c r="D83" s="449">
        <f>6375000-2464</f>
        <v>6372536</v>
      </c>
      <c r="E83" s="449">
        <v>6375000</v>
      </c>
      <c r="F83" s="449">
        <f t="shared" si="13"/>
        <v>-2464</v>
      </c>
      <c r="G83" s="449">
        <v>6375000</v>
      </c>
      <c r="H83" s="449">
        <v>6372536</v>
      </c>
      <c r="I83" s="449">
        <v>0</v>
      </c>
      <c r="J83" s="449"/>
      <c r="K83" s="449">
        <f t="shared" si="14"/>
        <v>0</v>
      </c>
      <c r="L83" s="449">
        <f t="shared" si="15"/>
        <v>6372536</v>
      </c>
      <c r="M83" s="449">
        <f>P83+S83-2464</f>
        <v>0</v>
      </c>
      <c r="N83" s="449"/>
      <c r="O83" s="449">
        <f t="shared" si="16"/>
        <v>0</v>
      </c>
      <c r="P83" s="449">
        <f t="shared" si="17"/>
        <v>2464</v>
      </c>
      <c r="Q83" s="482"/>
      <c r="R83" s="449"/>
      <c r="S83" s="449">
        <f t="shared" si="12"/>
        <v>0</v>
      </c>
      <c r="T83" s="449">
        <f t="shared" si="18"/>
        <v>2464</v>
      </c>
      <c r="U83" s="449">
        <f t="shared" si="19"/>
        <v>-2464</v>
      </c>
      <c r="V83" s="449"/>
      <c r="W83" s="449">
        <f t="shared" ref="W83:W114" si="23">U83-AA83-V83-Y83</f>
        <v>-2464</v>
      </c>
      <c r="X83" s="449"/>
      <c r="Y83" s="449"/>
      <c r="Z83" s="449"/>
      <c r="AA83" s="448"/>
      <c r="AB83" s="448" t="s">
        <v>1468</v>
      </c>
      <c r="AC83" s="448">
        <v>810000</v>
      </c>
    </row>
    <row r="84" spans="1:29" ht="55.2">
      <c r="A84" s="448">
        <f t="shared" si="20"/>
        <v>80</v>
      </c>
      <c r="B84" s="448">
        <v>20037</v>
      </c>
      <c r="C84" s="448" t="s">
        <v>621</v>
      </c>
      <c r="D84" s="449">
        <v>2200000</v>
      </c>
      <c r="E84" s="449">
        <v>2200000</v>
      </c>
      <c r="F84" s="449">
        <f t="shared" si="13"/>
        <v>0</v>
      </c>
      <c r="G84" s="449">
        <v>2200000</v>
      </c>
      <c r="H84" s="449">
        <v>2199700</v>
      </c>
      <c r="I84" s="449">
        <v>0</v>
      </c>
      <c r="J84" s="449">
        <v>0</v>
      </c>
      <c r="K84" s="449">
        <f t="shared" si="14"/>
        <v>0</v>
      </c>
      <c r="L84" s="449">
        <f t="shared" si="15"/>
        <v>2199700</v>
      </c>
      <c r="M84" s="449">
        <f>P84+S84</f>
        <v>300</v>
      </c>
      <c r="N84" s="449"/>
      <c r="O84" s="449">
        <f t="shared" si="16"/>
        <v>0</v>
      </c>
      <c r="P84" s="449">
        <f t="shared" si="17"/>
        <v>300</v>
      </c>
      <c r="Q84" s="482"/>
      <c r="R84" s="449"/>
      <c r="S84" s="449">
        <f t="shared" si="12"/>
        <v>0</v>
      </c>
      <c r="T84" s="449">
        <f t="shared" si="18"/>
        <v>0</v>
      </c>
      <c r="U84" s="449">
        <f t="shared" si="19"/>
        <v>0</v>
      </c>
      <c r="V84" s="449"/>
      <c r="W84" s="449">
        <f t="shared" si="23"/>
        <v>0</v>
      </c>
      <c r="X84" s="449"/>
      <c r="Y84" s="449"/>
      <c r="Z84" s="449"/>
      <c r="AA84" s="448"/>
      <c r="AB84" s="448" t="s">
        <v>1521</v>
      </c>
      <c r="AC84" s="448">
        <v>826000</v>
      </c>
    </row>
    <row r="85" spans="1:29" ht="45" customHeight="1">
      <c r="A85" s="448">
        <f t="shared" si="20"/>
        <v>81</v>
      </c>
      <c r="B85" s="448">
        <v>20051</v>
      </c>
      <c r="C85" s="448" t="s">
        <v>983</v>
      </c>
      <c r="D85" s="449">
        <f>4100000+950000+650000-100000</f>
        <v>5600000</v>
      </c>
      <c r="E85" s="449">
        <v>5050000</v>
      </c>
      <c r="F85" s="449">
        <f t="shared" si="13"/>
        <v>550000</v>
      </c>
      <c r="G85" s="449">
        <v>5050000</v>
      </c>
      <c r="H85" s="449">
        <v>2346404</v>
      </c>
      <c r="I85" s="449">
        <v>0</v>
      </c>
      <c r="J85" s="449">
        <v>1849763</v>
      </c>
      <c r="K85" s="449">
        <f t="shared" si="14"/>
        <v>1849763</v>
      </c>
      <c r="L85" s="449">
        <f t="shared" si="15"/>
        <v>4196167</v>
      </c>
      <c r="M85" s="449">
        <f>P85+S85-840000-10000</f>
        <v>3833</v>
      </c>
      <c r="N85" s="449">
        <f>650000+800000-100000+40000-550000+10000</f>
        <v>850000</v>
      </c>
      <c r="O85" s="449">
        <f t="shared" si="16"/>
        <v>550000</v>
      </c>
      <c r="P85" s="449">
        <f t="shared" si="17"/>
        <v>853833</v>
      </c>
      <c r="Q85" s="482"/>
      <c r="R85" s="449"/>
      <c r="S85" s="449">
        <f t="shared" si="12"/>
        <v>0</v>
      </c>
      <c r="T85" s="449">
        <f t="shared" si="18"/>
        <v>850000</v>
      </c>
      <c r="U85" s="449">
        <f t="shared" si="19"/>
        <v>0</v>
      </c>
      <c r="V85" s="449"/>
      <c r="W85" s="449">
        <f t="shared" si="23"/>
        <v>0</v>
      </c>
      <c r="X85" s="449"/>
      <c r="Y85" s="449"/>
      <c r="Z85" s="449"/>
      <c r="AA85" s="448"/>
      <c r="AB85" s="448" t="s">
        <v>1312</v>
      </c>
      <c r="AC85" s="448">
        <v>742000</v>
      </c>
    </row>
    <row r="86" spans="1:29" ht="45" customHeight="1">
      <c r="A86" s="448">
        <f t="shared" si="20"/>
        <v>82</v>
      </c>
      <c r="B86" s="448">
        <v>20052</v>
      </c>
      <c r="C86" s="448" t="s">
        <v>739</v>
      </c>
      <c r="D86" s="449">
        <f>2820553-207</f>
        <v>2820346</v>
      </c>
      <c r="E86" s="449">
        <v>2820553</v>
      </c>
      <c r="F86" s="449">
        <f t="shared" si="13"/>
        <v>-207</v>
      </c>
      <c r="G86" s="449">
        <v>2820553</v>
      </c>
      <c r="H86" s="449">
        <v>2820346</v>
      </c>
      <c r="I86" s="449">
        <v>0</v>
      </c>
      <c r="J86" s="449">
        <v>0</v>
      </c>
      <c r="K86" s="449">
        <f t="shared" si="14"/>
        <v>0</v>
      </c>
      <c r="L86" s="449">
        <f t="shared" si="15"/>
        <v>2820346</v>
      </c>
      <c r="M86" s="449">
        <f>P86+S86-207</f>
        <v>0</v>
      </c>
      <c r="N86" s="449"/>
      <c r="O86" s="449">
        <f t="shared" si="16"/>
        <v>0</v>
      </c>
      <c r="P86" s="449">
        <f t="shared" si="17"/>
        <v>207</v>
      </c>
      <c r="Q86" s="482"/>
      <c r="R86" s="449"/>
      <c r="S86" s="449">
        <f t="shared" si="12"/>
        <v>0</v>
      </c>
      <c r="T86" s="449">
        <f t="shared" si="18"/>
        <v>207</v>
      </c>
      <c r="U86" s="449">
        <f t="shared" si="19"/>
        <v>-207</v>
      </c>
      <c r="V86" s="449"/>
      <c r="W86" s="449">
        <f t="shared" si="23"/>
        <v>-207</v>
      </c>
      <c r="X86" s="449"/>
      <c r="Y86" s="449"/>
      <c r="Z86" s="449"/>
      <c r="AA86" s="448"/>
      <c r="AB86" s="448" t="s">
        <v>1335</v>
      </c>
      <c r="AC86" s="448">
        <v>930000</v>
      </c>
    </row>
    <row r="87" spans="1:29" ht="45" customHeight="1">
      <c r="A87" s="448">
        <f t="shared" si="20"/>
        <v>83</v>
      </c>
      <c r="B87" s="448">
        <v>20054</v>
      </c>
      <c r="C87" s="448" t="s">
        <v>717</v>
      </c>
      <c r="D87" s="449">
        <f>1400000-140000</f>
        <v>1260000</v>
      </c>
      <c r="E87" s="449">
        <v>1400000</v>
      </c>
      <c r="F87" s="449">
        <f t="shared" si="13"/>
        <v>-140000</v>
      </c>
      <c r="G87" s="449">
        <v>1400000</v>
      </c>
      <c r="H87" s="449">
        <v>1251321</v>
      </c>
      <c r="I87" s="449">
        <v>0</v>
      </c>
      <c r="J87" s="449">
        <v>0</v>
      </c>
      <c r="K87" s="449">
        <f t="shared" si="14"/>
        <v>0</v>
      </c>
      <c r="L87" s="449">
        <f t="shared" si="15"/>
        <v>1251321</v>
      </c>
      <c r="M87" s="449">
        <f>P87+S87-140000</f>
        <v>8679</v>
      </c>
      <c r="N87" s="449"/>
      <c r="O87" s="449">
        <f t="shared" si="16"/>
        <v>0</v>
      </c>
      <c r="P87" s="449">
        <f t="shared" si="17"/>
        <v>148679</v>
      </c>
      <c r="Q87" s="482"/>
      <c r="R87" s="449"/>
      <c r="S87" s="449">
        <f t="shared" si="12"/>
        <v>0</v>
      </c>
      <c r="T87" s="449">
        <f t="shared" si="18"/>
        <v>140000</v>
      </c>
      <c r="U87" s="449">
        <f t="shared" si="19"/>
        <v>-140000</v>
      </c>
      <c r="V87" s="449">
        <v>-140000</v>
      </c>
      <c r="W87" s="449">
        <f t="shared" si="23"/>
        <v>0</v>
      </c>
      <c r="X87" s="449"/>
      <c r="Y87" s="449"/>
      <c r="Z87" s="449"/>
      <c r="AA87" s="448"/>
      <c r="AB87" s="448" t="s">
        <v>1450</v>
      </c>
      <c r="AC87" s="448">
        <v>810000</v>
      </c>
    </row>
    <row r="88" spans="1:29" ht="45" customHeight="1">
      <c r="A88" s="448">
        <f t="shared" si="20"/>
        <v>84</v>
      </c>
      <c r="B88" s="448">
        <v>20065</v>
      </c>
      <c r="C88" s="448" t="s">
        <v>740</v>
      </c>
      <c r="D88" s="449">
        <f>7611000-11000</f>
        <v>7600000</v>
      </c>
      <c r="E88" s="449">
        <v>3200000</v>
      </c>
      <c r="F88" s="449">
        <f t="shared" si="13"/>
        <v>4400000</v>
      </c>
      <c r="G88" s="449">
        <v>3200000</v>
      </c>
      <c r="H88" s="449">
        <v>2001616</v>
      </c>
      <c r="I88" s="449">
        <v>0</v>
      </c>
      <c r="J88" s="449">
        <f>998375</f>
        <v>998375</v>
      </c>
      <c r="K88" s="449">
        <f t="shared" si="14"/>
        <v>998375</v>
      </c>
      <c r="L88" s="449">
        <f t="shared" si="15"/>
        <v>2999991</v>
      </c>
      <c r="M88" s="449">
        <f>P88+S88-200000</f>
        <v>9</v>
      </c>
      <c r="N88" s="449">
        <f>7611000-3200000-11000+200000</f>
        <v>4600000</v>
      </c>
      <c r="O88" s="449">
        <f t="shared" si="16"/>
        <v>0</v>
      </c>
      <c r="P88" s="449">
        <f t="shared" si="17"/>
        <v>200009</v>
      </c>
      <c r="Q88" s="482"/>
      <c r="R88" s="449"/>
      <c r="S88" s="449">
        <f t="shared" si="12"/>
        <v>0</v>
      </c>
      <c r="T88" s="449">
        <f t="shared" si="18"/>
        <v>200000</v>
      </c>
      <c r="U88" s="449">
        <f t="shared" si="19"/>
        <v>4400000</v>
      </c>
      <c r="V88" s="449">
        <v>4400000</v>
      </c>
      <c r="W88" s="449">
        <f t="shared" si="23"/>
        <v>0</v>
      </c>
      <c r="X88" s="449"/>
      <c r="Y88" s="449"/>
      <c r="Z88" s="449"/>
      <c r="AA88" s="448"/>
      <c r="AB88" s="448" t="s">
        <v>859</v>
      </c>
      <c r="AC88" s="448">
        <v>824000</v>
      </c>
    </row>
    <row r="89" spans="1:29" ht="45" customHeight="1">
      <c r="A89" s="448">
        <f t="shared" si="20"/>
        <v>85</v>
      </c>
      <c r="B89" s="448">
        <v>20067</v>
      </c>
      <c r="C89" s="448" t="s">
        <v>741</v>
      </c>
      <c r="D89" s="449">
        <f>3500000+27000000-2500000</f>
        <v>28000000</v>
      </c>
      <c r="E89" s="449">
        <v>3500000</v>
      </c>
      <c r="F89" s="449">
        <f t="shared" si="13"/>
        <v>24500000</v>
      </c>
      <c r="G89" s="449">
        <v>1500000</v>
      </c>
      <c r="H89" s="449">
        <v>534744</v>
      </c>
      <c r="I89" s="449"/>
      <c r="J89" s="449">
        <f>324871-117000</f>
        <v>207871</v>
      </c>
      <c r="K89" s="449">
        <f t="shared" si="14"/>
        <v>207871</v>
      </c>
      <c r="L89" s="449">
        <f t="shared" si="15"/>
        <v>742615</v>
      </c>
      <c r="M89" s="449">
        <f>P89+S89-500000-100000-150000</f>
        <v>7385</v>
      </c>
      <c r="N89" s="449">
        <f>500*9000-1750000-1500000</f>
        <v>1250000</v>
      </c>
      <c r="O89" s="449">
        <f t="shared" si="16"/>
        <v>26000000</v>
      </c>
      <c r="P89" s="449">
        <f t="shared" si="17"/>
        <v>757385</v>
      </c>
      <c r="Q89" s="482"/>
      <c r="R89" s="449"/>
      <c r="S89" s="449">
        <f t="shared" si="12"/>
        <v>0</v>
      </c>
      <c r="T89" s="449">
        <f t="shared" si="18"/>
        <v>750000</v>
      </c>
      <c r="U89" s="449">
        <f t="shared" si="19"/>
        <v>500000</v>
      </c>
      <c r="V89" s="449"/>
      <c r="W89" s="449">
        <f t="shared" si="23"/>
        <v>500000</v>
      </c>
      <c r="X89" s="449"/>
      <c r="Y89" s="449"/>
      <c r="Z89" s="449"/>
      <c r="AA89" s="448"/>
      <c r="AB89" s="448" t="s">
        <v>1309</v>
      </c>
      <c r="AC89" s="448">
        <v>743000</v>
      </c>
    </row>
    <row r="90" spans="1:29" ht="45" customHeight="1">
      <c r="A90" s="448">
        <f t="shared" si="20"/>
        <v>86</v>
      </c>
      <c r="B90" s="448">
        <v>20069</v>
      </c>
      <c r="C90" s="448" t="s">
        <v>742</v>
      </c>
      <c r="D90" s="449">
        <v>33000</v>
      </c>
      <c r="E90" s="449">
        <v>33000</v>
      </c>
      <c r="F90" s="449">
        <f t="shared" si="13"/>
        <v>0</v>
      </c>
      <c r="G90" s="449">
        <v>33000</v>
      </c>
      <c r="H90" s="449">
        <v>29043</v>
      </c>
      <c r="I90" s="449">
        <v>0</v>
      </c>
      <c r="J90" s="449">
        <v>3557</v>
      </c>
      <c r="K90" s="449">
        <f t="shared" si="14"/>
        <v>3557</v>
      </c>
      <c r="L90" s="449">
        <f t="shared" si="15"/>
        <v>32600</v>
      </c>
      <c r="M90" s="449">
        <f>P90+S90</f>
        <v>400</v>
      </c>
      <c r="N90" s="449"/>
      <c r="O90" s="449">
        <f t="shared" si="16"/>
        <v>0</v>
      </c>
      <c r="P90" s="449">
        <f t="shared" si="17"/>
        <v>400</v>
      </c>
      <c r="Q90" s="482"/>
      <c r="R90" s="449"/>
      <c r="S90" s="449">
        <f t="shared" si="12"/>
        <v>0</v>
      </c>
      <c r="T90" s="449">
        <f t="shared" si="18"/>
        <v>0</v>
      </c>
      <c r="U90" s="449">
        <f t="shared" si="19"/>
        <v>0</v>
      </c>
      <c r="V90" s="449"/>
      <c r="W90" s="449">
        <f t="shared" si="23"/>
        <v>0</v>
      </c>
      <c r="X90" s="449"/>
      <c r="Y90" s="449"/>
      <c r="Z90" s="449"/>
      <c r="AA90" s="448"/>
      <c r="AB90" s="448" t="s">
        <v>1451</v>
      </c>
      <c r="AC90" s="448">
        <v>747000</v>
      </c>
    </row>
    <row r="91" spans="1:29" ht="45" customHeight="1">
      <c r="A91" s="448">
        <f t="shared" si="20"/>
        <v>87</v>
      </c>
      <c r="B91" s="448">
        <v>20070</v>
      </c>
      <c r="C91" s="448" t="s">
        <v>743</v>
      </c>
      <c r="D91" s="449">
        <v>450000</v>
      </c>
      <c r="E91" s="449">
        <v>450000</v>
      </c>
      <c r="F91" s="449">
        <f t="shared" si="13"/>
        <v>0</v>
      </c>
      <c r="G91" s="449">
        <v>450000</v>
      </c>
      <c r="H91" s="449">
        <v>0</v>
      </c>
      <c r="I91" s="449">
        <v>0</v>
      </c>
      <c r="J91" s="449">
        <v>220754</v>
      </c>
      <c r="K91" s="449">
        <f t="shared" si="14"/>
        <v>220754</v>
      </c>
      <c r="L91" s="449">
        <f t="shared" si="15"/>
        <v>220754</v>
      </c>
      <c r="M91" s="449">
        <f>P91+S91-220000</f>
        <v>9246</v>
      </c>
      <c r="N91" s="449">
        <v>220000</v>
      </c>
      <c r="O91" s="449">
        <f t="shared" si="16"/>
        <v>0</v>
      </c>
      <c r="P91" s="449">
        <f t="shared" si="17"/>
        <v>229246</v>
      </c>
      <c r="Q91" s="482"/>
      <c r="R91" s="449"/>
      <c r="S91" s="449">
        <f t="shared" si="12"/>
        <v>0</v>
      </c>
      <c r="T91" s="449">
        <f t="shared" si="18"/>
        <v>220000</v>
      </c>
      <c r="U91" s="449">
        <f t="shared" si="19"/>
        <v>0</v>
      </c>
      <c r="V91" s="449"/>
      <c r="W91" s="449">
        <f t="shared" si="23"/>
        <v>0</v>
      </c>
      <c r="X91" s="449"/>
      <c r="Y91" s="449"/>
      <c r="Z91" s="449"/>
      <c r="AA91" s="448"/>
      <c r="AB91" s="448" t="s">
        <v>1522</v>
      </c>
      <c r="AC91" s="448">
        <v>829000</v>
      </c>
    </row>
    <row r="92" spans="1:29" ht="45" customHeight="1">
      <c r="A92" s="448">
        <f t="shared" si="20"/>
        <v>88</v>
      </c>
      <c r="B92" s="448">
        <v>20071</v>
      </c>
      <c r="C92" s="448" t="s">
        <v>814</v>
      </c>
      <c r="D92" s="449">
        <f>450000+150000</f>
        <v>600000</v>
      </c>
      <c r="E92" s="449">
        <v>450000</v>
      </c>
      <c r="F92" s="449">
        <f t="shared" si="13"/>
        <v>150000</v>
      </c>
      <c r="G92" s="449">
        <v>0</v>
      </c>
      <c r="H92" s="449">
        <v>0</v>
      </c>
      <c r="I92" s="449">
        <v>0</v>
      </c>
      <c r="J92" s="449">
        <v>0</v>
      </c>
      <c r="K92" s="449">
        <f t="shared" si="14"/>
        <v>0</v>
      </c>
      <c r="L92" s="449">
        <f t="shared" si="15"/>
        <v>0</v>
      </c>
      <c r="M92" s="449">
        <f>P92+S92</f>
        <v>0</v>
      </c>
      <c r="N92" s="449">
        <f>600000-300000-300000</f>
        <v>0</v>
      </c>
      <c r="O92" s="449">
        <f t="shared" si="16"/>
        <v>600000</v>
      </c>
      <c r="P92" s="449">
        <f t="shared" si="17"/>
        <v>0</v>
      </c>
      <c r="Q92" s="482"/>
      <c r="R92" s="449"/>
      <c r="S92" s="449">
        <f t="shared" si="12"/>
        <v>0</v>
      </c>
      <c r="T92" s="449">
        <f t="shared" si="18"/>
        <v>0</v>
      </c>
      <c r="U92" s="449">
        <f t="shared" si="19"/>
        <v>0</v>
      </c>
      <c r="V92" s="449"/>
      <c r="W92" s="449">
        <f t="shared" si="23"/>
        <v>0</v>
      </c>
      <c r="X92" s="449"/>
      <c r="Y92" s="449"/>
      <c r="Z92" s="449"/>
      <c r="AA92" s="448"/>
      <c r="AB92" s="448" t="s">
        <v>896</v>
      </c>
      <c r="AC92" s="448">
        <v>747000</v>
      </c>
    </row>
    <row r="93" spans="1:29" ht="45" customHeight="1">
      <c r="A93" s="448">
        <f t="shared" si="20"/>
        <v>89</v>
      </c>
      <c r="B93" s="448">
        <v>20072</v>
      </c>
      <c r="C93" s="448" t="s">
        <v>792</v>
      </c>
      <c r="D93" s="449">
        <f>2000000-1000000</f>
        <v>1000000</v>
      </c>
      <c r="E93" s="449">
        <v>2000000</v>
      </c>
      <c r="F93" s="449">
        <f t="shared" si="13"/>
        <v>-1000000</v>
      </c>
      <c r="G93" s="449">
        <v>1000000</v>
      </c>
      <c r="H93" s="449">
        <v>700769</v>
      </c>
      <c r="I93" s="449">
        <v>0</v>
      </c>
      <c r="J93" s="449">
        <v>5010</v>
      </c>
      <c r="K93" s="449">
        <f t="shared" si="14"/>
        <v>5010</v>
      </c>
      <c r="L93" s="449">
        <f t="shared" si="15"/>
        <v>705779</v>
      </c>
      <c r="M93" s="449">
        <f>P93+S93-290000</f>
        <v>4221</v>
      </c>
      <c r="N93" s="449">
        <v>290000</v>
      </c>
      <c r="O93" s="449">
        <f t="shared" si="16"/>
        <v>0</v>
      </c>
      <c r="P93" s="449">
        <f t="shared" si="17"/>
        <v>294221</v>
      </c>
      <c r="Q93" s="482"/>
      <c r="R93" s="449"/>
      <c r="S93" s="449">
        <f t="shared" si="12"/>
        <v>0</v>
      </c>
      <c r="T93" s="449">
        <f t="shared" si="18"/>
        <v>290000</v>
      </c>
      <c r="U93" s="449">
        <f t="shared" si="19"/>
        <v>0</v>
      </c>
      <c r="V93" s="449"/>
      <c r="W93" s="449">
        <f t="shared" si="23"/>
        <v>0</v>
      </c>
      <c r="X93" s="449"/>
      <c r="Y93" s="449"/>
      <c r="Z93" s="449"/>
      <c r="AA93" s="448"/>
      <c r="AB93" s="448" t="s">
        <v>863</v>
      </c>
      <c r="AC93" s="448">
        <v>743000</v>
      </c>
    </row>
    <row r="94" spans="1:29" ht="45" customHeight="1">
      <c r="A94" s="448">
        <f t="shared" si="20"/>
        <v>90</v>
      </c>
      <c r="B94" s="448">
        <v>20073</v>
      </c>
      <c r="C94" s="448" t="s">
        <v>802</v>
      </c>
      <c r="D94" s="449">
        <v>300000</v>
      </c>
      <c r="E94" s="449">
        <v>300000</v>
      </c>
      <c r="F94" s="449">
        <f t="shared" si="13"/>
        <v>0</v>
      </c>
      <c r="G94" s="449">
        <v>300000</v>
      </c>
      <c r="H94" s="449">
        <v>59989</v>
      </c>
      <c r="I94" s="449">
        <v>0</v>
      </c>
      <c r="J94" s="449"/>
      <c r="K94" s="449">
        <f t="shared" si="14"/>
        <v>0</v>
      </c>
      <c r="L94" s="449">
        <f t="shared" si="15"/>
        <v>59989</v>
      </c>
      <c r="M94" s="449">
        <f>P94+S94-240000</f>
        <v>11</v>
      </c>
      <c r="N94" s="449">
        <v>240000</v>
      </c>
      <c r="O94" s="449">
        <f t="shared" si="16"/>
        <v>0</v>
      </c>
      <c r="P94" s="449">
        <f t="shared" si="17"/>
        <v>240011</v>
      </c>
      <c r="Q94" s="482"/>
      <c r="R94" s="449"/>
      <c r="S94" s="449">
        <f t="shared" si="12"/>
        <v>0</v>
      </c>
      <c r="T94" s="449">
        <f t="shared" si="18"/>
        <v>240000</v>
      </c>
      <c r="U94" s="449">
        <f t="shared" si="19"/>
        <v>0</v>
      </c>
      <c r="V94" s="449"/>
      <c r="W94" s="449">
        <f t="shared" si="23"/>
        <v>0</v>
      </c>
      <c r="X94" s="449"/>
      <c r="Y94" s="449"/>
      <c r="Z94" s="449"/>
      <c r="AA94" s="448"/>
      <c r="AB94" s="448" t="s">
        <v>463</v>
      </c>
      <c r="AC94" s="448">
        <v>810000</v>
      </c>
    </row>
    <row r="95" spans="1:29" ht="55.2">
      <c r="A95" s="448">
        <f t="shared" si="20"/>
        <v>91</v>
      </c>
      <c r="B95" s="448">
        <v>20074</v>
      </c>
      <c r="C95" s="448" t="s">
        <v>815</v>
      </c>
      <c r="D95" s="449">
        <v>1500000</v>
      </c>
      <c r="E95" s="449">
        <v>1500000</v>
      </c>
      <c r="F95" s="449">
        <f t="shared" si="13"/>
        <v>0</v>
      </c>
      <c r="G95" s="449">
        <v>700000</v>
      </c>
      <c r="H95" s="449">
        <v>0</v>
      </c>
      <c r="I95" s="449">
        <v>0</v>
      </c>
      <c r="J95" s="449">
        <v>0</v>
      </c>
      <c r="K95" s="449">
        <f t="shared" si="14"/>
        <v>0</v>
      </c>
      <c r="L95" s="449">
        <f t="shared" si="15"/>
        <v>0</v>
      </c>
      <c r="M95" s="449">
        <f>P95+S95</f>
        <v>0</v>
      </c>
      <c r="N95" s="449">
        <v>700000</v>
      </c>
      <c r="O95" s="449">
        <f t="shared" si="16"/>
        <v>800000</v>
      </c>
      <c r="P95" s="449">
        <f t="shared" si="17"/>
        <v>700000</v>
      </c>
      <c r="Q95" s="482"/>
      <c r="R95" s="449">
        <v>-700000</v>
      </c>
      <c r="S95" s="449">
        <f t="shared" si="12"/>
        <v>-700000</v>
      </c>
      <c r="T95" s="449">
        <f t="shared" si="18"/>
        <v>0</v>
      </c>
      <c r="U95" s="449">
        <f t="shared" si="19"/>
        <v>700000</v>
      </c>
      <c r="V95" s="449"/>
      <c r="W95" s="449">
        <f t="shared" si="23"/>
        <v>700000</v>
      </c>
      <c r="X95" s="449"/>
      <c r="Y95" s="449"/>
      <c r="Z95" s="449"/>
      <c r="AA95" s="448"/>
      <c r="AB95" s="448" t="s">
        <v>864</v>
      </c>
      <c r="AC95" s="448">
        <v>930000</v>
      </c>
    </row>
    <row r="96" spans="1:29" ht="45" customHeight="1">
      <c r="A96" s="448">
        <f t="shared" si="20"/>
        <v>92</v>
      </c>
      <c r="B96" s="448">
        <v>20086</v>
      </c>
      <c r="C96" s="448" t="s">
        <v>802</v>
      </c>
      <c r="D96" s="449">
        <v>60000</v>
      </c>
      <c r="E96" s="449">
        <v>60000</v>
      </c>
      <c r="F96" s="449">
        <f t="shared" si="13"/>
        <v>0</v>
      </c>
      <c r="G96" s="449">
        <v>60000</v>
      </c>
      <c r="H96" s="449">
        <v>0</v>
      </c>
      <c r="I96" s="449">
        <v>0</v>
      </c>
      <c r="J96" s="449">
        <v>0</v>
      </c>
      <c r="K96" s="449">
        <f t="shared" si="14"/>
        <v>0</v>
      </c>
      <c r="L96" s="449">
        <f t="shared" si="15"/>
        <v>0</v>
      </c>
      <c r="M96" s="449">
        <f>P96+S96-60000</f>
        <v>0</v>
      </c>
      <c r="N96" s="449">
        <v>60000</v>
      </c>
      <c r="O96" s="449">
        <f t="shared" si="16"/>
        <v>0</v>
      </c>
      <c r="P96" s="449">
        <f t="shared" si="17"/>
        <v>60000</v>
      </c>
      <c r="Q96" s="482"/>
      <c r="R96" s="449"/>
      <c r="S96" s="449">
        <f t="shared" si="12"/>
        <v>0</v>
      </c>
      <c r="T96" s="449">
        <f t="shared" si="18"/>
        <v>60000</v>
      </c>
      <c r="U96" s="449">
        <f t="shared" si="19"/>
        <v>0</v>
      </c>
      <c r="V96" s="449"/>
      <c r="W96" s="449">
        <f t="shared" si="23"/>
        <v>0</v>
      </c>
      <c r="X96" s="449"/>
      <c r="Y96" s="449"/>
      <c r="Z96" s="449"/>
      <c r="AA96" s="448"/>
      <c r="AB96" s="448" t="s">
        <v>950</v>
      </c>
      <c r="AC96" s="448">
        <v>810000</v>
      </c>
    </row>
    <row r="97" spans="1:58" ht="45" customHeight="1">
      <c r="A97" s="448">
        <f t="shared" si="20"/>
        <v>93</v>
      </c>
      <c r="B97" s="448">
        <v>20088</v>
      </c>
      <c r="C97" s="448" t="s">
        <v>935</v>
      </c>
      <c r="D97" s="449">
        <v>30000</v>
      </c>
      <c r="E97" s="449">
        <v>30000</v>
      </c>
      <c r="F97" s="449">
        <f t="shared" si="13"/>
        <v>0</v>
      </c>
      <c r="G97" s="449">
        <v>30000</v>
      </c>
      <c r="H97" s="449">
        <v>0</v>
      </c>
      <c r="I97" s="449">
        <v>0</v>
      </c>
      <c r="J97" s="449">
        <v>0</v>
      </c>
      <c r="K97" s="449">
        <f t="shared" si="14"/>
        <v>0</v>
      </c>
      <c r="L97" s="449">
        <f t="shared" si="15"/>
        <v>0</v>
      </c>
      <c r="M97" s="449">
        <f>P97+S97-30000</f>
        <v>0</v>
      </c>
      <c r="N97" s="449">
        <v>30000</v>
      </c>
      <c r="O97" s="449">
        <f t="shared" si="16"/>
        <v>0</v>
      </c>
      <c r="P97" s="449">
        <f t="shared" si="17"/>
        <v>30000</v>
      </c>
      <c r="Q97" s="482"/>
      <c r="R97" s="449"/>
      <c r="S97" s="449">
        <f t="shared" si="12"/>
        <v>0</v>
      </c>
      <c r="T97" s="449">
        <f t="shared" si="18"/>
        <v>30000</v>
      </c>
      <c r="U97" s="449">
        <f t="shared" si="19"/>
        <v>0</v>
      </c>
      <c r="V97" s="449"/>
      <c r="W97" s="449">
        <f t="shared" si="23"/>
        <v>0</v>
      </c>
      <c r="X97" s="449"/>
      <c r="Y97" s="449"/>
      <c r="Z97" s="449"/>
      <c r="AA97" s="448"/>
      <c r="AB97" s="448" t="s">
        <v>951</v>
      </c>
      <c r="AC97" s="448">
        <v>810000</v>
      </c>
    </row>
    <row r="98" spans="1:58" ht="55.2">
      <c r="A98" s="448">
        <f t="shared" si="20"/>
        <v>94</v>
      </c>
      <c r="B98" s="448">
        <v>20089</v>
      </c>
      <c r="C98" s="448" t="s">
        <v>936</v>
      </c>
      <c r="D98" s="449">
        <v>1500000</v>
      </c>
      <c r="E98" s="449">
        <v>1500000</v>
      </c>
      <c r="F98" s="449">
        <f t="shared" si="13"/>
        <v>0</v>
      </c>
      <c r="G98" s="449">
        <v>500000</v>
      </c>
      <c r="H98" s="449">
        <v>0</v>
      </c>
      <c r="I98" s="449">
        <v>0</v>
      </c>
      <c r="J98" s="449">
        <v>0</v>
      </c>
      <c r="K98" s="449">
        <f t="shared" si="14"/>
        <v>0</v>
      </c>
      <c r="L98" s="449">
        <f t="shared" si="15"/>
        <v>0</v>
      </c>
      <c r="M98" s="449">
        <f>P98+S98-500000</f>
        <v>0</v>
      </c>
      <c r="N98" s="449">
        <f>500000+500000</f>
        <v>1000000</v>
      </c>
      <c r="O98" s="449">
        <f t="shared" si="16"/>
        <v>500000</v>
      </c>
      <c r="P98" s="449">
        <f t="shared" si="17"/>
        <v>500000</v>
      </c>
      <c r="Q98" s="482"/>
      <c r="R98" s="449"/>
      <c r="S98" s="449">
        <f t="shared" si="12"/>
        <v>0</v>
      </c>
      <c r="T98" s="449">
        <f t="shared" si="18"/>
        <v>500000</v>
      </c>
      <c r="U98" s="449">
        <f t="shared" si="19"/>
        <v>500000</v>
      </c>
      <c r="V98" s="449"/>
      <c r="W98" s="449">
        <f t="shared" si="23"/>
        <v>0</v>
      </c>
      <c r="X98" s="449"/>
      <c r="Y98" s="449"/>
      <c r="Z98" s="449"/>
      <c r="AA98" s="449">
        <v>500000</v>
      </c>
      <c r="AB98" s="448" t="s">
        <v>952</v>
      </c>
      <c r="AC98" s="448">
        <v>848000</v>
      </c>
    </row>
    <row r="99" spans="1:58" s="485" customFormat="1" ht="45" customHeight="1">
      <c r="A99" s="448">
        <f t="shared" si="20"/>
        <v>95</v>
      </c>
      <c r="B99" s="448">
        <v>20091</v>
      </c>
      <c r="C99" s="448" t="s">
        <v>937</v>
      </c>
      <c r="D99" s="449">
        <f>500000+375000+325000</f>
        <v>1200000</v>
      </c>
      <c r="E99" s="449">
        <v>500000</v>
      </c>
      <c r="F99" s="449">
        <f t="shared" si="13"/>
        <v>700000</v>
      </c>
      <c r="G99" s="449">
        <v>500000</v>
      </c>
      <c r="H99" s="449">
        <v>224455</v>
      </c>
      <c r="I99" s="449">
        <v>0</v>
      </c>
      <c r="J99" s="449">
        <v>275533</v>
      </c>
      <c r="K99" s="449">
        <f t="shared" si="14"/>
        <v>275533</v>
      </c>
      <c r="L99" s="449">
        <f t="shared" si="15"/>
        <v>499988</v>
      </c>
      <c r="M99" s="449">
        <f>P99+S99</f>
        <v>12</v>
      </c>
      <c r="N99" s="449">
        <f>375000+325000-300000</f>
        <v>400000</v>
      </c>
      <c r="O99" s="449">
        <f t="shared" si="16"/>
        <v>300000</v>
      </c>
      <c r="P99" s="449">
        <f t="shared" si="17"/>
        <v>12</v>
      </c>
      <c r="Q99" s="490"/>
      <c r="R99" s="449"/>
      <c r="S99" s="449">
        <f t="shared" si="12"/>
        <v>0</v>
      </c>
      <c r="T99" s="449">
        <f t="shared" si="18"/>
        <v>0</v>
      </c>
      <c r="U99" s="449">
        <f t="shared" si="19"/>
        <v>400000</v>
      </c>
      <c r="V99" s="449"/>
      <c r="W99" s="449">
        <f t="shared" si="23"/>
        <v>400000</v>
      </c>
      <c r="X99" s="449"/>
      <c r="Y99" s="449"/>
      <c r="Z99" s="449"/>
      <c r="AA99" s="448"/>
      <c r="AB99" s="448" t="s">
        <v>953</v>
      </c>
      <c r="AC99" s="448">
        <v>870000</v>
      </c>
      <c r="AD99" s="756"/>
      <c r="AE99" s="756"/>
      <c r="AF99" s="756"/>
      <c r="AG99" s="756"/>
      <c r="AH99" s="756"/>
      <c r="AI99" s="756"/>
      <c r="AJ99" s="756"/>
      <c r="AK99" s="756"/>
      <c r="AL99" s="756"/>
      <c r="AM99" s="756"/>
      <c r="AN99" s="756"/>
      <c r="AO99" s="756"/>
      <c r="AP99" s="756"/>
      <c r="AQ99"/>
    </row>
    <row r="100" spans="1:58" ht="45" customHeight="1">
      <c r="A100" s="448">
        <f t="shared" si="20"/>
        <v>96</v>
      </c>
      <c r="B100" s="448">
        <v>20092</v>
      </c>
      <c r="C100" s="448" t="s">
        <v>938</v>
      </c>
      <c r="D100" s="449">
        <v>530000</v>
      </c>
      <c r="E100" s="449">
        <v>530000</v>
      </c>
      <c r="F100" s="449">
        <f t="shared" si="13"/>
        <v>0</v>
      </c>
      <c r="G100" s="449">
        <v>530000</v>
      </c>
      <c r="H100" s="449">
        <v>530000</v>
      </c>
      <c r="I100" s="449">
        <v>0</v>
      </c>
      <c r="J100" s="449"/>
      <c r="K100" s="449">
        <f t="shared" si="14"/>
        <v>0</v>
      </c>
      <c r="L100" s="449">
        <f t="shared" si="15"/>
        <v>530000</v>
      </c>
      <c r="M100" s="449">
        <f>P100+S100</f>
        <v>0</v>
      </c>
      <c r="N100" s="449"/>
      <c r="O100" s="449">
        <f t="shared" si="16"/>
        <v>0</v>
      </c>
      <c r="P100" s="449">
        <f t="shared" si="17"/>
        <v>0</v>
      </c>
      <c r="Q100" s="482"/>
      <c r="R100" s="449"/>
      <c r="S100" s="449">
        <f t="shared" si="12"/>
        <v>0</v>
      </c>
      <c r="T100" s="449">
        <f t="shared" si="18"/>
        <v>0</v>
      </c>
      <c r="U100" s="449">
        <f t="shared" si="19"/>
        <v>0</v>
      </c>
      <c r="V100" s="449"/>
      <c r="W100" s="449">
        <f t="shared" si="23"/>
        <v>0</v>
      </c>
      <c r="X100" s="449"/>
      <c r="Y100" s="449"/>
      <c r="Z100" s="449"/>
      <c r="AA100" s="448"/>
      <c r="AB100" s="448" t="s">
        <v>1452</v>
      </c>
      <c r="AC100" s="448">
        <v>930000</v>
      </c>
    </row>
    <row r="101" spans="1:58" ht="45" customHeight="1">
      <c r="A101" s="448">
        <f t="shared" si="20"/>
        <v>97</v>
      </c>
      <c r="B101" s="448">
        <v>20094</v>
      </c>
      <c r="C101" s="448" t="s">
        <v>939</v>
      </c>
      <c r="D101" s="449">
        <v>2090000</v>
      </c>
      <c r="E101" s="449">
        <v>2090000</v>
      </c>
      <c r="F101" s="449">
        <f t="shared" si="13"/>
        <v>0</v>
      </c>
      <c r="G101" s="449">
        <v>2090000</v>
      </c>
      <c r="H101" s="449">
        <v>1770879</v>
      </c>
      <c r="I101" s="449"/>
      <c r="J101" s="449">
        <v>319121</v>
      </c>
      <c r="K101" s="449">
        <f t="shared" si="14"/>
        <v>319121</v>
      </c>
      <c r="L101" s="449">
        <f t="shared" si="15"/>
        <v>2090000</v>
      </c>
      <c r="M101" s="449">
        <f>P101+S101</f>
        <v>0</v>
      </c>
      <c r="N101" s="449"/>
      <c r="O101" s="449">
        <f t="shared" si="16"/>
        <v>0</v>
      </c>
      <c r="P101" s="449">
        <f t="shared" si="17"/>
        <v>0</v>
      </c>
      <c r="Q101" s="482"/>
      <c r="R101" s="449"/>
      <c r="S101" s="449">
        <f t="shared" si="12"/>
        <v>0</v>
      </c>
      <c r="T101" s="449">
        <f t="shared" si="18"/>
        <v>0</v>
      </c>
      <c r="U101" s="449">
        <f t="shared" si="19"/>
        <v>0</v>
      </c>
      <c r="V101" s="449">
        <v>-523000</v>
      </c>
      <c r="W101" s="449">
        <f t="shared" si="23"/>
        <v>0</v>
      </c>
      <c r="X101" s="449"/>
      <c r="Y101" s="449"/>
      <c r="Z101" s="449"/>
      <c r="AA101" s="449">
        <v>523000</v>
      </c>
      <c r="AB101" s="448" t="s">
        <v>1396</v>
      </c>
      <c r="AC101" s="448">
        <v>829000</v>
      </c>
    </row>
    <row r="102" spans="1:58" ht="45" customHeight="1">
      <c r="A102" s="448">
        <f t="shared" si="20"/>
        <v>98</v>
      </c>
      <c r="B102" s="448">
        <v>20095</v>
      </c>
      <c r="C102" s="448" t="s">
        <v>940</v>
      </c>
      <c r="D102" s="449">
        <v>1000000</v>
      </c>
      <c r="E102" s="449">
        <v>1000000</v>
      </c>
      <c r="F102" s="449">
        <f t="shared" si="13"/>
        <v>0</v>
      </c>
      <c r="G102" s="449">
        <v>1000000</v>
      </c>
      <c r="H102" s="449">
        <v>299790</v>
      </c>
      <c r="I102" s="449">
        <v>0</v>
      </c>
      <c r="J102" s="449">
        <v>349994</v>
      </c>
      <c r="K102" s="449">
        <f t="shared" si="14"/>
        <v>349994</v>
      </c>
      <c r="L102" s="449">
        <f t="shared" si="15"/>
        <v>649784</v>
      </c>
      <c r="M102" s="449">
        <f>P102+S102-350000</f>
        <v>216</v>
      </c>
      <c r="N102" s="449">
        <v>350000</v>
      </c>
      <c r="O102" s="449">
        <f t="shared" si="16"/>
        <v>0</v>
      </c>
      <c r="P102" s="449">
        <f t="shared" si="17"/>
        <v>350216</v>
      </c>
      <c r="Q102" s="482"/>
      <c r="R102" s="449"/>
      <c r="S102" s="449">
        <f t="shared" si="12"/>
        <v>0</v>
      </c>
      <c r="T102" s="449">
        <f t="shared" si="18"/>
        <v>350000</v>
      </c>
      <c r="U102" s="449">
        <f t="shared" si="19"/>
        <v>0</v>
      </c>
      <c r="V102" s="449"/>
      <c r="W102" s="449">
        <f t="shared" si="23"/>
        <v>0</v>
      </c>
      <c r="X102" s="449"/>
      <c r="Y102" s="449"/>
      <c r="Z102" s="449"/>
      <c r="AA102" s="448"/>
      <c r="AB102" s="448" t="s">
        <v>954</v>
      </c>
      <c r="AC102" s="448">
        <v>930000</v>
      </c>
    </row>
    <row r="103" spans="1:58" ht="45" customHeight="1">
      <c r="A103" s="448">
        <f t="shared" si="20"/>
        <v>99</v>
      </c>
      <c r="B103" s="448">
        <v>20096</v>
      </c>
      <c r="C103" s="448" t="s">
        <v>941</v>
      </c>
      <c r="D103" s="449">
        <v>2050000</v>
      </c>
      <c r="E103" s="449">
        <v>2050000</v>
      </c>
      <c r="F103" s="449">
        <f t="shared" si="13"/>
        <v>0</v>
      </c>
      <c r="G103" s="449">
        <v>2050000</v>
      </c>
      <c r="H103" s="449">
        <v>1513333</v>
      </c>
      <c r="I103" s="449">
        <v>0</v>
      </c>
      <c r="J103" s="449">
        <f>22753+425922</f>
        <v>448675</v>
      </c>
      <c r="K103" s="449">
        <f t="shared" si="14"/>
        <v>448675</v>
      </c>
      <c r="L103" s="449">
        <f t="shared" si="15"/>
        <v>1962008</v>
      </c>
      <c r="M103" s="449">
        <f>P103+S103-85000</f>
        <v>2992</v>
      </c>
      <c r="N103" s="449">
        <f>80000+5000</f>
        <v>85000</v>
      </c>
      <c r="O103" s="449">
        <f t="shared" si="16"/>
        <v>0</v>
      </c>
      <c r="P103" s="449">
        <f t="shared" si="17"/>
        <v>87992</v>
      </c>
      <c r="Q103" s="482"/>
      <c r="R103" s="449"/>
      <c r="S103" s="449">
        <f t="shared" si="12"/>
        <v>0</v>
      </c>
      <c r="T103" s="449">
        <f t="shared" si="18"/>
        <v>85000</v>
      </c>
      <c r="U103" s="449">
        <f t="shared" si="19"/>
        <v>0</v>
      </c>
      <c r="V103" s="449"/>
      <c r="W103" s="449">
        <f t="shared" si="23"/>
        <v>0</v>
      </c>
      <c r="X103" s="449"/>
      <c r="Y103" s="449"/>
      <c r="Z103" s="449"/>
      <c r="AA103" s="448"/>
      <c r="AB103" s="448" t="s">
        <v>955</v>
      </c>
      <c r="AC103" s="448">
        <v>930000</v>
      </c>
    </row>
    <row r="104" spans="1:58" ht="45" customHeight="1">
      <c r="A104" s="448">
        <f t="shared" si="20"/>
        <v>100</v>
      </c>
      <c r="B104" s="448">
        <v>20100</v>
      </c>
      <c r="C104" s="448" t="s">
        <v>942</v>
      </c>
      <c r="D104" s="449">
        <f>2100000-90000</f>
        <v>2010000</v>
      </c>
      <c r="E104" s="449">
        <v>2100000</v>
      </c>
      <c r="F104" s="449">
        <f>D104-E104</f>
        <v>-90000</v>
      </c>
      <c r="G104" s="449">
        <v>2100000</v>
      </c>
      <c r="H104" s="449">
        <v>2242</v>
      </c>
      <c r="I104" s="449">
        <v>0</v>
      </c>
      <c r="J104" s="449">
        <v>1974255</v>
      </c>
      <c r="K104" s="449">
        <f>I104+J104</f>
        <v>1974255</v>
      </c>
      <c r="L104" s="449">
        <f>H104+K104</f>
        <v>1976497</v>
      </c>
      <c r="M104" s="449">
        <f>P104+S104-100000-20000</f>
        <v>3503</v>
      </c>
      <c r="N104" s="449">
        <f>100000+20000-90000</f>
        <v>30000</v>
      </c>
      <c r="O104" s="449">
        <f>D104-L104-M104-N104</f>
        <v>0</v>
      </c>
      <c r="P104" s="449">
        <f>G104-L104</f>
        <v>123503</v>
      </c>
      <c r="Q104" s="482"/>
      <c r="R104" s="449"/>
      <c r="S104" s="449">
        <f>SUM(Q104:R104)</f>
        <v>0</v>
      </c>
      <c r="T104" s="449">
        <f>P104-M104+S104</f>
        <v>120000</v>
      </c>
      <c r="U104" s="449">
        <f>N104-T104</f>
        <v>-90000</v>
      </c>
      <c r="V104" s="449">
        <v>-90000</v>
      </c>
      <c r="W104" s="449">
        <f t="shared" si="23"/>
        <v>0</v>
      </c>
      <c r="X104" s="449"/>
      <c r="Y104" s="449"/>
      <c r="Z104" s="449"/>
      <c r="AA104" s="448"/>
      <c r="AB104" s="448" t="s">
        <v>956</v>
      </c>
      <c r="AC104" s="448">
        <v>742000</v>
      </c>
    </row>
    <row r="105" spans="1:58" ht="45" customHeight="1">
      <c r="A105" s="448">
        <f t="shared" si="20"/>
        <v>101</v>
      </c>
      <c r="B105" s="448">
        <v>20104</v>
      </c>
      <c r="C105" s="448" t="s">
        <v>1531</v>
      </c>
      <c r="D105" s="449">
        <f>5000000+17000000+1200000</f>
        <v>23200000</v>
      </c>
      <c r="E105" s="449">
        <f>5000000+18200000</f>
        <v>23200000</v>
      </c>
      <c r="F105" s="449">
        <f t="shared" si="13"/>
        <v>0</v>
      </c>
      <c r="G105" s="449"/>
      <c r="H105" s="449">
        <v>0</v>
      </c>
      <c r="I105" s="449">
        <v>0</v>
      </c>
      <c r="J105" s="449">
        <v>60652</v>
      </c>
      <c r="K105" s="449">
        <f t="shared" si="14"/>
        <v>60652</v>
      </c>
      <c r="L105" s="449">
        <f t="shared" si="15"/>
        <v>60652</v>
      </c>
      <c r="M105" s="449">
        <f>P105+S105-4800000-100000-35000</f>
        <v>4348</v>
      </c>
      <c r="N105" s="449">
        <f>4800000+100000+18200000+35000</f>
        <v>23135000</v>
      </c>
      <c r="O105" s="449">
        <f t="shared" si="16"/>
        <v>0</v>
      </c>
      <c r="P105" s="449">
        <f t="shared" si="17"/>
        <v>-60652</v>
      </c>
      <c r="Q105" s="482"/>
      <c r="R105" s="449">
        <v>5000000</v>
      </c>
      <c r="S105" s="449">
        <f t="shared" si="12"/>
        <v>5000000</v>
      </c>
      <c r="T105" s="449">
        <f t="shared" si="18"/>
        <v>4935000</v>
      </c>
      <c r="U105" s="449">
        <f t="shared" si="19"/>
        <v>18200000</v>
      </c>
      <c r="V105" s="449"/>
      <c r="W105" s="449">
        <f t="shared" si="23"/>
        <v>-5000000</v>
      </c>
      <c r="X105" s="449"/>
      <c r="Y105" s="449">
        <f>5000000+18200000</f>
        <v>23200000</v>
      </c>
      <c r="Z105" s="449"/>
      <c r="AA105" s="448"/>
      <c r="AB105" s="448" t="s">
        <v>1397</v>
      </c>
      <c r="AC105" s="448">
        <v>720000</v>
      </c>
    </row>
    <row r="106" spans="1:58" s="452" customFormat="1" ht="69">
      <c r="A106" s="448">
        <f t="shared" si="20"/>
        <v>102</v>
      </c>
      <c r="B106" s="448">
        <v>20115</v>
      </c>
      <c r="C106" s="135" t="s">
        <v>1456</v>
      </c>
      <c r="D106" s="120">
        <f>3830000+170000</f>
        <v>4000000</v>
      </c>
      <c r="E106" s="120"/>
      <c r="F106" s="120">
        <f t="shared" si="13"/>
        <v>4000000</v>
      </c>
      <c r="G106" s="120">
        <v>0</v>
      </c>
      <c r="H106" s="120"/>
      <c r="I106" s="120"/>
      <c r="J106" s="120"/>
      <c r="K106" s="120">
        <f t="shared" si="14"/>
        <v>0</v>
      </c>
      <c r="L106" s="120">
        <f t="shared" si="15"/>
        <v>0</v>
      </c>
      <c r="M106" s="120">
        <f t="shared" ref="M106" si="24">P106+S106</f>
        <v>0</v>
      </c>
      <c r="N106" s="120">
        <v>4000000</v>
      </c>
      <c r="O106" s="120">
        <f t="shared" si="16"/>
        <v>0</v>
      </c>
      <c r="P106" s="120">
        <f t="shared" si="17"/>
        <v>0</v>
      </c>
      <c r="Q106" s="120"/>
      <c r="R106" s="120"/>
      <c r="S106" s="120">
        <f t="shared" ref="S106" si="25">SUM(Q106:R106)</f>
        <v>0</v>
      </c>
      <c r="T106" s="120">
        <f t="shared" si="18"/>
        <v>0</v>
      </c>
      <c r="U106" s="449">
        <f t="shared" si="19"/>
        <v>4000000</v>
      </c>
      <c r="V106" s="120"/>
      <c r="W106" s="449">
        <f t="shared" ref="W106" si="26">U106-AA106-V106-Y106</f>
        <v>4000000</v>
      </c>
      <c r="X106" s="120"/>
      <c r="Y106" s="120"/>
      <c r="Z106" s="120"/>
      <c r="AA106" s="120"/>
      <c r="AB106" s="448" t="s">
        <v>1457</v>
      </c>
      <c r="AC106" s="448">
        <v>742000</v>
      </c>
      <c r="AD106" s="756"/>
      <c r="AE106" s="756"/>
      <c r="AF106" s="756"/>
      <c r="AG106" s="756"/>
      <c r="AH106" s="756"/>
      <c r="AI106" s="756"/>
      <c r="AJ106" s="756"/>
      <c r="AK106" s="756"/>
      <c r="AL106" s="756"/>
      <c r="AM106" s="756"/>
      <c r="AN106" s="756"/>
      <c r="AO106" s="756"/>
      <c r="AP106" s="756"/>
      <c r="AQ106" s="315"/>
      <c r="AR106" s="465"/>
      <c r="AS106" s="465"/>
      <c r="AT106" s="465"/>
      <c r="AU106" s="465"/>
      <c r="AV106" s="465"/>
      <c r="AW106" s="465"/>
      <c r="AX106" s="272"/>
      <c r="AY106" s="272"/>
      <c r="AZ106" s="272"/>
      <c r="BA106" s="272"/>
      <c r="BB106" s="272"/>
      <c r="BC106" s="272"/>
      <c r="BD106" s="272"/>
      <c r="BE106" s="272"/>
      <c r="BF106" s="272"/>
    </row>
    <row r="107" spans="1:58" s="452" customFormat="1" ht="69">
      <c r="A107" s="448">
        <f t="shared" si="20"/>
        <v>103</v>
      </c>
      <c r="B107" s="448">
        <v>20116</v>
      </c>
      <c r="C107" s="135" t="s">
        <v>986</v>
      </c>
      <c r="D107" s="120">
        <f>5450000+825000-875000</f>
        <v>5400000</v>
      </c>
      <c r="E107" s="120"/>
      <c r="F107" s="120">
        <f t="shared" ref="F107:F113" si="27">D107-E107</f>
        <v>5400000</v>
      </c>
      <c r="G107" s="120">
        <v>0</v>
      </c>
      <c r="H107" s="120"/>
      <c r="I107" s="120"/>
      <c r="J107" s="120"/>
      <c r="K107" s="120">
        <f t="shared" ref="K107:K113" si="28">I107+J107</f>
        <v>0</v>
      </c>
      <c r="L107" s="120">
        <f t="shared" ref="L107:L113" si="29">H107+K107</f>
        <v>0</v>
      </c>
      <c r="M107" s="120">
        <f t="shared" ref="M107:M113" si="30">P107+S107</f>
        <v>0</v>
      </c>
      <c r="N107" s="120">
        <f>6275000-875000-3400000-1000000</f>
        <v>1000000</v>
      </c>
      <c r="O107" s="120">
        <f t="shared" ref="O107:O113" si="31">D107-L107-M107-N107</f>
        <v>4400000</v>
      </c>
      <c r="P107" s="120">
        <f t="shared" ref="P107:P113" si="32">G107-L107</f>
        <v>0</v>
      </c>
      <c r="Q107" s="120"/>
      <c r="R107" s="120"/>
      <c r="S107" s="120">
        <f t="shared" ref="S107:S113" si="33">SUM(Q107:R107)</f>
        <v>0</v>
      </c>
      <c r="T107" s="120">
        <f t="shared" ref="T107:T113" si="34">P107-M107+S107</f>
        <v>0</v>
      </c>
      <c r="U107" s="449">
        <f t="shared" ref="U107:U113" si="35">N107-T107</f>
        <v>1000000</v>
      </c>
      <c r="V107" s="120">
        <v>1000000</v>
      </c>
      <c r="W107" s="449">
        <f t="shared" si="23"/>
        <v>0</v>
      </c>
      <c r="X107" s="120"/>
      <c r="Y107" s="120"/>
      <c r="Z107" s="120"/>
      <c r="AA107" s="120"/>
      <c r="AB107" s="448" t="s">
        <v>1348</v>
      </c>
      <c r="AC107" s="448">
        <v>742000</v>
      </c>
      <c r="AD107" s="756"/>
      <c r="AE107" s="756"/>
      <c r="AF107" s="756"/>
      <c r="AG107" s="756"/>
      <c r="AH107" s="756"/>
      <c r="AI107" s="756"/>
      <c r="AJ107" s="756"/>
      <c r="AK107" s="756"/>
      <c r="AL107" s="756"/>
      <c r="AM107" s="756"/>
      <c r="AN107" s="756"/>
      <c r="AO107" s="756"/>
      <c r="AP107" s="756"/>
      <c r="AQ107"/>
      <c r="AR107" s="465"/>
      <c r="AS107" s="465"/>
      <c r="AT107" s="465"/>
      <c r="AU107" s="465"/>
      <c r="AV107" s="465"/>
      <c r="AW107" s="465"/>
      <c r="AX107" s="272"/>
      <c r="AY107" s="272"/>
      <c r="AZ107" s="272"/>
      <c r="BA107" s="272"/>
      <c r="BB107" s="272"/>
      <c r="BC107" s="272"/>
      <c r="BD107" s="272"/>
      <c r="BE107" s="272"/>
      <c r="BF107" s="272"/>
    </row>
    <row r="108" spans="1:58" s="452" customFormat="1" ht="45" customHeight="1">
      <c r="A108" s="448">
        <f t="shared" si="20"/>
        <v>104</v>
      </c>
      <c r="B108" s="448">
        <v>20117</v>
      </c>
      <c r="C108" s="135" t="s">
        <v>1310</v>
      </c>
      <c r="D108" s="120">
        <v>1600000</v>
      </c>
      <c r="E108" s="120"/>
      <c r="F108" s="120">
        <f t="shared" si="27"/>
        <v>1600000</v>
      </c>
      <c r="G108" s="120">
        <v>0</v>
      </c>
      <c r="H108" s="120"/>
      <c r="I108" s="120"/>
      <c r="J108" s="120"/>
      <c r="K108" s="120">
        <f t="shared" si="28"/>
        <v>0</v>
      </c>
      <c r="L108" s="120">
        <f t="shared" si="29"/>
        <v>0</v>
      </c>
      <c r="M108" s="120">
        <f t="shared" si="30"/>
        <v>0</v>
      </c>
      <c r="N108" s="120">
        <f>1600000-400000</f>
        <v>1200000</v>
      </c>
      <c r="O108" s="120">
        <f t="shared" si="31"/>
        <v>400000</v>
      </c>
      <c r="P108" s="120">
        <f t="shared" si="32"/>
        <v>0</v>
      </c>
      <c r="Q108" s="120"/>
      <c r="R108" s="120"/>
      <c r="S108" s="120">
        <f t="shared" si="33"/>
        <v>0</v>
      </c>
      <c r="T108" s="120">
        <f t="shared" si="34"/>
        <v>0</v>
      </c>
      <c r="U108" s="449">
        <f t="shared" si="35"/>
        <v>1200000</v>
      </c>
      <c r="V108" s="120">
        <v>1200000</v>
      </c>
      <c r="W108" s="449">
        <f t="shared" si="23"/>
        <v>0</v>
      </c>
      <c r="X108" s="120"/>
      <c r="Y108" s="120"/>
      <c r="Z108" s="120"/>
      <c r="AA108" s="120"/>
      <c r="AB108" s="448" t="s">
        <v>1311</v>
      </c>
      <c r="AC108" s="448">
        <v>743000</v>
      </c>
      <c r="AD108" s="756"/>
      <c r="AE108" s="756"/>
      <c r="AF108" s="756"/>
      <c r="AG108" s="756"/>
      <c r="AH108" s="756"/>
      <c r="AI108" s="756"/>
      <c r="AJ108" s="756"/>
      <c r="AK108" s="756"/>
      <c r="AL108" s="756"/>
      <c r="AM108" s="756"/>
      <c r="AN108" s="756"/>
      <c r="AO108" s="756"/>
      <c r="AP108" s="756"/>
      <c r="AQ108"/>
      <c r="AR108" s="465"/>
      <c r="AS108" s="465"/>
      <c r="AT108" s="465"/>
      <c r="AU108" s="465"/>
      <c r="AV108" s="465"/>
      <c r="AW108" s="465"/>
      <c r="AX108" s="272"/>
      <c r="AY108" s="272"/>
      <c r="AZ108" s="272"/>
      <c r="BA108" s="272"/>
      <c r="BB108" s="272"/>
      <c r="BC108" s="272"/>
      <c r="BD108" s="272"/>
      <c r="BE108" s="272"/>
      <c r="BF108" s="272"/>
    </row>
    <row r="109" spans="1:58" s="452" customFormat="1" ht="45" customHeight="1">
      <c r="A109" s="448">
        <f t="shared" si="20"/>
        <v>105</v>
      </c>
      <c r="B109" s="448">
        <v>20118</v>
      </c>
      <c r="C109" s="135" t="s">
        <v>987</v>
      </c>
      <c r="D109" s="120">
        <v>50000</v>
      </c>
      <c r="E109" s="120"/>
      <c r="F109" s="120">
        <f t="shared" si="27"/>
        <v>50000</v>
      </c>
      <c r="G109" s="120">
        <v>0</v>
      </c>
      <c r="H109" s="120"/>
      <c r="I109" s="120"/>
      <c r="J109" s="120"/>
      <c r="K109" s="120">
        <f t="shared" si="28"/>
        <v>0</v>
      </c>
      <c r="L109" s="120">
        <f t="shared" si="29"/>
        <v>0</v>
      </c>
      <c r="M109" s="120">
        <f t="shared" si="30"/>
        <v>0</v>
      </c>
      <c r="N109" s="120">
        <v>50000</v>
      </c>
      <c r="O109" s="120">
        <f t="shared" si="31"/>
        <v>0</v>
      </c>
      <c r="P109" s="120">
        <f t="shared" si="32"/>
        <v>0</v>
      </c>
      <c r="Q109" s="120"/>
      <c r="R109" s="120"/>
      <c r="S109" s="120">
        <f t="shared" si="33"/>
        <v>0</v>
      </c>
      <c r="T109" s="120">
        <f t="shared" si="34"/>
        <v>0</v>
      </c>
      <c r="U109" s="449">
        <f t="shared" si="35"/>
        <v>50000</v>
      </c>
      <c r="V109" s="120"/>
      <c r="W109" s="449">
        <f t="shared" si="23"/>
        <v>0</v>
      </c>
      <c r="X109" s="120"/>
      <c r="Y109" s="120"/>
      <c r="Z109" s="120"/>
      <c r="AA109" s="120">
        <v>50000</v>
      </c>
      <c r="AB109" s="448" t="s">
        <v>461</v>
      </c>
      <c r="AC109" s="448">
        <v>747000</v>
      </c>
      <c r="AD109" s="756"/>
      <c r="AE109" s="756"/>
      <c r="AF109" s="756"/>
      <c r="AG109" s="756"/>
      <c r="AH109" s="756"/>
      <c r="AI109" s="756"/>
      <c r="AJ109" s="756"/>
      <c r="AK109" s="756"/>
      <c r="AL109" s="756"/>
      <c r="AM109" s="756"/>
      <c r="AN109" s="756"/>
      <c r="AO109" s="756"/>
      <c r="AP109" s="756"/>
      <c r="AQ109"/>
      <c r="AR109" s="465"/>
      <c r="AS109" s="465"/>
      <c r="AT109" s="465"/>
      <c r="AU109" s="465"/>
      <c r="AV109" s="465"/>
      <c r="AW109" s="465"/>
      <c r="AX109" s="272"/>
      <c r="AY109" s="272"/>
      <c r="AZ109" s="272"/>
      <c r="BA109" s="272"/>
      <c r="BB109" s="272"/>
      <c r="BC109" s="272"/>
      <c r="BD109" s="272"/>
      <c r="BE109" s="272"/>
      <c r="BF109" s="272"/>
    </row>
    <row r="110" spans="1:58" s="452" customFormat="1" ht="45" customHeight="1">
      <c r="A110" s="448">
        <f t="shared" si="20"/>
        <v>106</v>
      </c>
      <c r="B110" s="448">
        <v>20119</v>
      </c>
      <c r="C110" s="135" t="s">
        <v>988</v>
      </c>
      <c r="D110" s="120">
        <v>152000</v>
      </c>
      <c r="E110" s="120"/>
      <c r="F110" s="120">
        <f t="shared" si="27"/>
        <v>152000</v>
      </c>
      <c r="G110" s="120">
        <v>0</v>
      </c>
      <c r="H110" s="120"/>
      <c r="I110" s="120"/>
      <c r="J110" s="120"/>
      <c r="K110" s="120">
        <f t="shared" si="28"/>
        <v>0</v>
      </c>
      <c r="L110" s="120">
        <f t="shared" si="29"/>
        <v>0</v>
      </c>
      <c r="M110" s="120">
        <f t="shared" si="30"/>
        <v>0</v>
      </c>
      <c r="N110" s="120">
        <v>152000</v>
      </c>
      <c r="O110" s="120">
        <f t="shared" si="31"/>
        <v>0</v>
      </c>
      <c r="P110" s="120">
        <f t="shared" si="32"/>
        <v>0</v>
      </c>
      <c r="Q110" s="120"/>
      <c r="R110" s="120"/>
      <c r="S110" s="120">
        <f t="shared" si="33"/>
        <v>0</v>
      </c>
      <c r="T110" s="120">
        <f t="shared" si="34"/>
        <v>0</v>
      </c>
      <c r="U110" s="449">
        <f t="shared" si="35"/>
        <v>152000</v>
      </c>
      <c r="V110" s="120"/>
      <c r="W110" s="449">
        <f t="shared" si="23"/>
        <v>0</v>
      </c>
      <c r="X110" s="120"/>
      <c r="Y110" s="120"/>
      <c r="Z110" s="120"/>
      <c r="AA110" s="120">
        <v>152000</v>
      </c>
      <c r="AB110" s="448" t="s">
        <v>461</v>
      </c>
      <c r="AC110" s="448">
        <v>747000</v>
      </c>
      <c r="AD110" s="756"/>
      <c r="AE110" s="756"/>
      <c r="AF110" s="756"/>
      <c r="AG110" s="756"/>
      <c r="AH110" s="756"/>
      <c r="AI110" s="756"/>
      <c r="AJ110" s="756"/>
      <c r="AK110" s="756"/>
      <c r="AL110" s="756"/>
      <c r="AM110" s="756"/>
      <c r="AN110" s="756"/>
      <c r="AO110" s="756"/>
      <c r="AP110" s="756"/>
      <c r="AQ110"/>
      <c r="AR110" s="465"/>
      <c r="AS110" s="465"/>
      <c r="AT110" s="465"/>
      <c r="AU110" s="465"/>
      <c r="AV110" s="465"/>
      <c r="AW110" s="465"/>
      <c r="AX110" s="272"/>
      <c r="AY110" s="272"/>
      <c r="AZ110" s="272"/>
      <c r="BA110" s="272"/>
      <c r="BB110" s="272"/>
      <c r="BC110" s="272"/>
      <c r="BD110" s="272"/>
      <c r="BE110" s="272"/>
      <c r="BF110" s="272"/>
    </row>
    <row r="111" spans="1:58" s="452" customFormat="1" ht="45" customHeight="1">
      <c r="A111" s="448">
        <f t="shared" si="20"/>
        <v>107</v>
      </c>
      <c r="B111" s="448">
        <v>20120</v>
      </c>
      <c r="C111" s="135" t="s">
        <v>1498</v>
      </c>
      <c r="D111" s="120">
        <v>263395</v>
      </c>
      <c r="E111" s="120"/>
      <c r="F111" s="120">
        <f t="shared" si="27"/>
        <v>263395</v>
      </c>
      <c r="G111" s="120">
        <v>0</v>
      </c>
      <c r="H111" s="120"/>
      <c r="I111" s="120"/>
      <c r="J111" s="120"/>
      <c r="K111" s="120">
        <f t="shared" si="28"/>
        <v>0</v>
      </c>
      <c r="L111" s="120">
        <f t="shared" si="29"/>
        <v>0</v>
      </c>
      <c r="M111" s="120">
        <f t="shared" si="30"/>
        <v>0</v>
      </c>
      <c r="N111" s="120">
        <v>263395</v>
      </c>
      <c r="O111" s="120">
        <f t="shared" si="31"/>
        <v>0</v>
      </c>
      <c r="P111" s="120">
        <f t="shared" si="32"/>
        <v>0</v>
      </c>
      <c r="Q111" s="120"/>
      <c r="R111" s="120"/>
      <c r="S111" s="120">
        <f t="shared" si="33"/>
        <v>0</v>
      </c>
      <c r="T111" s="120">
        <f t="shared" si="34"/>
        <v>0</v>
      </c>
      <c r="U111" s="449">
        <f t="shared" si="35"/>
        <v>263395</v>
      </c>
      <c r="V111" s="120"/>
      <c r="W111" s="449">
        <f t="shared" si="23"/>
        <v>0</v>
      </c>
      <c r="X111" s="120"/>
      <c r="Y111" s="120"/>
      <c r="Z111" s="120"/>
      <c r="AA111" s="120">
        <v>263395</v>
      </c>
      <c r="AB111" s="448" t="s">
        <v>461</v>
      </c>
      <c r="AC111" s="448">
        <v>747000</v>
      </c>
      <c r="AD111" s="756"/>
      <c r="AE111" s="756"/>
      <c r="AF111" s="756"/>
      <c r="AG111" s="756"/>
      <c r="AH111" s="756"/>
      <c r="AI111" s="756"/>
      <c r="AJ111" s="756"/>
      <c r="AK111" s="756"/>
      <c r="AL111" s="756"/>
      <c r="AM111" s="756"/>
      <c r="AN111" s="756"/>
      <c r="AO111" s="756"/>
      <c r="AP111" s="756"/>
      <c r="AQ111"/>
      <c r="AR111" s="465"/>
      <c r="AS111" s="465"/>
      <c r="AT111" s="465"/>
      <c r="AU111" s="465"/>
      <c r="AV111" s="465"/>
      <c r="AW111" s="465"/>
      <c r="AX111" s="272"/>
      <c r="AY111" s="272"/>
      <c r="AZ111" s="272"/>
      <c r="BA111" s="272"/>
      <c r="BB111" s="272"/>
      <c r="BC111" s="272"/>
      <c r="BD111" s="272"/>
      <c r="BE111" s="272"/>
      <c r="BF111" s="272"/>
    </row>
    <row r="112" spans="1:58" s="452" customFormat="1" ht="45" customHeight="1">
      <c r="A112" s="448">
        <f t="shared" si="20"/>
        <v>108</v>
      </c>
      <c r="B112" s="448">
        <v>20121</v>
      </c>
      <c r="C112" s="135" t="s">
        <v>984</v>
      </c>
      <c r="D112" s="120">
        <f>1800000-100000</f>
        <v>1700000</v>
      </c>
      <c r="E112" s="120"/>
      <c r="F112" s="120">
        <f t="shared" si="27"/>
        <v>1700000</v>
      </c>
      <c r="G112" s="120">
        <v>0</v>
      </c>
      <c r="H112" s="120"/>
      <c r="I112" s="120"/>
      <c r="J112" s="120"/>
      <c r="K112" s="120">
        <f t="shared" si="28"/>
        <v>0</v>
      </c>
      <c r="L112" s="120">
        <f t="shared" si="29"/>
        <v>0</v>
      </c>
      <c r="M112" s="120">
        <f t="shared" si="30"/>
        <v>0</v>
      </c>
      <c r="N112" s="120">
        <f>1800000-100000-1200000</f>
        <v>500000</v>
      </c>
      <c r="O112" s="120">
        <f t="shared" si="31"/>
        <v>1200000</v>
      </c>
      <c r="P112" s="120">
        <f t="shared" si="32"/>
        <v>0</v>
      </c>
      <c r="Q112" s="120"/>
      <c r="R112" s="120"/>
      <c r="S112" s="120">
        <f t="shared" si="33"/>
        <v>0</v>
      </c>
      <c r="T112" s="120">
        <f t="shared" si="34"/>
        <v>0</v>
      </c>
      <c r="U112" s="449">
        <f t="shared" si="35"/>
        <v>500000</v>
      </c>
      <c r="V112" s="120">
        <v>500000</v>
      </c>
      <c r="W112" s="449">
        <f t="shared" si="23"/>
        <v>0</v>
      </c>
      <c r="X112" s="120"/>
      <c r="Y112" s="120"/>
      <c r="Z112" s="120"/>
      <c r="AA112" s="120"/>
      <c r="AB112" s="448" t="s">
        <v>985</v>
      </c>
      <c r="AC112" s="448">
        <v>743000</v>
      </c>
      <c r="AD112" s="756"/>
      <c r="AE112" s="756"/>
      <c r="AF112" s="756"/>
      <c r="AG112" s="756"/>
      <c r="AH112" s="756"/>
      <c r="AI112" s="756"/>
      <c r="AJ112" s="756"/>
      <c r="AK112" s="756"/>
      <c r="AL112" s="756"/>
      <c r="AM112" s="756"/>
      <c r="AN112" s="756"/>
      <c r="AO112" s="756"/>
      <c r="AP112" s="756"/>
      <c r="AQ112"/>
      <c r="AR112" s="465"/>
      <c r="AS112" s="465"/>
      <c r="AT112" s="465"/>
      <c r="AU112" s="465"/>
      <c r="AV112" s="465"/>
      <c r="AW112" s="465"/>
      <c r="AX112" s="272"/>
      <c r="AY112" s="272"/>
      <c r="AZ112" s="272"/>
      <c r="BA112" s="272"/>
      <c r="BB112" s="272"/>
      <c r="BC112" s="272"/>
      <c r="BD112" s="272"/>
      <c r="BE112" s="272"/>
      <c r="BF112" s="272"/>
    </row>
    <row r="113" spans="1:58" s="452" customFormat="1" ht="45" customHeight="1">
      <c r="A113" s="448">
        <f t="shared" si="20"/>
        <v>109</v>
      </c>
      <c r="B113" s="448">
        <v>20122</v>
      </c>
      <c r="C113" s="135" t="s">
        <v>1347</v>
      </c>
      <c r="D113" s="120">
        <f>850000-250000</f>
        <v>600000</v>
      </c>
      <c r="E113" s="120"/>
      <c r="F113" s="120">
        <f t="shared" si="27"/>
        <v>600000</v>
      </c>
      <c r="G113" s="120">
        <v>0</v>
      </c>
      <c r="H113" s="120"/>
      <c r="I113" s="120"/>
      <c r="J113" s="120"/>
      <c r="K113" s="120">
        <f t="shared" si="28"/>
        <v>0</v>
      </c>
      <c r="L113" s="120">
        <f t="shared" si="29"/>
        <v>0</v>
      </c>
      <c r="M113" s="120">
        <f t="shared" si="30"/>
        <v>0</v>
      </c>
      <c r="N113" s="120">
        <f>850000-250000</f>
        <v>600000</v>
      </c>
      <c r="O113" s="120">
        <f t="shared" si="31"/>
        <v>0</v>
      </c>
      <c r="P113" s="120">
        <f t="shared" si="32"/>
        <v>0</v>
      </c>
      <c r="Q113" s="120"/>
      <c r="R113" s="120"/>
      <c r="S113" s="120">
        <f t="shared" si="33"/>
        <v>0</v>
      </c>
      <c r="T113" s="120">
        <f t="shared" si="34"/>
        <v>0</v>
      </c>
      <c r="U113" s="449">
        <f t="shared" si="35"/>
        <v>600000</v>
      </c>
      <c r="V113" s="120"/>
      <c r="W113" s="449">
        <f t="shared" si="23"/>
        <v>600000</v>
      </c>
      <c r="X113" s="120"/>
      <c r="Y113" s="120"/>
      <c r="Z113" s="120"/>
      <c r="AA113" s="120"/>
      <c r="AB113" s="448" t="s">
        <v>1365</v>
      </c>
      <c r="AC113" s="448">
        <v>826000</v>
      </c>
      <c r="AD113" s="756"/>
      <c r="AE113" s="756"/>
      <c r="AF113" s="756"/>
      <c r="AG113" s="756"/>
      <c r="AH113" s="756"/>
      <c r="AI113" s="756"/>
      <c r="AJ113" s="756"/>
      <c r="AK113" s="756"/>
      <c r="AL113" s="756"/>
      <c r="AM113" s="756"/>
      <c r="AN113" s="756"/>
      <c r="AO113" s="756"/>
      <c r="AP113" s="756"/>
      <c r="AQ113"/>
      <c r="AR113" s="465"/>
      <c r="AS113" s="465"/>
      <c r="AT113" s="465"/>
      <c r="AU113" s="465"/>
      <c r="AV113" s="465"/>
      <c r="AW113" s="465"/>
      <c r="AX113" s="272"/>
      <c r="AY113" s="272"/>
      <c r="AZ113" s="272"/>
      <c r="BA113" s="272"/>
      <c r="BB113" s="272"/>
      <c r="BC113" s="272"/>
      <c r="BD113" s="272"/>
      <c r="BE113" s="272"/>
      <c r="BF113" s="272"/>
    </row>
    <row r="114" spans="1:58" s="452" customFormat="1" ht="45" customHeight="1">
      <c r="A114" s="448">
        <f t="shared" si="20"/>
        <v>110</v>
      </c>
      <c r="B114" s="448">
        <v>20123</v>
      </c>
      <c r="C114" s="135" t="s">
        <v>1358</v>
      </c>
      <c r="D114" s="120">
        <f>600000-250000</f>
        <v>350000</v>
      </c>
      <c r="E114" s="120"/>
      <c r="F114" s="120">
        <f>D114-E114</f>
        <v>350000</v>
      </c>
      <c r="G114" s="120">
        <v>0</v>
      </c>
      <c r="H114" s="120"/>
      <c r="I114" s="120"/>
      <c r="J114" s="120"/>
      <c r="K114" s="120">
        <f>I114+J114</f>
        <v>0</v>
      </c>
      <c r="L114" s="120">
        <f>H114+K114</f>
        <v>0</v>
      </c>
      <c r="M114" s="120">
        <f>P114+S114</f>
        <v>0</v>
      </c>
      <c r="N114" s="120">
        <f>600000-250000</f>
        <v>350000</v>
      </c>
      <c r="O114" s="120">
        <f>D114-L114-M114-N114</f>
        <v>0</v>
      </c>
      <c r="P114" s="120">
        <f>G114-L114</f>
        <v>0</v>
      </c>
      <c r="Q114" s="120"/>
      <c r="R114" s="120"/>
      <c r="S114" s="120">
        <f>SUM(Q114:R114)</f>
        <v>0</v>
      </c>
      <c r="T114" s="120">
        <f>P114-M114+S114</f>
        <v>0</v>
      </c>
      <c r="U114" s="449">
        <f>N114-T114</f>
        <v>350000</v>
      </c>
      <c r="V114" s="120"/>
      <c r="W114" s="449">
        <f t="shared" si="23"/>
        <v>350000</v>
      </c>
      <c r="X114" s="120"/>
      <c r="Y114" s="120"/>
      <c r="Z114" s="120"/>
      <c r="AA114" s="120"/>
      <c r="AB114" s="448" t="s">
        <v>1497</v>
      </c>
      <c r="AC114" s="448">
        <v>930000</v>
      </c>
      <c r="AD114" s="756"/>
      <c r="AE114" s="756"/>
      <c r="AF114" s="756"/>
      <c r="AG114" s="756"/>
      <c r="AH114" s="756"/>
      <c r="AI114" s="756"/>
      <c r="AJ114" s="756"/>
      <c r="AK114" s="756"/>
      <c r="AL114" s="756"/>
      <c r="AM114" s="756"/>
      <c r="AN114" s="756"/>
      <c r="AO114" s="756"/>
      <c r="AP114" s="756"/>
      <c r="AQ114"/>
      <c r="AR114" s="465"/>
      <c r="AS114" s="465"/>
      <c r="AT114" s="465"/>
      <c r="AU114" s="465"/>
      <c r="AV114" s="465"/>
      <c r="AW114" s="465"/>
      <c r="AX114" s="272"/>
      <c r="AY114" s="272"/>
      <c r="AZ114" s="272"/>
      <c r="BA114" s="272"/>
      <c r="BB114" s="272"/>
      <c r="BC114" s="272"/>
      <c r="BD114" s="272"/>
      <c r="BE114" s="272"/>
      <c r="BF114" s="272"/>
    </row>
    <row r="115" spans="1:58" s="473" customFormat="1" ht="45" customHeight="1">
      <c r="A115" s="249">
        <f>COUNT(A5:A114)</f>
        <v>110</v>
      </c>
      <c r="B115" s="454"/>
      <c r="C115" s="219" t="s">
        <v>668</v>
      </c>
      <c r="D115" s="249">
        <f t="shared" ref="D115:AB115" si="36">SUM(D5:D114)</f>
        <v>940096894</v>
      </c>
      <c r="E115" s="249">
        <f t="shared" si="36"/>
        <v>823808906</v>
      </c>
      <c r="F115" s="249">
        <f t="shared" si="36"/>
        <v>116287988</v>
      </c>
      <c r="G115" s="249">
        <f t="shared" si="36"/>
        <v>659925203</v>
      </c>
      <c r="H115" s="249">
        <f t="shared" si="36"/>
        <v>596264862</v>
      </c>
      <c r="I115" s="249">
        <f t="shared" si="36"/>
        <v>4044440</v>
      </c>
      <c r="J115" s="249">
        <f t="shared" si="36"/>
        <v>33517082</v>
      </c>
      <c r="K115" s="249">
        <f t="shared" si="36"/>
        <v>37561522</v>
      </c>
      <c r="L115" s="249">
        <f t="shared" si="36"/>
        <v>633826384</v>
      </c>
      <c r="M115" s="249">
        <f t="shared" si="36"/>
        <v>295768</v>
      </c>
      <c r="N115" s="249">
        <f t="shared" si="36"/>
        <v>103786594</v>
      </c>
      <c r="O115" s="249">
        <f t="shared" si="36"/>
        <v>202188148</v>
      </c>
      <c r="P115" s="249">
        <f t="shared" si="36"/>
        <v>26098819</v>
      </c>
      <c r="Q115" s="249">
        <f t="shared" si="36"/>
        <v>700000</v>
      </c>
      <c r="R115" s="249">
        <f t="shared" si="36"/>
        <v>10200000</v>
      </c>
      <c r="S115" s="249">
        <f t="shared" si="36"/>
        <v>10900000</v>
      </c>
      <c r="T115" s="249">
        <f t="shared" si="36"/>
        <v>36703051</v>
      </c>
      <c r="U115" s="249">
        <f t="shared" si="36"/>
        <v>67083543</v>
      </c>
      <c r="V115" s="249">
        <f t="shared" si="36"/>
        <v>8775568</v>
      </c>
      <c r="W115" s="249">
        <f t="shared" si="36"/>
        <v>22573844</v>
      </c>
      <c r="X115" s="249">
        <f t="shared" si="36"/>
        <v>0</v>
      </c>
      <c r="Y115" s="249">
        <f t="shared" si="36"/>
        <v>23905000</v>
      </c>
      <c r="Z115" s="249">
        <f t="shared" si="36"/>
        <v>0</v>
      </c>
      <c r="AA115" s="249">
        <f t="shared" si="36"/>
        <v>11829131</v>
      </c>
      <c r="AB115" s="249">
        <f t="shared" si="36"/>
        <v>0</v>
      </c>
      <c r="AC115" s="249"/>
      <c r="AD115" s="756"/>
      <c r="AE115" s="756"/>
      <c r="AF115" s="756"/>
      <c r="AG115" s="756"/>
      <c r="AH115" s="756"/>
      <c r="AI115" s="756"/>
      <c r="AJ115" s="756"/>
      <c r="AK115" s="756"/>
      <c r="AL115" s="756"/>
      <c r="AM115" s="756"/>
      <c r="AN115" s="756"/>
      <c r="AO115" s="756"/>
      <c r="AP115" s="756"/>
      <c r="AQ115"/>
      <c r="AR115" s="472"/>
      <c r="AS115" s="472"/>
      <c r="AT115" s="472"/>
      <c r="AU115" s="472"/>
      <c r="AV115" s="472"/>
      <c r="AW115" s="472"/>
      <c r="AX115" s="359"/>
      <c r="AY115" s="359"/>
      <c r="AZ115" s="359"/>
      <c r="BA115" s="359"/>
      <c r="BB115" s="359"/>
      <c r="BC115" s="359"/>
      <c r="BD115" s="359"/>
      <c r="BE115" s="359"/>
      <c r="BF115" s="359"/>
    </row>
    <row r="116" spans="1:58" s="473" customFormat="1" ht="25.2" hidden="1" customHeight="1">
      <c r="A116" s="428"/>
      <c r="B116" s="561"/>
      <c r="C116" s="427"/>
      <c r="D116" s="492">
        <f>SUM(L115:O115)</f>
        <v>940096894</v>
      </c>
      <c r="E116" s="467"/>
      <c r="F116" s="493">
        <f>D115-E115</f>
        <v>116287988</v>
      </c>
      <c r="G116" s="493"/>
      <c r="H116" s="493"/>
      <c r="I116" s="493"/>
      <c r="J116" s="493"/>
      <c r="K116" s="493"/>
      <c r="L116" s="492">
        <f>H115+K115</f>
        <v>633826384</v>
      </c>
      <c r="M116" s="493"/>
      <c r="N116" s="493"/>
      <c r="O116" s="493"/>
      <c r="P116" s="492">
        <f>G115-L116</f>
        <v>26098819</v>
      </c>
      <c r="Q116" s="493"/>
      <c r="R116" s="493"/>
      <c r="S116" s="493"/>
      <c r="T116" s="492">
        <f>P116+S115-M115</f>
        <v>36703051</v>
      </c>
      <c r="U116" s="492">
        <f>N115-T116</f>
        <v>67083543</v>
      </c>
      <c r="V116" s="428"/>
      <c r="W116" s="428"/>
      <c r="X116" s="428"/>
      <c r="Y116" s="428"/>
      <c r="Z116" s="428"/>
      <c r="AA116" s="428"/>
      <c r="AB116" s="561"/>
      <c r="AC116" s="561"/>
      <c r="AD116" s="756"/>
      <c r="AE116" s="756"/>
      <c r="AF116" s="756"/>
      <c r="AG116" s="756"/>
      <c r="AH116" s="756"/>
      <c r="AI116" s="756"/>
      <c r="AJ116" s="756"/>
      <c r="AK116" s="756"/>
      <c r="AL116" s="756"/>
      <c r="AM116" s="756"/>
      <c r="AN116" s="756"/>
      <c r="AO116" s="756"/>
      <c r="AP116" s="756"/>
      <c r="AQ116"/>
      <c r="AR116" s="472"/>
      <c r="AS116" s="472"/>
      <c r="AT116" s="472"/>
      <c r="AU116" s="472"/>
      <c r="AV116" s="472"/>
      <c r="AW116" s="472"/>
      <c r="AX116" s="359"/>
      <c r="AY116" s="359"/>
      <c r="AZ116" s="359"/>
      <c r="BA116" s="359"/>
      <c r="BB116" s="359"/>
      <c r="BC116" s="359"/>
      <c r="BD116" s="359"/>
      <c r="BE116" s="359"/>
      <c r="BF116" s="359"/>
    </row>
    <row r="117" spans="1:58" s="473" customFormat="1" ht="25.2" hidden="1" customHeight="1">
      <c r="A117" s="428"/>
      <c r="B117" s="561"/>
      <c r="C117" s="427"/>
      <c r="D117" s="492">
        <f>D115-D116</f>
        <v>0</v>
      </c>
      <c r="E117" s="467"/>
      <c r="F117" s="493"/>
      <c r="G117" s="493"/>
      <c r="H117" s="493"/>
      <c r="I117" s="493"/>
      <c r="J117" s="493"/>
      <c r="K117" s="493"/>
      <c r="L117" s="492">
        <f>L115-L116</f>
        <v>0</v>
      </c>
      <c r="M117" s="493"/>
      <c r="N117" s="493"/>
      <c r="O117" s="493"/>
      <c r="P117" s="492">
        <f>P115-P116</f>
        <v>0</v>
      </c>
      <c r="Q117" s="493"/>
      <c r="R117" s="493"/>
      <c r="S117" s="493"/>
      <c r="T117" s="492">
        <f>T115-T116</f>
        <v>0</v>
      </c>
      <c r="U117" s="492">
        <f>U115-U116</f>
        <v>0</v>
      </c>
      <c r="V117" s="428"/>
      <c r="W117" s="428"/>
      <c r="X117" s="428"/>
      <c r="Y117" s="428"/>
      <c r="Z117" s="428"/>
      <c r="AA117" s="428"/>
      <c r="AB117" s="561"/>
      <c r="AC117" s="561"/>
      <c r="AD117" s="756"/>
      <c r="AE117" s="756"/>
      <c r="AF117" s="756"/>
      <c r="AG117" s="756"/>
      <c r="AH117" s="756"/>
      <c r="AI117" s="756"/>
      <c r="AJ117" s="756"/>
      <c r="AK117" s="756"/>
      <c r="AL117" s="756"/>
      <c r="AM117" s="756"/>
      <c r="AN117" s="756"/>
      <c r="AO117" s="756"/>
      <c r="AP117" s="756"/>
      <c r="AQ117"/>
      <c r="AR117" s="472"/>
      <c r="AS117" s="472"/>
      <c r="AT117" s="472"/>
      <c r="AU117" s="472"/>
      <c r="AV117" s="472"/>
      <c r="AW117" s="472"/>
      <c r="AX117" s="359"/>
      <c r="AY117" s="359"/>
      <c r="AZ117" s="359"/>
      <c r="BA117" s="359"/>
      <c r="BB117" s="359"/>
      <c r="BC117" s="359"/>
      <c r="BD117" s="359"/>
      <c r="BE117" s="359"/>
      <c r="BF117" s="359"/>
    </row>
    <row r="118" spans="1:58" s="5" customFormat="1" ht="37.5" customHeight="1">
      <c r="A118" s="752"/>
      <c r="B118" s="563"/>
      <c r="C118" s="752"/>
      <c r="D118" s="756"/>
      <c r="E118" s="756"/>
      <c r="F118" s="756"/>
      <c r="G118" s="756"/>
      <c r="H118" s="756"/>
      <c r="I118" s="756"/>
      <c r="J118" s="756"/>
      <c r="K118" s="756"/>
      <c r="L118" s="756"/>
      <c r="M118" s="756"/>
      <c r="N118" s="756"/>
      <c r="O118" s="756"/>
      <c r="P118" s="756"/>
      <c r="Q118" s="757"/>
      <c r="R118" s="756"/>
      <c r="S118" s="756"/>
      <c r="T118" s="756"/>
      <c r="U118" s="756"/>
      <c r="V118" s="756"/>
      <c r="W118" s="756"/>
      <c r="X118" s="756"/>
      <c r="Y118" s="756"/>
      <c r="Z118" s="756"/>
      <c r="AA118" s="758"/>
      <c r="AB118" s="752"/>
      <c r="AC118" s="752"/>
      <c r="AD118" s="756"/>
      <c r="AE118" s="756"/>
      <c r="AF118" s="756"/>
      <c r="AG118" s="756"/>
      <c r="AH118" s="756"/>
      <c r="AI118" s="756"/>
      <c r="AJ118" s="756"/>
      <c r="AK118" s="756"/>
      <c r="AL118" s="756"/>
      <c r="AM118" s="756"/>
      <c r="AN118" s="756"/>
      <c r="AO118" s="756"/>
      <c r="AP118" s="756"/>
      <c r="AQ118"/>
      <c r="AR118" s="16"/>
      <c r="AS118" s="16"/>
      <c r="AT118" s="16"/>
      <c r="AU118" s="16"/>
      <c r="AV118" s="16"/>
    </row>
    <row r="119" spans="1:58" s="473" customFormat="1" ht="25.2" customHeight="1">
      <c r="A119" s="428"/>
      <c r="B119" s="561"/>
      <c r="C119" s="427"/>
      <c r="D119" s="493"/>
      <c r="E119" s="467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28"/>
      <c r="W119" s="428"/>
      <c r="X119" s="428"/>
      <c r="Y119" s="428"/>
      <c r="Z119" s="428"/>
      <c r="AA119" s="428"/>
      <c r="AB119" s="561"/>
      <c r="AC119" s="561"/>
      <c r="AD119" s="756"/>
      <c r="AE119" s="756"/>
      <c r="AF119" s="756"/>
      <c r="AG119" s="756"/>
      <c r="AH119" s="756"/>
      <c r="AI119" s="756"/>
      <c r="AJ119" s="756"/>
      <c r="AK119" s="756"/>
      <c r="AL119" s="756"/>
      <c r="AM119" s="756"/>
      <c r="AN119" s="756"/>
      <c r="AO119" s="756"/>
      <c r="AP119" s="756"/>
      <c r="AQ119"/>
      <c r="AR119" s="472"/>
      <c r="AS119" s="472"/>
      <c r="AT119" s="472"/>
      <c r="AU119" s="472"/>
      <c r="AV119" s="472"/>
      <c r="AW119" s="472"/>
      <c r="AX119" s="359"/>
      <c r="AY119" s="359"/>
      <c r="AZ119" s="359"/>
      <c r="BA119" s="359"/>
      <c r="BB119" s="359"/>
      <c r="BC119" s="359"/>
      <c r="BD119" s="359"/>
      <c r="BE119" s="359"/>
      <c r="BF119" s="359"/>
    </row>
    <row r="120" spans="1:58">
      <c r="A120" s="759"/>
    </row>
    <row r="125" spans="1:58" ht="37.950000000000003" customHeight="1"/>
    <row r="128" spans="1:58" ht="70.95" customHeight="1"/>
    <row r="131" ht="72" customHeight="1"/>
    <row r="133" ht="43.95" customHeight="1"/>
    <row r="135" ht="30" customHeight="1"/>
  </sheetData>
  <sortState ref="A110:BC128">
    <sortCondition ref="B110:B128"/>
  </sortState>
  <conditionalFormatting sqref="AB4">
    <cfRule type="cellIs" dxfId="419" priority="15" operator="equal">
      <formula>0</formula>
    </cfRule>
  </conditionalFormatting>
  <conditionalFormatting sqref="AF4">
    <cfRule type="cellIs" dxfId="418" priority="9" operator="equal">
      <formula>0</formula>
    </cfRule>
  </conditionalFormatting>
  <conditionalFormatting sqref="AG4">
    <cfRule type="cellIs" dxfId="417" priority="7" operator="equal">
      <formula>0</formula>
    </cfRule>
  </conditionalFormatting>
  <conditionalFormatting sqref="AH4">
    <cfRule type="cellIs" dxfId="416" priority="6" operator="equal">
      <formula>0</formula>
    </cfRule>
  </conditionalFormatting>
  <conditionalFormatting sqref="AJ4">
    <cfRule type="cellIs" dxfId="415" priority="3" operator="equal">
      <formula>0</formula>
    </cfRule>
  </conditionalFormatting>
  <conditionalFormatting sqref="AI4">
    <cfRule type="cellIs" dxfId="414" priority="4" operator="equal">
      <formula>0</formula>
    </cfRule>
  </conditionalFormatting>
  <conditionalFormatting sqref="AO4">
    <cfRule type="cellIs" dxfId="413" priority="2" operator="equal">
      <formula>0</formula>
    </cfRule>
  </conditionalFormatting>
  <conditionalFormatting sqref="AP1:AP1048576">
    <cfRule type="cellIs" dxfId="412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1"/>
  <sheetViews>
    <sheetView showZeros="0" rightToLeft="1" zoomScale="110" zoomScaleNormal="110" workbookViewId="0">
      <pane xSplit="4" ySplit="4" topLeftCell="L59" activePane="bottomRight" state="frozen"/>
      <selection activeCell="A98" sqref="A98:XFD98"/>
      <selection pane="topRight" activeCell="A98" sqref="A98:XFD98"/>
      <selection pane="bottomLeft" activeCell="A98" sqref="A98:XFD98"/>
      <selection pane="bottomRight" activeCell="A98" sqref="A98:XFD98"/>
    </sheetView>
  </sheetViews>
  <sheetFormatPr defaultColWidth="8.88671875" defaultRowHeight="13.2"/>
  <cols>
    <col min="1" max="1" width="3.6640625" style="157" customWidth="1"/>
    <col min="2" max="2" width="5.6640625" style="157" customWidth="1"/>
    <col min="3" max="3" width="25.6640625" style="157" customWidth="1"/>
    <col min="4" max="4" width="10.6640625" style="157" customWidth="1"/>
    <col min="5" max="5" width="11.109375" style="157" hidden="1" customWidth="1"/>
    <col min="6" max="6" width="9.6640625" style="157" hidden="1" customWidth="1"/>
    <col min="7" max="8" width="11.109375" style="157" hidden="1" customWidth="1"/>
    <col min="9" max="10" width="10.109375" style="157" hidden="1" customWidth="1"/>
    <col min="11" max="11" width="10.44140625" style="157" hidden="1" customWidth="1"/>
    <col min="12" max="12" width="10.6640625" style="157" customWidth="1"/>
    <col min="13" max="14" width="9.6640625" style="157" customWidth="1"/>
    <col min="15" max="15" width="10.6640625" style="157" customWidth="1"/>
    <col min="16" max="16" width="10.109375" style="157" hidden="1" customWidth="1"/>
    <col min="17" max="17" width="9.88671875" style="157" hidden="1" customWidth="1"/>
    <col min="18" max="18" width="8.88671875" style="157" hidden="1" customWidth="1"/>
    <col min="19" max="19" width="10.6640625" style="157" hidden="1" customWidth="1"/>
    <col min="20" max="20" width="8.6640625" style="157" customWidth="1"/>
    <col min="21" max="21" width="9.6640625" style="157" customWidth="1"/>
    <col min="22" max="22" width="8.6640625" style="157" customWidth="1"/>
    <col min="23" max="23" width="9.6640625" style="157" customWidth="1"/>
    <col min="24" max="24" width="6.33203125" style="157" hidden="1" customWidth="1"/>
    <col min="25" max="25" width="9.109375" style="157" hidden="1" customWidth="1"/>
    <col min="26" max="26" width="9.5546875" style="157" hidden="1" customWidth="1"/>
    <col min="27" max="27" width="9.6640625" style="157" customWidth="1"/>
    <col min="28" max="28" width="35.6640625" style="157" customWidth="1"/>
    <col min="29" max="29" width="6.88671875" style="157" hidden="1" customWidth="1"/>
    <col min="30" max="30" width="21.44140625" customWidth="1"/>
    <col min="31" max="31" width="20.5546875" customWidth="1"/>
    <col min="32" max="32" width="28.109375" customWidth="1"/>
    <col min="33" max="33" width="30" customWidth="1"/>
    <col min="34" max="34" width="7.44140625" customWidth="1"/>
    <col min="35" max="35" width="4.5546875" customWidth="1"/>
    <col min="36" max="36" width="16.33203125" customWidth="1"/>
    <col min="37" max="38" width="21.33203125" customWidth="1"/>
    <col min="39" max="40" width="11.33203125" customWidth="1"/>
    <col min="41" max="41" width="22.44140625" customWidth="1"/>
    <col min="42" max="42" width="12.44140625" customWidth="1"/>
    <col min="43" max="43" width="14.88671875" customWidth="1"/>
  </cols>
  <sheetData>
    <row r="1" spans="1:29" ht="13.8">
      <c r="A1" s="10"/>
      <c r="B1" s="291"/>
      <c r="C1" s="29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0"/>
    </row>
    <row r="2" spans="1:29" ht="18">
      <c r="A2" s="49" t="s">
        <v>598</v>
      </c>
      <c r="B2" s="49"/>
      <c r="C2" s="29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</row>
    <row r="3" spans="1:29" ht="21">
      <c r="B3" s="320"/>
      <c r="C3" s="320"/>
      <c r="D3" s="11"/>
      <c r="E3" s="11"/>
      <c r="F3" s="11"/>
      <c r="G3" s="11"/>
      <c r="H3" s="11"/>
      <c r="I3" s="11"/>
      <c r="J3" s="11"/>
      <c r="K3" s="11"/>
      <c r="L3" s="11"/>
      <c r="M3" s="321"/>
      <c r="N3" s="11"/>
      <c r="O3" s="11"/>
      <c r="P3" s="11"/>
      <c r="Q3" s="11"/>
      <c r="R3" s="11"/>
      <c r="S3" s="11"/>
      <c r="T3" s="11"/>
      <c r="U3" s="10"/>
      <c r="V3" s="10"/>
      <c r="W3" s="10"/>
      <c r="X3" s="10"/>
      <c r="Y3" s="10"/>
      <c r="Z3" s="10"/>
      <c r="AA3" s="10"/>
      <c r="AB3" s="14"/>
      <c r="AC3" s="10"/>
    </row>
    <row r="4" spans="1:29" ht="82.8">
      <c r="A4" s="290" t="s">
        <v>0</v>
      </c>
      <c r="B4" s="290" t="s">
        <v>1</v>
      </c>
      <c r="C4" s="290" t="s">
        <v>2</v>
      </c>
      <c r="D4" s="290" t="s">
        <v>3</v>
      </c>
      <c r="E4" s="290" t="s">
        <v>4</v>
      </c>
      <c r="F4" s="290" t="s">
        <v>5</v>
      </c>
      <c r="G4" s="290" t="s">
        <v>6</v>
      </c>
      <c r="H4" s="290" t="s">
        <v>7</v>
      </c>
      <c r="I4" s="290" t="s">
        <v>9</v>
      </c>
      <c r="J4" s="290" t="s">
        <v>125</v>
      </c>
      <c r="K4" s="290" t="s">
        <v>10</v>
      </c>
      <c r="L4" s="290" t="s">
        <v>11</v>
      </c>
      <c r="M4" s="290" t="s">
        <v>707</v>
      </c>
      <c r="N4" s="290" t="s">
        <v>708</v>
      </c>
      <c r="O4" s="2" t="s">
        <v>709</v>
      </c>
      <c r="P4" s="289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290" t="s">
        <v>13</v>
      </c>
      <c r="W4" s="290" t="s">
        <v>14</v>
      </c>
      <c r="X4" s="290" t="s">
        <v>15</v>
      </c>
      <c r="Y4" s="290" t="s">
        <v>214</v>
      </c>
      <c r="Z4" s="290" t="s">
        <v>502</v>
      </c>
      <c r="AA4" s="290" t="s">
        <v>75</v>
      </c>
      <c r="AB4" s="385" t="s">
        <v>242</v>
      </c>
      <c r="AC4" s="290" t="s">
        <v>16</v>
      </c>
    </row>
    <row r="5" spans="1:29" ht="45" customHeight="1">
      <c r="A5" s="3">
        <v>1</v>
      </c>
      <c r="B5" s="3" t="e">
        <f>#REF!</f>
        <v>#REF!</v>
      </c>
      <c r="C5" s="213" t="e">
        <f>#REF!</f>
        <v>#REF!</v>
      </c>
      <c r="D5" s="4" t="e">
        <f>#REF!</f>
        <v>#REF!</v>
      </c>
      <c r="E5" s="4" t="e">
        <f>#REF!</f>
        <v>#REF!</v>
      </c>
      <c r="F5" s="4" t="e">
        <f>#REF!</f>
        <v>#REF!</v>
      </c>
      <c r="G5" s="4" t="e">
        <f>#REF!</f>
        <v>#REF!</v>
      </c>
      <c r="H5" s="4" t="e">
        <f>#REF!</f>
        <v>#REF!</v>
      </c>
      <c r="I5" s="4" t="e">
        <f>#REF!</f>
        <v>#REF!</v>
      </c>
      <c r="J5" s="4" t="e">
        <f>#REF!</f>
        <v>#REF!</v>
      </c>
      <c r="K5" s="4" t="e">
        <f>#REF!</f>
        <v>#REF!</v>
      </c>
      <c r="L5" s="4" t="e">
        <f>#REF!</f>
        <v>#REF!</v>
      </c>
      <c r="M5" s="4" t="e">
        <f>#REF!</f>
        <v>#REF!</v>
      </c>
      <c r="N5" s="4" t="e">
        <f>#REF!</f>
        <v>#REF!</v>
      </c>
      <c r="O5" s="4" t="e">
        <f>#REF!</f>
        <v>#REF!</v>
      </c>
      <c r="P5" s="4" t="e">
        <f>#REF!</f>
        <v>#REF!</v>
      </c>
      <c r="Q5" s="4" t="e">
        <f>#REF!</f>
        <v>#REF!</v>
      </c>
      <c r="R5" s="4" t="e">
        <f>#REF!</f>
        <v>#REF!</v>
      </c>
      <c r="S5" s="4" t="e">
        <f>#REF!</f>
        <v>#REF!</v>
      </c>
      <c r="T5" s="4" t="e">
        <f>#REF!</f>
        <v>#REF!</v>
      </c>
      <c r="U5" s="4" t="e">
        <f>#REF!</f>
        <v>#REF!</v>
      </c>
      <c r="V5" s="4" t="e">
        <f>#REF!</f>
        <v>#REF!</v>
      </c>
      <c r="W5" s="4" t="e">
        <f>#REF!</f>
        <v>#REF!</v>
      </c>
      <c r="X5" s="4" t="e">
        <f>#REF!</f>
        <v>#REF!</v>
      </c>
      <c r="Y5" s="4" t="e">
        <f>#REF!</f>
        <v>#REF!</v>
      </c>
      <c r="Z5" s="4" t="e">
        <f>#REF!</f>
        <v>#REF!</v>
      </c>
      <c r="AA5" s="4" t="e">
        <f>#REF!</f>
        <v>#REF!</v>
      </c>
      <c r="AB5" s="213" t="e">
        <f>#REF!</f>
        <v>#REF!</v>
      </c>
      <c r="AC5" s="3" t="e">
        <f>#REF!</f>
        <v>#REF!</v>
      </c>
    </row>
    <row r="6" spans="1:29" ht="45" customHeight="1">
      <c r="A6" s="3">
        <f t="shared" ref="A6:A68" si="0">A5+1</f>
        <v>2</v>
      </c>
      <c r="B6" s="3" t="e">
        <f>#REF!</f>
        <v>#REF!</v>
      </c>
      <c r="C6" s="213" t="e">
        <f>#REF!</f>
        <v>#REF!</v>
      </c>
      <c r="D6" s="4" t="e">
        <f>#REF!</f>
        <v>#REF!</v>
      </c>
      <c r="E6" s="4" t="e">
        <f>#REF!</f>
        <v>#REF!</v>
      </c>
      <c r="F6" s="4" t="e">
        <f>#REF!</f>
        <v>#REF!</v>
      </c>
      <c r="G6" s="4" t="e">
        <f>#REF!</f>
        <v>#REF!</v>
      </c>
      <c r="H6" s="4" t="e">
        <f>#REF!</f>
        <v>#REF!</v>
      </c>
      <c r="I6" s="4" t="e">
        <f>#REF!</f>
        <v>#REF!</v>
      </c>
      <c r="J6" s="4" t="e">
        <f>#REF!</f>
        <v>#REF!</v>
      </c>
      <c r="K6" s="4" t="e">
        <f>#REF!</f>
        <v>#REF!</v>
      </c>
      <c r="L6" s="4" t="e">
        <f>#REF!</f>
        <v>#REF!</v>
      </c>
      <c r="M6" s="4" t="e">
        <f>#REF!</f>
        <v>#REF!</v>
      </c>
      <c r="N6" s="4" t="e">
        <f>#REF!</f>
        <v>#REF!</v>
      </c>
      <c r="O6" s="4" t="e">
        <f>#REF!</f>
        <v>#REF!</v>
      </c>
      <c r="P6" s="4" t="e">
        <f>#REF!</f>
        <v>#REF!</v>
      </c>
      <c r="Q6" s="4" t="e">
        <f>#REF!</f>
        <v>#REF!</v>
      </c>
      <c r="R6" s="4" t="e">
        <f>#REF!</f>
        <v>#REF!</v>
      </c>
      <c r="S6" s="4" t="e">
        <f>#REF!</f>
        <v>#REF!</v>
      </c>
      <c r="T6" s="4" t="e">
        <f>#REF!</f>
        <v>#REF!</v>
      </c>
      <c r="U6" s="4" t="e">
        <f>#REF!</f>
        <v>#REF!</v>
      </c>
      <c r="V6" s="4" t="e">
        <f>#REF!</f>
        <v>#REF!</v>
      </c>
      <c r="W6" s="4" t="e">
        <f>#REF!</f>
        <v>#REF!</v>
      </c>
      <c r="X6" s="4" t="e">
        <f>#REF!</f>
        <v>#REF!</v>
      </c>
      <c r="Y6" s="4" t="e">
        <f>#REF!</f>
        <v>#REF!</v>
      </c>
      <c r="Z6" s="4" t="e">
        <f>#REF!</f>
        <v>#REF!</v>
      </c>
      <c r="AA6" s="4" t="e">
        <f>#REF!</f>
        <v>#REF!</v>
      </c>
      <c r="AB6" s="213" t="e">
        <f>#REF!</f>
        <v>#REF!</v>
      </c>
      <c r="AC6" s="3" t="e">
        <f>#REF!</f>
        <v>#REF!</v>
      </c>
    </row>
    <row r="7" spans="1:29" ht="45" customHeight="1">
      <c r="A7" s="3">
        <f t="shared" si="0"/>
        <v>3</v>
      </c>
      <c r="B7" s="3" t="e">
        <f>#REF!</f>
        <v>#REF!</v>
      </c>
      <c r="C7" s="213" t="e">
        <f>#REF!</f>
        <v>#REF!</v>
      </c>
      <c r="D7" s="4" t="e">
        <f>#REF!</f>
        <v>#REF!</v>
      </c>
      <c r="E7" s="4" t="e">
        <f>#REF!</f>
        <v>#REF!</v>
      </c>
      <c r="F7" s="4" t="e">
        <f>#REF!</f>
        <v>#REF!</v>
      </c>
      <c r="G7" s="4" t="e">
        <f>#REF!</f>
        <v>#REF!</v>
      </c>
      <c r="H7" s="4" t="e">
        <f>#REF!</f>
        <v>#REF!</v>
      </c>
      <c r="I7" s="4" t="e">
        <f>#REF!</f>
        <v>#REF!</v>
      </c>
      <c r="J7" s="4" t="e">
        <f>#REF!</f>
        <v>#REF!</v>
      </c>
      <c r="K7" s="4" t="e">
        <f>#REF!</f>
        <v>#REF!</v>
      </c>
      <c r="L7" s="4" t="e">
        <f>#REF!</f>
        <v>#REF!</v>
      </c>
      <c r="M7" s="4" t="e">
        <f>#REF!</f>
        <v>#REF!</v>
      </c>
      <c r="N7" s="4" t="e">
        <f>#REF!</f>
        <v>#REF!</v>
      </c>
      <c r="O7" s="4" t="e">
        <f>#REF!</f>
        <v>#REF!</v>
      </c>
      <c r="P7" s="4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4" t="e">
        <f>#REF!</f>
        <v>#REF!</v>
      </c>
      <c r="V7" s="4" t="e">
        <f>#REF!</f>
        <v>#REF!</v>
      </c>
      <c r="W7" s="4" t="e">
        <f>#REF!</f>
        <v>#REF!</v>
      </c>
      <c r="X7" s="4" t="e">
        <f>#REF!</f>
        <v>#REF!</v>
      </c>
      <c r="Y7" s="4" t="e">
        <f>#REF!</f>
        <v>#REF!</v>
      </c>
      <c r="Z7" s="4" t="e">
        <f>#REF!</f>
        <v>#REF!</v>
      </c>
      <c r="AA7" s="4" t="e">
        <f>#REF!</f>
        <v>#REF!</v>
      </c>
      <c r="AB7" s="213" t="e">
        <f>#REF!</f>
        <v>#REF!</v>
      </c>
      <c r="AC7" s="3" t="e">
        <f>#REF!</f>
        <v>#REF!</v>
      </c>
    </row>
    <row r="8" spans="1:29" ht="13.8">
      <c r="A8" s="3">
        <f t="shared" si="0"/>
        <v>4</v>
      </c>
      <c r="B8" s="3" t="e">
        <f>#REF!</f>
        <v>#REF!</v>
      </c>
      <c r="C8" s="213" t="e">
        <f>#REF!</f>
        <v>#REF!</v>
      </c>
      <c r="D8" s="4" t="e">
        <f>#REF!</f>
        <v>#REF!</v>
      </c>
      <c r="E8" s="4" t="e">
        <f>#REF!</f>
        <v>#REF!</v>
      </c>
      <c r="F8" s="4" t="e">
        <f>#REF!</f>
        <v>#REF!</v>
      </c>
      <c r="G8" s="4" t="e">
        <f>#REF!</f>
        <v>#REF!</v>
      </c>
      <c r="H8" s="4" t="e">
        <f>#REF!</f>
        <v>#REF!</v>
      </c>
      <c r="I8" s="4" t="e">
        <f>#REF!</f>
        <v>#REF!</v>
      </c>
      <c r="J8" s="4" t="e">
        <f>#REF!</f>
        <v>#REF!</v>
      </c>
      <c r="K8" s="4" t="e">
        <f>#REF!</f>
        <v>#REF!</v>
      </c>
      <c r="L8" s="4" t="e">
        <f>#REF!</f>
        <v>#REF!</v>
      </c>
      <c r="M8" s="4" t="e">
        <f>#REF!</f>
        <v>#REF!</v>
      </c>
      <c r="N8" s="4" t="e">
        <f>#REF!</f>
        <v>#REF!</v>
      </c>
      <c r="O8" s="4" t="e">
        <f>#REF!</f>
        <v>#REF!</v>
      </c>
      <c r="P8" s="4" t="e">
        <f>#REF!</f>
        <v>#REF!</v>
      </c>
      <c r="Q8" s="4" t="e">
        <f>#REF!</f>
        <v>#REF!</v>
      </c>
      <c r="R8" s="4" t="e">
        <f>#REF!</f>
        <v>#REF!</v>
      </c>
      <c r="S8" s="4" t="e">
        <f>#REF!</f>
        <v>#REF!</v>
      </c>
      <c r="T8" s="4" t="e">
        <f>#REF!</f>
        <v>#REF!</v>
      </c>
      <c r="U8" s="4" t="e">
        <f>#REF!</f>
        <v>#REF!</v>
      </c>
      <c r="V8" s="4" t="e">
        <f>#REF!</f>
        <v>#REF!</v>
      </c>
      <c r="W8" s="4" t="e">
        <f>#REF!</f>
        <v>#REF!</v>
      </c>
      <c r="X8" s="4" t="e">
        <f>#REF!</f>
        <v>#REF!</v>
      </c>
      <c r="Y8" s="4" t="e">
        <f>#REF!</f>
        <v>#REF!</v>
      </c>
      <c r="Z8" s="4" t="e">
        <f>#REF!</f>
        <v>#REF!</v>
      </c>
      <c r="AA8" s="4" t="e">
        <f>#REF!</f>
        <v>#REF!</v>
      </c>
      <c r="AB8" s="213" t="e">
        <f>#REF!</f>
        <v>#REF!</v>
      </c>
      <c r="AC8" s="3" t="e">
        <f>#REF!</f>
        <v>#REF!</v>
      </c>
    </row>
    <row r="9" spans="1:29" ht="45" customHeight="1">
      <c r="A9" s="3">
        <f t="shared" si="0"/>
        <v>5</v>
      </c>
      <c r="B9" s="3" t="e">
        <f>#REF!</f>
        <v>#REF!</v>
      </c>
      <c r="C9" s="213" t="e">
        <f>#REF!</f>
        <v>#REF!</v>
      </c>
      <c r="D9" s="4" t="e">
        <f>#REF!</f>
        <v>#REF!</v>
      </c>
      <c r="E9" s="4" t="e">
        <f>#REF!</f>
        <v>#REF!</v>
      </c>
      <c r="F9" s="4" t="e">
        <f>#REF!</f>
        <v>#REF!</v>
      </c>
      <c r="G9" s="4" t="e">
        <f>#REF!</f>
        <v>#REF!</v>
      </c>
      <c r="H9" s="4" t="e">
        <f>#REF!</f>
        <v>#REF!</v>
      </c>
      <c r="I9" s="4" t="e">
        <f>#REF!</f>
        <v>#REF!</v>
      </c>
      <c r="J9" s="4" t="e">
        <f>#REF!</f>
        <v>#REF!</v>
      </c>
      <c r="K9" s="4" t="e">
        <f>#REF!</f>
        <v>#REF!</v>
      </c>
      <c r="L9" s="4" t="e">
        <f>#REF!</f>
        <v>#REF!</v>
      </c>
      <c r="M9" s="4" t="e">
        <f>#REF!</f>
        <v>#REF!</v>
      </c>
      <c r="N9" s="4" t="e">
        <f>#REF!</f>
        <v>#REF!</v>
      </c>
      <c r="O9" s="4" t="e">
        <f>#REF!</f>
        <v>#REF!</v>
      </c>
      <c r="P9" s="4" t="e">
        <f>#REF!</f>
        <v>#REF!</v>
      </c>
      <c r="Q9" s="4" t="e">
        <f>#REF!</f>
        <v>#REF!</v>
      </c>
      <c r="R9" s="4" t="e">
        <f>#REF!</f>
        <v>#REF!</v>
      </c>
      <c r="S9" s="4" t="e">
        <f>#REF!</f>
        <v>#REF!</v>
      </c>
      <c r="T9" s="4" t="e">
        <f>#REF!</f>
        <v>#REF!</v>
      </c>
      <c r="U9" s="4" t="e">
        <f>#REF!</f>
        <v>#REF!</v>
      </c>
      <c r="V9" s="4" t="e">
        <f>#REF!</f>
        <v>#REF!</v>
      </c>
      <c r="W9" s="4" t="e">
        <f>#REF!</f>
        <v>#REF!</v>
      </c>
      <c r="X9" s="4" t="e">
        <f>#REF!</f>
        <v>#REF!</v>
      </c>
      <c r="Y9" s="4" t="e">
        <f>#REF!</f>
        <v>#REF!</v>
      </c>
      <c r="Z9" s="4" t="e">
        <f>#REF!</f>
        <v>#REF!</v>
      </c>
      <c r="AA9" s="4" t="e">
        <f>#REF!</f>
        <v>#REF!</v>
      </c>
      <c r="AB9" s="213" t="e">
        <f>#REF!</f>
        <v>#REF!</v>
      </c>
      <c r="AC9" s="3" t="e">
        <f>#REF!</f>
        <v>#REF!</v>
      </c>
    </row>
    <row r="10" spans="1:29" ht="13.8">
      <c r="A10" s="3">
        <f t="shared" si="0"/>
        <v>6</v>
      </c>
      <c r="B10" s="3" t="e">
        <f>#REF!</f>
        <v>#REF!</v>
      </c>
      <c r="C10" s="213" t="e">
        <f>#REF!</f>
        <v>#REF!</v>
      </c>
      <c r="D10" s="4" t="e">
        <f>#REF!</f>
        <v>#REF!</v>
      </c>
      <c r="E10" s="4" t="e">
        <f>#REF!</f>
        <v>#REF!</v>
      </c>
      <c r="F10" s="4" t="e">
        <f>#REF!</f>
        <v>#REF!</v>
      </c>
      <c r="G10" s="4" t="e">
        <f>#REF!</f>
        <v>#REF!</v>
      </c>
      <c r="H10" s="4" t="e">
        <f>#REF!</f>
        <v>#REF!</v>
      </c>
      <c r="I10" s="4" t="e">
        <f>#REF!</f>
        <v>#REF!</v>
      </c>
      <c r="J10" s="4" t="e">
        <f>#REF!</f>
        <v>#REF!</v>
      </c>
      <c r="K10" s="4" t="e">
        <f>#REF!</f>
        <v>#REF!</v>
      </c>
      <c r="L10" s="4" t="e">
        <f>#REF!</f>
        <v>#REF!</v>
      </c>
      <c r="M10" s="4" t="e">
        <f>#REF!</f>
        <v>#REF!</v>
      </c>
      <c r="N10" s="4" t="e">
        <f>#REF!</f>
        <v>#REF!</v>
      </c>
      <c r="O10" s="4" t="e">
        <f>#REF!</f>
        <v>#REF!</v>
      </c>
      <c r="P10" s="4" t="e">
        <f>#REF!</f>
        <v>#REF!</v>
      </c>
      <c r="Q10" s="4" t="e">
        <f>#REF!</f>
        <v>#REF!</v>
      </c>
      <c r="R10" s="4" t="e">
        <f>#REF!</f>
        <v>#REF!</v>
      </c>
      <c r="S10" s="4" t="e">
        <f>#REF!</f>
        <v>#REF!</v>
      </c>
      <c r="T10" s="4" t="e">
        <f>#REF!</f>
        <v>#REF!</v>
      </c>
      <c r="U10" s="4" t="e">
        <f>#REF!</f>
        <v>#REF!</v>
      </c>
      <c r="V10" s="4" t="e">
        <f>#REF!</f>
        <v>#REF!</v>
      </c>
      <c r="W10" s="4" t="e">
        <f>#REF!</f>
        <v>#REF!</v>
      </c>
      <c r="X10" s="4" t="e">
        <f>#REF!</f>
        <v>#REF!</v>
      </c>
      <c r="Y10" s="4" t="e">
        <f>#REF!</f>
        <v>#REF!</v>
      </c>
      <c r="Z10" s="4" t="e">
        <f>#REF!</f>
        <v>#REF!</v>
      </c>
      <c r="AA10" s="4" t="e">
        <f>#REF!</f>
        <v>#REF!</v>
      </c>
      <c r="AB10" s="213" t="e">
        <f>#REF!</f>
        <v>#REF!</v>
      </c>
      <c r="AC10" s="3" t="e">
        <f>#REF!</f>
        <v>#REF!</v>
      </c>
    </row>
    <row r="11" spans="1:29" ht="45" customHeight="1">
      <c r="A11" s="3">
        <f t="shared" si="0"/>
        <v>7</v>
      </c>
      <c r="B11" s="3" t="e">
        <f>#REF!</f>
        <v>#REF!</v>
      </c>
      <c r="C11" s="213" t="e">
        <f>#REF!</f>
        <v>#REF!</v>
      </c>
      <c r="D11" s="4" t="e">
        <f>#REF!</f>
        <v>#REF!</v>
      </c>
      <c r="E11" s="4" t="e">
        <f>#REF!</f>
        <v>#REF!</v>
      </c>
      <c r="F11" s="4" t="e">
        <f>#REF!</f>
        <v>#REF!</v>
      </c>
      <c r="G11" s="4" t="e">
        <f>#REF!</f>
        <v>#REF!</v>
      </c>
      <c r="H11" s="4" t="e">
        <f>#REF!</f>
        <v>#REF!</v>
      </c>
      <c r="I11" s="4" t="e">
        <f>#REF!</f>
        <v>#REF!</v>
      </c>
      <c r="J11" s="4" t="e">
        <f>#REF!</f>
        <v>#REF!</v>
      </c>
      <c r="K11" s="4" t="e">
        <f>#REF!</f>
        <v>#REF!</v>
      </c>
      <c r="L11" s="4" t="e">
        <f>#REF!</f>
        <v>#REF!</v>
      </c>
      <c r="M11" s="4" t="e">
        <f>#REF!</f>
        <v>#REF!</v>
      </c>
      <c r="N11" s="4" t="e">
        <f>#REF!</f>
        <v>#REF!</v>
      </c>
      <c r="O11" s="4" t="e">
        <f>#REF!</f>
        <v>#REF!</v>
      </c>
      <c r="P11" s="4" t="e">
        <f>#REF!</f>
        <v>#REF!</v>
      </c>
      <c r="Q11" s="4" t="e">
        <f>#REF!</f>
        <v>#REF!</v>
      </c>
      <c r="R11" s="4" t="e">
        <f>#REF!</f>
        <v>#REF!</v>
      </c>
      <c r="S11" s="4" t="e">
        <f>#REF!</f>
        <v>#REF!</v>
      </c>
      <c r="T11" s="4" t="e">
        <f>#REF!</f>
        <v>#REF!</v>
      </c>
      <c r="U11" s="4" t="e">
        <f>#REF!</f>
        <v>#REF!</v>
      </c>
      <c r="V11" s="4" t="e">
        <f>#REF!</f>
        <v>#REF!</v>
      </c>
      <c r="W11" s="4" t="e">
        <f>#REF!</f>
        <v>#REF!</v>
      </c>
      <c r="X11" s="4" t="e">
        <f>#REF!</f>
        <v>#REF!</v>
      </c>
      <c r="Y11" s="4" t="e">
        <f>#REF!</f>
        <v>#REF!</v>
      </c>
      <c r="Z11" s="4" t="e">
        <f>#REF!</f>
        <v>#REF!</v>
      </c>
      <c r="AA11" s="4" t="e">
        <f>#REF!</f>
        <v>#REF!</v>
      </c>
      <c r="AB11" s="213" t="e">
        <f>#REF!</f>
        <v>#REF!</v>
      </c>
      <c r="AC11" s="3" t="e">
        <f>#REF!</f>
        <v>#REF!</v>
      </c>
    </row>
    <row r="12" spans="1:29" ht="45" customHeight="1">
      <c r="A12" s="3">
        <f t="shared" si="0"/>
        <v>8</v>
      </c>
      <c r="B12" s="3" t="e">
        <f>#REF!</f>
        <v>#REF!</v>
      </c>
      <c r="C12" s="213" t="e">
        <f>#REF!</f>
        <v>#REF!</v>
      </c>
      <c r="D12" s="4" t="e">
        <f>#REF!</f>
        <v>#REF!</v>
      </c>
      <c r="E12" s="4" t="e">
        <f>#REF!</f>
        <v>#REF!</v>
      </c>
      <c r="F12" s="4" t="e">
        <f>#REF!</f>
        <v>#REF!</v>
      </c>
      <c r="G12" s="4" t="e">
        <f>#REF!</f>
        <v>#REF!</v>
      </c>
      <c r="H12" s="4" t="e">
        <f>#REF!</f>
        <v>#REF!</v>
      </c>
      <c r="I12" s="4" t="e">
        <f>#REF!</f>
        <v>#REF!</v>
      </c>
      <c r="J12" s="4" t="e">
        <f>#REF!</f>
        <v>#REF!</v>
      </c>
      <c r="K12" s="4" t="e">
        <f>#REF!</f>
        <v>#REF!</v>
      </c>
      <c r="L12" s="4" t="e">
        <f>#REF!</f>
        <v>#REF!</v>
      </c>
      <c r="M12" s="4" t="e">
        <f>#REF!</f>
        <v>#REF!</v>
      </c>
      <c r="N12" s="4" t="e">
        <f>#REF!</f>
        <v>#REF!</v>
      </c>
      <c r="O12" s="4" t="e">
        <f>#REF!</f>
        <v>#REF!</v>
      </c>
      <c r="P12" s="4" t="e">
        <f>#REF!</f>
        <v>#REF!</v>
      </c>
      <c r="Q12" s="4" t="e">
        <f>#REF!</f>
        <v>#REF!</v>
      </c>
      <c r="R12" s="4" t="e">
        <f>#REF!</f>
        <v>#REF!</v>
      </c>
      <c r="S12" s="4" t="e">
        <f>#REF!</f>
        <v>#REF!</v>
      </c>
      <c r="T12" s="4" t="e">
        <f>#REF!</f>
        <v>#REF!</v>
      </c>
      <c r="U12" s="4" t="e">
        <f>#REF!</f>
        <v>#REF!</v>
      </c>
      <c r="V12" s="4" t="e">
        <f>#REF!</f>
        <v>#REF!</v>
      </c>
      <c r="W12" s="4" t="e">
        <f>#REF!</f>
        <v>#REF!</v>
      </c>
      <c r="X12" s="4" t="e">
        <f>#REF!</f>
        <v>#REF!</v>
      </c>
      <c r="Y12" s="4" t="e">
        <f>#REF!</f>
        <v>#REF!</v>
      </c>
      <c r="Z12" s="4" t="e">
        <f>#REF!</f>
        <v>#REF!</v>
      </c>
      <c r="AA12" s="4" t="e">
        <f>#REF!</f>
        <v>#REF!</v>
      </c>
      <c r="AB12" s="213" t="e">
        <f>#REF!</f>
        <v>#REF!</v>
      </c>
      <c r="AC12" s="3" t="e">
        <f>#REF!</f>
        <v>#REF!</v>
      </c>
    </row>
    <row r="13" spans="1:29" ht="13.8">
      <c r="A13" s="3">
        <f t="shared" si="0"/>
        <v>9</v>
      </c>
      <c r="B13" s="3" t="e">
        <f>#REF!</f>
        <v>#REF!</v>
      </c>
      <c r="C13" s="213" t="e">
        <f>#REF!</f>
        <v>#REF!</v>
      </c>
      <c r="D13" s="4" t="e">
        <f>#REF!</f>
        <v>#REF!</v>
      </c>
      <c r="E13" s="4" t="e">
        <f>#REF!</f>
        <v>#REF!</v>
      </c>
      <c r="F13" s="4" t="e">
        <f>#REF!</f>
        <v>#REF!</v>
      </c>
      <c r="G13" s="4" t="e">
        <f>#REF!</f>
        <v>#REF!</v>
      </c>
      <c r="H13" s="4" t="e">
        <f>#REF!</f>
        <v>#REF!</v>
      </c>
      <c r="I13" s="4" t="e">
        <f>#REF!</f>
        <v>#REF!</v>
      </c>
      <c r="J13" s="4" t="e">
        <f>#REF!</f>
        <v>#REF!</v>
      </c>
      <c r="K13" s="4" t="e">
        <f>#REF!</f>
        <v>#REF!</v>
      </c>
      <c r="L13" s="4" t="e">
        <f>#REF!</f>
        <v>#REF!</v>
      </c>
      <c r="M13" s="4" t="e">
        <f>#REF!</f>
        <v>#REF!</v>
      </c>
      <c r="N13" s="4" t="e">
        <f>#REF!</f>
        <v>#REF!</v>
      </c>
      <c r="O13" s="4" t="e">
        <f>#REF!</f>
        <v>#REF!</v>
      </c>
      <c r="P13" s="4" t="e">
        <f>#REF!</f>
        <v>#REF!</v>
      </c>
      <c r="Q13" s="4" t="e">
        <f>#REF!</f>
        <v>#REF!</v>
      </c>
      <c r="R13" s="4" t="e">
        <f>#REF!</f>
        <v>#REF!</v>
      </c>
      <c r="S13" s="4" t="e">
        <f>#REF!</f>
        <v>#REF!</v>
      </c>
      <c r="T13" s="4" t="e">
        <f>#REF!</f>
        <v>#REF!</v>
      </c>
      <c r="U13" s="4" t="e">
        <f>#REF!</f>
        <v>#REF!</v>
      </c>
      <c r="V13" s="4" t="e">
        <f>#REF!</f>
        <v>#REF!</v>
      </c>
      <c r="W13" s="4" t="e">
        <f>#REF!</f>
        <v>#REF!</v>
      </c>
      <c r="X13" s="4" t="e">
        <f>#REF!</f>
        <v>#REF!</v>
      </c>
      <c r="Y13" s="4" t="e">
        <f>#REF!</f>
        <v>#REF!</v>
      </c>
      <c r="Z13" s="4" t="e">
        <f>#REF!</f>
        <v>#REF!</v>
      </c>
      <c r="AA13" s="4" t="e">
        <f>#REF!</f>
        <v>#REF!</v>
      </c>
      <c r="AB13" s="213" t="e">
        <f>#REF!</f>
        <v>#REF!</v>
      </c>
      <c r="AC13" s="3" t="e">
        <f>#REF!</f>
        <v>#REF!</v>
      </c>
    </row>
    <row r="14" spans="1:29" ht="45" customHeight="1">
      <c r="A14" s="3">
        <f t="shared" si="0"/>
        <v>10</v>
      </c>
      <c r="B14" s="3" t="e">
        <f>#REF!</f>
        <v>#REF!</v>
      </c>
      <c r="C14" s="213" t="e">
        <f>#REF!</f>
        <v>#REF!</v>
      </c>
      <c r="D14" s="4" t="e">
        <f>#REF!</f>
        <v>#REF!</v>
      </c>
      <c r="E14" s="4" t="e">
        <f>#REF!</f>
        <v>#REF!</v>
      </c>
      <c r="F14" s="4" t="e">
        <f>#REF!</f>
        <v>#REF!</v>
      </c>
      <c r="G14" s="4" t="e">
        <f>#REF!</f>
        <v>#REF!</v>
      </c>
      <c r="H14" s="4" t="e">
        <f>#REF!</f>
        <v>#REF!</v>
      </c>
      <c r="I14" s="4" t="e">
        <f>#REF!</f>
        <v>#REF!</v>
      </c>
      <c r="J14" s="4" t="e">
        <f>#REF!</f>
        <v>#REF!</v>
      </c>
      <c r="K14" s="4" t="e">
        <f>#REF!</f>
        <v>#REF!</v>
      </c>
      <c r="L14" s="4" t="e">
        <f>#REF!</f>
        <v>#REF!</v>
      </c>
      <c r="M14" s="4" t="e">
        <f>#REF!</f>
        <v>#REF!</v>
      </c>
      <c r="N14" s="4" t="e">
        <f>#REF!</f>
        <v>#REF!</v>
      </c>
      <c r="O14" s="4" t="e">
        <f>#REF!</f>
        <v>#REF!</v>
      </c>
      <c r="P14" s="4" t="e">
        <f>#REF!</f>
        <v>#REF!</v>
      </c>
      <c r="Q14" s="4" t="e">
        <f>#REF!</f>
        <v>#REF!</v>
      </c>
      <c r="R14" s="4" t="e">
        <f>#REF!</f>
        <v>#REF!</v>
      </c>
      <c r="S14" s="4" t="e">
        <f>#REF!</f>
        <v>#REF!</v>
      </c>
      <c r="T14" s="4" t="e">
        <f>#REF!</f>
        <v>#REF!</v>
      </c>
      <c r="U14" s="4" t="e">
        <f>#REF!</f>
        <v>#REF!</v>
      </c>
      <c r="V14" s="4" t="e">
        <f>#REF!</f>
        <v>#REF!</v>
      </c>
      <c r="W14" s="4" t="e">
        <f>#REF!</f>
        <v>#REF!</v>
      </c>
      <c r="X14" s="4" t="e">
        <f>#REF!</f>
        <v>#REF!</v>
      </c>
      <c r="Y14" s="4" t="e">
        <f>#REF!</f>
        <v>#REF!</v>
      </c>
      <c r="Z14" s="4" t="e">
        <f>#REF!</f>
        <v>#REF!</v>
      </c>
      <c r="AA14" s="4" t="e">
        <f>#REF!</f>
        <v>#REF!</v>
      </c>
      <c r="AB14" s="213" t="e">
        <f>#REF!</f>
        <v>#REF!</v>
      </c>
      <c r="AC14" s="3" t="e">
        <f>#REF!</f>
        <v>#REF!</v>
      </c>
    </row>
    <row r="15" spans="1:29" ht="45" customHeight="1">
      <c r="A15" s="3">
        <f t="shared" si="0"/>
        <v>11</v>
      </c>
      <c r="B15" s="3" t="e">
        <f>#REF!</f>
        <v>#REF!</v>
      </c>
      <c r="C15" s="213" t="e">
        <f>#REF!</f>
        <v>#REF!</v>
      </c>
      <c r="D15" s="4" t="e">
        <f>#REF!</f>
        <v>#REF!</v>
      </c>
      <c r="E15" s="4" t="e">
        <f>#REF!</f>
        <v>#REF!</v>
      </c>
      <c r="F15" s="4" t="e">
        <f>#REF!</f>
        <v>#REF!</v>
      </c>
      <c r="G15" s="4" t="e">
        <f>#REF!</f>
        <v>#REF!</v>
      </c>
      <c r="H15" s="4" t="e">
        <f>#REF!</f>
        <v>#REF!</v>
      </c>
      <c r="I15" s="4" t="e">
        <f>#REF!</f>
        <v>#REF!</v>
      </c>
      <c r="J15" s="4" t="e">
        <f>#REF!</f>
        <v>#REF!</v>
      </c>
      <c r="K15" s="4" t="e">
        <f>#REF!</f>
        <v>#REF!</v>
      </c>
      <c r="L15" s="4" t="e">
        <f>#REF!</f>
        <v>#REF!</v>
      </c>
      <c r="M15" s="4" t="e">
        <f>#REF!</f>
        <v>#REF!</v>
      </c>
      <c r="N15" s="4" t="e">
        <f>#REF!</f>
        <v>#REF!</v>
      </c>
      <c r="O15" s="4" t="e">
        <f>#REF!</f>
        <v>#REF!</v>
      </c>
      <c r="P15" s="4" t="e">
        <f>#REF!</f>
        <v>#REF!</v>
      </c>
      <c r="Q15" s="4" t="e">
        <f>#REF!</f>
        <v>#REF!</v>
      </c>
      <c r="R15" s="4" t="e">
        <f>#REF!</f>
        <v>#REF!</v>
      </c>
      <c r="S15" s="4" t="e">
        <f>#REF!</f>
        <v>#REF!</v>
      </c>
      <c r="T15" s="4" t="e">
        <f>#REF!</f>
        <v>#REF!</v>
      </c>
      <c r="U15" s="4" t="e">
        <f>#REF!</f>
        <v>#REF!</v>
      </c>
      <c r="V15" s="4" t="e">
        <f>#REF!</f>
        <v>#REF!</v>
      </c>
      <c r="W15" s="4" t="e">
        <f>#REF!</f>
        <v>#REF!</v>
      </c>
      <c r="X15" s="4" t="e">
        <f>#REF!</f>
        <v>#REF!</v>
      </c>
      <c r="Y15" s="4" t="e">
        <f>#REF!</f>
        <v>#REF!</v>
      </c>
      <c r="Z15" s="4" t="e">
        <f>#REF!</f>
        <v>#REF!</v>
      </c>
      <c r="AA15" s="4" t="e">
        <f>#REF!</f>
        <v>#REF!</v>
      </c>
      <c r="AB15" s="213" t="e">
        <f>#REF!</f>
        <v>#REF!</v>
      </c>
      <c r="AC15" s="3" t="e">
        <f>#REF!</f>
        <v>#REF!</v>
      </c>
    </row>
    <row r="16" spans="1:29" ht="13.8">
      <c r="A16" s="3">
        <f t="shared" si="0"/>
        <v>12</v>
      </c>
      <c r="B16" s="3" t="e">
        <f>#REF!</f>
        <v>#REF!</v>
      </c>
      <c r="C16" s="213" t="e">
        <f>#REF!</f>
        <v>#REF!</v>
      </c>
      <c r="D16" s="4" t="e">
        <f>#REF!</f>
        <v>#REF!</v>
      </c>
      <c r="E16" s="4" t="e">
        <f>#REF!</f>
        <v>#REF!</v>
      </c>
      <c r="F16" s="4" t="e">
        <f>#REF!</f>
        <v>#REF!</v>
      </c>
      <c r="G16" s="4" t="e">
        <f>#REF!</f>
        <v>#REF!</v>
      </c>
      <c r="H16" s="4" t="e">
        <f>#REF!</f>
        <v>#REF!</v>
      </c>
      <c r="I16" s="4" t="e">
        <f>#REF!</f>
        <v>#REF!</v>
      </c>
      <c r="J16" s="4" t="e">
        <f>#REF!</f>
        <v>#REF!</v>
      </c>
      <c r="K16" s="4" t="e">
        <f>#REF!</f>
        <v>#REF!</v>
      </c>
      <c r="L16" s="4" t="e">
        <f>#REF!</f>
        <v>#REF!</v>
      </c>
      <c r="M16" s="4" t="e">
        <f>#REF!</f>
        <v>#REF!</v>
      </c>
      <c r="N16" s="4" t="e">
        <f>#REF!</f>
        <v>#REF!</v>
      </c>
      <c r="O16" s="4" t="e">
        <f>#REF!</f>
        <v>#REF!</v>
      </c>
      <c r="P16" s="4" t="e">
        <f>#REF!</f>
        <v>#REF!</v>
      </c>
      <c r="Q16" s="4" t="e">
        <f>#REF!</f>
        <v>#REF!</v>
      </c>
      <c r="R16" s="4" t="e">
        <f>#REF!</f>
        <v>#REF!</v>
      </c>
      <c r="S16" s="4" t="e">
        <f>#REF!</f>
        <v>#REF!</v>
      </c>
      <c r="T16" s="4" t="e">
        <f>#REF!</f>
        <v>#REF!</v>
      </c>
      <c r="U16" s="4" t="e">
        <f>#REF!</f>
        <v>#REF!</v>
      </c>
      <c r="V16" s="4" t="e">
        <f>#REF!</f>
        <v>#REF!</v>
      </c>
      <c r="W16" s="4" t="e">
        <f>#REF!</f>
        <v>#REF!</v>
      </c>
      <c r="X16" s="4" t="e">
        <f>#REF!</f>
        <v>#REF!</v>
      </c>
      <c r="Y16" s="4" t="e">
        <f>#REF!</f>
        <v>#REF!</v>
      </c>
      <c r="Z16" s="4" t="e">
        <f>#REF!</f>
        <v>#REF!</v>
      </c>
      <c r="AA16" s="4" t="e">
        <f>#REF!</f>
        <v>#REF!</v>
      </c>
      <c r="AB16" s="213" t="e">
        <f>#REF!</f>
        <v>#REF!</v>
      </c>
      <c r="AC16" s="3" t="e">
        <f>#REF!</f>
        <v>#REF!</v>
      </c>
    </row>
    <row r="17" spans="1:29" ht="13.8">
      <c r="A17" s="3">
        <f t="shared" si="0"/>
        <v>13</v>
      </c>
      <c r="B17" s="3" t="e">
        <f>#REF!</f>
        <v>#REF!</v>
      </c>
      <c r="C17" s="213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4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213" t="e">
        <f>#REF!</f>
        <v>#REF!</v>
      </c>
      <c r="AC17" s="3" t="e">
        <f>#REF!</f>
        <v>#REF!</v>
      </c>
    </row>
    <row r="18" spans="1:29" ht="45" customHeight="1">
      <c r="A18" s="3">
        <f t="shared" si="0"/>
        <v>14</v>
      </c>
      <c r="B18" s="3" t="e">
        <f>#REF!</f>
        <v>#REF!</v>
      </c>
      <c r="C18" s="213" t="e">
        <f>#REF!</f>
        <v>#REF!</v>
      </c>
      <c r="D18" s="4" t="e">
        <f>#REF!</f>
        <v>#REF!</v>
      </c>
      <c r="E18" s="4" t="e">
        <f>#REF!</f>
        <v>#REF!</v>
      </c>
      <c r="F18" s="4" t="e">
        <f>#REF!</f>
        <v>#REF!</v>
      </c>
      <c r="G18" s="4" t="e">
        <f>#REF!</f>
        <v>#REF!</v>
      </c>
      <c r="H18" s="4" t="e">
        <f>#REF!</f>
        <v>#REF!</v>
      </c>
      <c r="I18" s="4" t="e">
        <f>#REF!</f>
        <v>#REF!</v>
      </c>
      <c r="J18" s="4" t="e">
        <f>#REF!</f>
        <v>#REF!</v>
      </c>
      <c r="K18" s="4" t="e">
        <f>#REF!</f>
        <v>#REF!</v>
      </c>
      <c r="L18" s="4" t="e">
        <f>#REF!</f>
        <v>#REF!</v>
      </c>
      <c r="M18" s="4" t="e">
        <f>#REF!</f>
        <v>#REF!</v>
      </c>
      <c r="N18" s="4" t="e">
        <f>#REF!</f>
        <v>#REF!</v>
      </c>
      <c r="O18" s="4" t="e">
        <f>#REF!</f>
        <v>#REF!</v>
      </c>
      <c r="P18" s="4" t="e">
        <f>#REF!</f>
        <v>#REF!</v>
      </c>
      <c r="Q18" s="4" t="e">
        <f>#REF!</f>
        <v>#REF!</v>
      </c>
      <c r="R18" s="4" t="e">
        <f>#REF!</f>
        <v>#REF!</v>
      </c>
      <c r="S18" s="4" t="e">
        <f>#REF!</f>
        <v>#REF!</v>
      </c>
      <c r="T18" s="4" t="e">
        <f>#REF!</f>
        <v>#REF!</v>
      </c>
      <c r="U18" s="4" t="e">
        <f>#REF!</f>
        <v>#REF!</v>
      </c>
      <c r="V18" s="4" t="e">
        <f>#REF!</f>
        <v>#REF!</v>
      </c>
      <c r="W18" s="4" t="e">
        <f>#REF!</f>
        <v>#REF!</v>
      </c>
      <c r="X18" s="4" t="e">
        <f>#REF!</f>
        <v>#REF!</v>
      </c>
      <c r="Y18" s="4" t="e">
        <f>#REF!</f>
        <v>#REF!</v>
      </c>
      <c r="Z18" s="4" t="e">
        <f>#REF!</f>
        <v>#REF!</v>
      </c>
      <c r="AA18" s="4" t="e">
        <f>#REF!</f>
        <v>#REF!</v>
      </c>
      <c r="AB18" s="213" t="e">
        <f>#REF!</f>
        <v>#REF!</v>
      </c>
      <c r="AC18" s="3" t="e">
        <f>#REF!</f>
        <v>#REF!</v>
      </c>
    </row>
    <row r="19" spans="1:29" ht="45" customHeight="1">
      <c r="A19" s="3">
        <f t="shared" si="0"/>
        <v>15</v>
      </c>
      <c r="B19" s="3" t="e">
        <f>#REF!</f>
        <v>#REF!</v>
      </c>
      <c r="C19" s="213" t="e">
        <f>#REF!</f>
        <v>#REF!</v>
      </c>
      <c r="D19" s="4" t="e">
        <f>#REF!</f>
        <v>#REF!</v>
      </c>
      <c r="E19" s="4" t="e">
        <f>#REF!</f>
        <v>#REF!</v>
      </c>
      <c r="F19" s="4" t="e">
        <f>#REF!</f>
        <v>#REF!</v>
      </c>
      <c r="G19" s="4" t="e">
        <f>#REF!</f>
        <v>#REF!</v>
      </c>
      <c r="H19" s="4" t="e">
        <f>#REF!</f>
        <v>#REF!</v>
      </c>
      <c r="I19" s="4" t="e">
        <f>#REF!</f>
        <v>#REF!</v>
      </c>
      <c r="J19" s="4" t="e">
        <f>#REF!</f>
        <v>#REF!</v>
      </c>
      <c r="K19" s="4" t="e">
        <f>#REF!</f>
        <v>#REF!</v>
      </c>
      <c r="L19" s="4" t="e">
        <f>#REF!</f>
        <v>#REF!</v>
      </c>
      <c r="M19" s="4" t="e">
        <f>#REF!</f>
        <v>#REF!</v>
      </c>
      <c r="N19" s="4" t="e">
        <f>#REF!</f>
        <v>#REF!</v>
      </c>
      <c r="O19" s="4" t="e">
        <f>#REF!</f>
        <v>#REF!</v>
      </c>
      <c r="P19" s="4" t="e">
        <f>#REF!</f>
        <v>#REF!</v>
      </c>
      <c r="Q19" s="4" t="e">
        <f>#REF!</f>
        <v>#REF!</v>
      </c>
      <c r="R19" s="4" t="e">
        <f>#REF!</f>
        <v>#REF!</v>
      </c>
      <c r="S19" s="4" t="e">
        <f>#REF!</f>
        <v>#REF!</v>
      </c>
      <c r="T19" s="4" t="e">
        <f>#REF!</f>
        <v>#REF!</v>
      </c>
      <c r="U19" s="4" t="e">
        <f>#REF!</f>
        <v>#REF!</v>
      </c>
      <c r="V19" s="4" t="e">
        <f>#REF!</f>
        <v>#REF!</v>
      </c>
      <c r="W19" s="4" t="e">
        <f>#REF!</f>
        <v>#REF!</v>
      </c>
      <c r="X19" s="4" t="e">
        <f>#REF!</f>
        <v>#REF!</v>
      </c>
      <c r="Y19" s="4" t="e">
        <f>#REF!</f>
        <v>#REF!</v>
      </c>
      <c r="Z19" s="4" t="e">
        <f>#REF!</f>
        <v>#REF!</v>
      </c>
      <c r="AA19" s="4" t="e">
        <f>#REF!</f>
        <v>#REF!</v>
      </c>
      <c r="AB19" s="213" t="e">
        <f>#REF!</f>
        <v>#REF!</v>
      </c>
      <c r="AC19" s="3" t="e">
        <f>#REF!</f>
        <v>#REF!</v>
      </c>
    </row>
    <row r="20" spans="1:29" ht="45" customHeight="1">
      <c r="A20" s="3">
        <f t="shared" si="0"/>
        <v>16</v>
      </c>
      <c r="B20" s="3" t="e">
        <f>#REF!</f>
        <v>#REF!</v>
      </c>
      <c r="C20" s="213" t="e">
        <f>#REF!</f>
        <v>#REF!</v>
      </c>
      <c r="D20" s="4" t="e">
        <f>#REF!</f>
        <v>#REF!</v>
      </c>
      <c r="E20" s="4" t="e">
        <f>#REF!</f>
        <v>#REF!</v>
      </c>
      <c r="F20" s="4" t="e">
        <f>#REF!</f>
        <v>#REF!</v>
      </c>
      <c r="G20" s="4" t="e">
        <f>#REF!</f>
        <v>#REF!</v>
      </c>
      <c r="H20" s="4" t="e">
        <f>#REF!</f>
        <v>#REF!</v>
      </c>
      <c r="I20" s="4" t="e">
        <f>#REF!</f>
        <v>#REF!</v>
      </c>
      <c r="J20" s="4" t="e">
        <f>#REF!</f>
        <v>#REF!</v>
      </c>
      <c r="K20" s="4" t="e">
        <f>#REF!</f>
        <v>#REF!</v>
      </c>
      <c r="L20" s="4" t="e">
        <f>#REF!</f>
        <v>#REF!</v>
      </c>
      <c r="M20" s="4" t="e">
        <f>#REF!</f>
        <v>#REF!</v>
      </c>
      <c r="N20" s="4" t="e">
        <f>#REF!</f>
        <v>#REF!</v>
      </c>
      <c r="O20" s="4" t="e">
        <f>#REF!</f>
        <v>#REF!</v>
      </c>
      <c r="P20" s="4" t="e">
        <f>#REF!</f>
        <v>#REF!</v>
      </c>
      <c r="Q20" s="4" t="e">
        <f>#REF!</f>
        <v>#REF!</v>
      </c>
      <c r="R20" s="4" t="e">
        <f>#REF!</f>
        <v>#REF!</v>
      </c>
      <c r="S20" s="4" t="e">
        <f>#REF!</f>
        <v>#REF!</v>
      </c>
      <c r="T20" s="4" t="e">
        <f>#REF!</f>
        <v>#REF!</v>
      </c>
      <c r="U20" s="4" t="e">
        <f>#REF!</f>
        <v>#REF!</v>
      </c>
      <c r="V20" s="4" t="e">
        <f>#REF!</f>
        <v>#REF!</v>
      </c>
      <c r="W20" s="4" t="e">
        <f>#REF!</f>
        <v>#REF!</v>
      </c>
      <c r="X20" s="4" t="e">
        <f>#REF!</f>
        <v>#REF!</v>
      </c>
      <c r="Y20" s="4" t="e">
        <f>#REF!</f>
        <v>#REF!</v>
      </c>
      <c r="Z20" s="4" t="e">
        <f>#REF!</f>
        <v>#REF!</v>
      </c>
      <c r="AA20" s="4" t="e">
        <f>#REF!</f>
        <v>#REF!</v>
      </c>
      <c r="AB20" s="213" t="e">
        <f>#REF!</f>
        <v>#REF!</v>
      </c>
      <c r="AC20" s="3" t="e">
        <f>#REF!</f>
        <v>#REF!</v>
      </c>
    </row>
    <row r="21" spans="1:29" ht="45" customHeight="1">
      <c r="A21" s="3">
        <f t="shared" si="0"/>
        <v>17</v>
      </c>
      <c r="B21" s="3" t="e">
        <f>#REF!</f>
        <v>#REF!</v>
      </c>
      <c r="C21" s="213" t="e">
        <f>#REF!</f>
        <v>#REF!</v>
      </c>
      <c r="D21" s="4" t="e">
        <f>#REF!</f>
        <v>#REF!</v>
      </c>
      <c r="E21" s="4" t="e">
        <f>#REF!</f>
        <v>#REF!</v>
      </c>
      <c r="F21" s="4" t="e">
        <f>#REF!</f>
        <v>#REF!</v>
      </c>
      <c r="G21" s="4" t="e">
        <f>#REF!</f>
        <v>#REF!</v>
      </c>
      <c r="H21" s="4" t="e">
        <f>#REF!</f>
        <v>#REF!</v>
      </c>
      <c r="I21" s="4" t="e">
        <f>#REF!</f>
        <v>#REF!</v>
      </c>
      <c r="J21" s="4" t="e">
        <f>#REF!</f>
        <v>#REF!</v>
      </c>
      <c r="K21" s="4" t="e">
        <f>#REF!</f>
        <v>#REF!</v>
      </c>
      <c r="L21" s="4" t="e">
        <f>#REF!</f>
        <v>#REF!</v>
      </c>
      <c r="M21" s="4" t="e">
        <f>#REF!</f>
        <v>#REF!</v>
      </c>
      <c r="N21" s="4" t="e">
        <f>#REF!</f>
        <v>#REF!</v>
      </c>
      <c r="O21" s="4" t="e">
        <f>#REF!</f>
        <v>#REF!</v>
      </c>
      <c r="P21" s="4" t="e">
        <f>#REF!</f>
        <v>#REF!</v>
      </c>
      <c r="Q21" s="4" t="e">
        <f>#REF!</f>
        <v>#REF!</v>
      </c>
      <c r="R21" s="4" t="e">
        <f>#REF!</f>
        <v>#REF!</v>
      </c>
      <c r="S21" s="4" t="e">
        <f>#REF!</f>
        <v>#REF!</v>
      </c>
      <c r="T21" s="4" t="e">
        <f>#REF!</f>
        <v>#REF!</v>
      </c>
      <c r="U21" s="4" t="e">
        <f>#REF!</f>
        <v>#REF!</v>
      </c>
      <c r="V21" s="4" t="e">
        <f>#REF!</f>
        <v>#REF!</v>
      </c>
      <c r="W21" s="4" t="e">
        <f>#REF!</f>
        <v>#REF!</v>
      </c>
      <c r="X21" s="4" t="e">
        <f>#REF!</f>
        <v>#REF!</v>
      </c>
      <c r="Y21" s="4" t="e">
        <f>#REF!</f>
        <v>#REF!</v>
      </c>
      <c r="Z21" s="4" t="e">
        <f>#REF!</f>
        <v>#REF!</v>
      </c>
      <c r="AA21" s="4" t="e">
        <f>#REF!</f>
        <v>#REF!</v>
      </c>
      <c r="AB21" s="213" t="e">
        <f>#REF!</f>
        <v>#REF!</v>
      </c>
      <c r="AC21" s="3" t="e">
        <f>#REF!</f>
        <v>#REF!</v>
      </c>
    </row>
    <row r="22" spans="1:29" ht="45" customHeight="1">
      <c r="A22" s="3">
        <f t="shared" si="0"/>
        <v>18</v>
      </c>
      <c r="B22" s="3" t="e">
        <f>#REF!</f>
        <v>#REF!</v>
      </c>
      <c r="C22" s="213" t="e">
        <f>#REF!</f>
        <v>#REF!</v>
      </c>
      <c r="D22" s="4" t="e">
        <f>#REF!</f>
        <v>#REF!</v>
      </c>
      <c r="E22" s="4" t="e">
        <f>#REF!</f>
        <v>#REF!</v>
      </c>
      <c r="F22" s="4" t="e">
        <f>#REF!</f>
        <v>#REF!</v>
      </c>
      <c r="G22" s="4" t="e">
        <f>#REF!</f>
        <v>#REF!</v>
      </c>
      <c r="H22" s="4" t="e">
        <f>#REF!</f>
        <v>#REF!</v>
      </c>
      <c r="I22" s="4" t="e">
        <f>#REF!</f>
        <v>#REF!</v>
      </c>
      <c r="J22" s="4" t="e">
        <f>#REF!</f>
        <v>#REF!</v>
      </c>
      <c r="K22" s="4" t="e">
        <f>#REF!</f>
        <v>#REF!</v>
      </c>
      <c r="L22" s="4" t="e">
        <f>#REF!</f>
        <v>#REF!</v>
      </c>
      <c r="M22" s="4" t="e">
        <f>#REF!</f>
        <v>#REF!</v>
      </c>
      <c r="N22" s="4" t="e">
        <f>#REF!</f>
        <v>#REF!</v>
      </c>
      <c r="O22" s="4" t="e">
        <f>#REF!</f>
        <v>#REF!</v>
      </c>
      <c r="P22" s="4" t="e">
        <f>#REF!</f>
        <v>#REF!</v>
      </c>
      <c r="Q22" s="4" t="e">
        <f>#REF!</f>
        <v>#REF!</v>
      </c>
      <c r="R22" s="4" t="e">
        <f>#REF!</f>
        <v>#REF!</v>
      </c>
      <c r="S22" s="4" t="e">
        <f>#REF!</f>
        <v>#REF!</v>
      </c>
      <c r="T22" s="4" t="e">
        <f>#REF!</f>
        <v>#REF!</v>
      </c>
      <c r="U22" s="4" t="e">
        <f>#REF!</f>
        <v>#REF!</v>
      </c>
      <c r="V22" s="4" t="e">
        <f>#REF!</f>
        <v>#REF!</v>
      </c>
      <c r="W22" s="4" t="e">
        <f>#REF!</f>
        <v>#REF!</v>
      </c>
      <c r="X22" s="4" t="e">
        <f>#REF!</f>
        <v>#REF!</v>
      </c>
      <c r="Y22" s="4" t="e">
        <f>#REF!</f>
        <v>#REF!</v>
      </c>
      <c r="Z22" s="4" t="e">
        <f>#REF!</f>
        <v>#REF!</v>
      </c>
      <c r="AA22" s="4" t="e">
        <f>#REF!</f>
        <v>#REF!</v>
      </c>
      <c r="AB22" s="213" t="e">
        <f>#REF!</f>
        <v>#REF!</v>
      </c>
      <c r="AC22" s="3" t="e">
        <f>#REF!</f>
        <v>#REF!</v>
      </c>
    </row>
    <row r="23" spans="1:29" ht="45" customHeight="1">
      <c r="A23" s="3">
        <f t="shared" si="0"/>
        <v>19</v>
      </c>
      <c r="B23" s="3" t="e">
        <f>#REF!</f>
        <v>#REF!</v>
      </c>
      <c r="C23" s="213" t="e">
        <f>#REF!</f>
        <v>#REF!</v>
      </c>
      <c r="D23" s="4" t="e">
        <f>#REF!</f>
        <v>#REF!</v>
      </c>
      <c r="E23" s="4" t="e">
        <f>#REF!</f>
        <v>#REF!</v>
      </c>
      <c r="F23" s="4" t="e">
        <f>#REF!</f>
        <v>#REF!</v>
      </c>
      <c r="G23" s="4" t="e">
        <f>#REF!</f>
        <v>#REF!</v>
      </c>
      <c r="H23" s="4" t="e">
        <f>#REF!</f>
        <v>#REF!</v>
      </c>
      <c r="I23" s="4" t="e">
        <f>#REF!</f>
        <v>#REF!</v>
      </c>
      <c r="J23" s="4" t="e">
        <f>#REF!</f>
        <v>#REF!</v>
      </c>
      <c r="K23" s="4" t="e">
        <f>#REF!</f>
        <v>#REF!</v>
      </c>
      <c r="L23" s="4" t="e">
        <f>#REF!</f>
        <v>#REF!</v>
      </c>
      <c r="M23" s="4" t="e">
        <f>#REF!</f>
        <v>#REF!</v>
      </c>
      <c r="N23" s="4" t="e">
        <f>#REF!</f>
        <v>#REF!</v>
      </c>
      <c r="O23" s="4" t="e">
        <f>#REF!</f>
        <v>#REF!</v>
      </c>
      <c r="P23" s="4" t="e">
        <f>#REF!</f>
        <v>#REF!</v>
      </c>
      <c r="Q23" s="4" t="e">
        <f>#REF!</f>
        <v>#REF!</v>
      </c>
      <c r="R23" s="4" t="e">
        <f>#REF!</f>
        <v>#REF!</v>
      </c>
      <c r="S23" s="4" t="e">
        <f>#REF!</f>
        <v>#REF!</v>
      </c>
      <c r="T23" s="4" t="e">
        <f>#REF!</f>
        <v>#REF!</v>
      </c>
      <c r="U23" s="4" t="e">
        <f>#REF!</f>
        <v>#REF!</v>
      </c>
      <c r="V23" s="4" t="e">
        <f>#REF!</f>
        <v>#REF!</v>
      </c>
      <c r="W23" s="4" t="e">
        <f>#REF!</f>
        <v>#REF!</v>
      </c>
      <c r="X23" s="4" t="e">
        <f>#REF!</f>
        <v>#REF!</v>
      </c>
      <c r="Y23" s="4" t="e">
        <f>#REF!</f>
        <v>#REF!</v>
      </c>
      <c r="Z23" s="4" t="e">
        <f>#REF!</f>
        <v>#REF!</v>
      </c>
      <c r="AA23" s="4" t="e">
        <f>#REF!</f>
        <v>#REF!</v>
      </c>
      <c r="AB23" s="213" t="e">
        <f>#REF!</f>
        <v>#REF!</v>
      </c>
      <c r="AC23" s="3" t="e">
        <f>#REF!</f>
        <v>#REF!</v>
      </c>
    </row>
    <row r="24" spans="1:29" ht="45" customHeight="1">
      <c r="A24" s="3">
        <f t="shared" si="0"/>
        <v>20</v>
      </c>
      <c r="B24" s="3" t="e">
        <f>#REF!</f>
        <v>#REF!</v>
      </c>
      <c r="C24" s="213" t="e">
        <f>#REF!</f>
        <v>#REF!</v>
      </c>
      <c r="D24" s="4" t="e">
        <f>#REF!</f>
        <v>#REF!</v>
      </c>
      <c r="E24" s="4" t="e">
        <f>#REF!</f>
        <v>#REF!</v>
      </c>
      <c r="F24" s="4" t="e">
        <f>#REF!</f>
        <v>#REF!</v>
      </c>
      <c r="G24" s="4" t="e">
        <f>#REF!</f>
        <v>#REF!</v>
      </c>
      <c r="H24" s="4" t="e">
        <f>#REF!</f>
        <v>#REF!</v>
      </c>
      <c r="I24" s="4" t="e">
        <f>#REF!</f>
        <v>#REF!</v>
      </c>
      <c r="J24" s="4" t="e">
        <f>#REF!</f>
        <v>#REF!</v>
      </c>
      <c r="K24" s="4" t="e">
        <f>#REF!</f>
        <v>#REF!</v>
      </c>
      <c r="L24" s="4" t="e">
        <f>#REF!</f>
        <v>#REF!</v>
      </c>
      <c r="M24" s="4" t="e">
        <f>#REF!</f>
        <v>#REF!</v>
      </c>
      <c r="N24" s="4" t="e">
        <f>#REF!</f>
        <v>#REF!</v>
      </c>
      <c r="O24" s="4" t="e">
        <f>#REF!</f>
        <v>#REF!</v>
      </c>
      <c r="P24" s="4" t="e">
        <f>#REF!</f>
        <v>#REF!</v>
      </c>
      <c r="Q24" s="4" t="e">
        <f>#REF!</f>
        <v>#REF!</v>
      </c>
      <c r="R24" s="4" t="e">
        <f>#REF!</f>
        <v>#REF!</v>
      </c>
      <c r="S24" s="4" t="e">
        <f>#REF!</f>
        <v>#REF!</v>
      </c>
      <c r="T24" s="4" t="e">
        <f>#REF!</f>
        <v>#REF!</v>
      </c>
      <c r="U24" s="4" t="e">
        <f>#REF!</f>
        <v>#REF!</v>
      </c>
      <c r="V24" s="4" t="e">
        <f>#REF!</f>
        <v>#REF!</v>
      </c>
      <c r="W24" s="4" t="e">
        <f>#REF!</f>
        <v>#REF!</v>
      </c>
      <c r="X24" s="4" t="e">
        <f>#REF!</f>
        <v>#REF!</v>
      </c>
      <c r="Y24" s="4" t="e">
        <f>#REF!</f>
        <v>#REF!</v>
      </c>
      <c r="Z24" s="4" t="e">
        <f>#REF!</f>
        <v>#REF!</v>
      </c>
      <c r="AA24" s="4" t="e">
        <f>#REF!</f>
        <v>#REF!</v>
      </c>
      <c r="AB24" s="213" t="e">
        <f>#REF!</f>
        <v>#REF!</v>
      </c>
      <c r="AC24" s="3" t="e">
        <f>#REF!</f>
        <v>#REF!</v>
      </c>
    </row>
    <row r="25" spans="1:29" ht="45" customHeight="1">
      <c r="A25" s="3">
        <f t="shared" si="0"/>
        <v>21</v>
      </c>
      <c r="B25" s="3" t="e">
        <f>#REF!</f>
        <v>#REF!</v>
      </c>
      <c r="C25" s="213" t="e">
        <f>#REF!</f>
        <v>#REF!</v>
      </c>
      <c r="D25" s="4" t="e">
        <f>#REF!</f>
        <v>#REF!</v>
      </c>
      <c r="E25" s="4" t="e">
        <f>#REF!</f>
        <v>#REF!</v>
      </c>
      <c r="F25" s="4" t="e">
        <f>#REF!</f>
        <v>#REF!</v>
      </c>
      <c r="G25" s="4" t="e">
        <f>#REF!</f>
        <v>#REF!</v>
      </c>
      <c r="H25" s="4" t="e">
        <f>#REF!</f>
        <v>#REF!</v>
      </c>
      <c r="I25" s="4" t="e">
        <f>#REF!</f>
        <v>#REF!</v>
      </c>
      <c r="J25" s="4" t="e">
        <f>#REF!</f>
        <v>#REF!</v>
      </c>
      <c r="K25" s="4" t="e">
        <f>#REF!</f>
        <v>#REF!</v>
      </c>
      <c r="L25" s="4" t="e">
        <f>#REF!</f>
        <v>#REF!</v>
      </c>
      <c r="M25" s="4" t="e">
        <f>#REF!</f>
        <v>#REF!</v>
      </c>
      <c r="N25" s="4" t="e">
        <f>#REF!</f>
        <v>#REF!</v>
      </c>
      <c r="O25" s="4" t="e">
        <f>#REF!</f>
        <v>#REF!</v>
      </c>
      <c r="P25" s="4" t="e">
        <f>#REF!</f>
        <v>#REF!</v>
      </c>
      <c r="Q25" s="4" t="e">
        <f>#REF!</f>
        <v>#REF!</v>
      </c>
      <c r="R25" s="4" t="e">
        <f>#REF!</f>
        <v>#REF!</v>
      </c>
      <c r="S25" s="4" t="e">
        <f>#REF!</f>
        <v>#REF!</v>
      </c>
      <c r="T25" s="4" t="e">
        <f>#REF!</f>
        <v>#REF!</v>
      </c>
      <c r="U25" s="4" t="e">
        <f>#REF!</f>
        <v>#REF!</v>
      </c>
      <c r="V25" s="4" t="e">
        <f>#REF!</f>
        <v>#REF!</v>
      </c>
      <c r="W25" s="4" t="e">
        <f>#REF!</f>
        <v>#REF!</v>
      </c>
      <c r="X25" s="4" t="e">
        <f>#REF!</f>
        <v>#REF!</v>
      </c>
      <c r="Y25" s="4" t="e">
        <f>#REF!</f>
        <v>#REF!</v>
      </c>
      <c r="Z25" s="4" t="e">
        <f>#REF!</f>
        <v>#REF!</v>
      </c>
      <c r="AA25" s="4" t="e">
        <f>#REF!</f>
        <v>#REF!</v>
      </c>
      <c r="AB25" s="213" t="e">
        <f>#REF!</f>
        <v>#REF!</v>
      </c>
      <c r="AC25" s="3" t="e">
        <f>#REF!</f>
        <v>#REF!</v>
      </c>
    </row>
    <row r="26" spans="1:29" ht="45" customHeight="1">
      <c r="A26" s="3">
        <f t="shared" si="0"/>
        <v>22</v>
      </c>
      <c r="B26" s="3" t="e">
        <f>#REF!</f>
        <v>#REF!</v>
      </c>
      <c r="C26" s="213" t="e">
        <f>#REF!</f>
        <v>#REF!</v>
      </c>
      <c r="D26" s="4" t="e">
        <f>#REF!</f>
        <v>#REF!</v>
      </c>
      <c r="E26" s="4" t="e">
        <f>#REF!</f>
        <v>#REF!</v>
      </c>
      <c r="F26" s="4" t="e">
        <f>#REF!</f>
        <v>#REF!</v>
      </c>
      <c r="G26" s="4" t="e">
        <f>#REF!</f>
        <v>#REF!</v>
      </c>
      <c r="H26" s="4" t="e">
        <f>#REF!</f>
        <v>#REF!</v>
      </c>
      <c r="I26" s="4" t="e">
        <f>#REF!</f>
        <v>#REF!</v>
      </c>
      <c r="J26" s="4" t="e">
        <f>#REF!</f>
        <v>#REF!</v>
      </c>
      <c r="K26" s="4" t="e">
        <f>#REF!</f>
        <v>#REF!</v>
      </c>
      <c r="L26" s="4" t="e">
        <f>#REF!</f>
        <v>#REF!</v>
      </c>
      <c r="M26" s="4" t="e">
        <f>#REF!</f>
        <v>#REF!</v>
      </c>
      <c r="N26" s="4" t="e">
        <f>#REF!</f>
        <v>#REF!</v>
      </c>
      <c r="O26" s="4" t="e">
        <f>#REF!</f>
        <v>#REF!</v>
      </c>
      <c r="P26" s="4" t="e">
        <f>#REF!</f>
        <v>#REF!</v>
      </c>
      <c r="Q26" s="4" t="e">
        <f>#REF!</f>
        <v>#REF!</v>
      </c>
      <c r="R26" s="4" t="e">
        <f>#REF!</f>
        <v>#REF!</v>
      </c>
      <c r="S26" s="4" t="e">
        <f>#REF!</f>
        <v>#REF!</v>
      </c>
      <c r="T26" s="4" t="e">
        <f>#REF!</f>
        <v>#REF!</v>
      </c>
      <c r="U26" s="4" t="e">
        <f>#REF!</f>
        <v>#REF!</v>
      </c>
      <c r="V26" s="4" t="e">
        <f>#REF!</f>
        <v>#REF!</v>
      </c>
      <c r="W26" s="4" t="e">
        <f>#REF!</f>
        <v>#REF!</v>
      </c>
      <c r="X26" s="4" t="e">
        <f>#REF!</f>
        <v>#REF!</v>
      </c>
      <c r="Y26" s="4" t="e">
        <f>#REF!</f>
        <v>#REF!</v>
      </c>
      <c r="Z26" s="4" t="e">
        <f>#REF!</f>
        <v>#REF!</v>
      </c>
      <c r="AA26" s="4" t="e">
        <f>#REF!</f>
        <v>#REF!</v>
      </c>
      <c r="AB26" s="213" t="e">
        <f>#REF!</f>
        <v>#REF!</v>
      </c>
      <c r="AC26" s="3" t="e">
        <f>#REF!</f>
        <v>#REF!</v>
      </c>
    </row>
    <row r="27" spans="1:29" ht="13.8">
      <c r="A27" s="3">
        <f t="shared" si="0"/>
        <v>23</v>
      </c>
      <c r="B27" s="3" t="e">
        <f>#REF!</f>
        <v>#REF!</v>
      </c>
      <c r="C27" s="213" t="e">
        <f>#REF!</f>
        <v>#REF!</v>
      </c>
      <c r="D27" s="4" t="e">
        <f>#REF!</f>
        <v>#REF!</v>
      </c>
      <c r="E27" s="4" t="e">
        <f>#REF!</f>
        <v>#REF!</v>
      </c>
      <c r="F27" s="4" t="e">
        <f>#REF!</f>
        <v>#REF!</v>
      </c>
      <c r="G27" s="4" t="e">
        <f>#REF!</f>
        <v>#REF!</v>
      </c>
      <c r="H27" s="4" t="e">
        <f>#REF!</f>
        <v>#REF!</v>
      </c>
      <c r="I27" s="4" t="e">
        <f>#REF!</f>
        <v>#REF!</v>
      </c>
      <c r="J27" s="4" t="e">
        <f>#REF!</f>
        <v>#REF!</v>
      </c>
      <c r="K27" s="4" t="e">
        <f>#REF!</f>
        <v>#REF!</v>
      </c>
      <c r="L27" s="4" t="e">
        <f>#REF!</f>
        <v>#REF!</v>
      </c>
      <c r="M27" s="4" t="e">
        <f>#REF!</f>
        <v>#REF!</v>
      </c>
      <c r="N27" s="4" t="e">
        <f>#REF!</f>
        <v>#REF!</v>
      </c>
      <c r="O27" s="4" t="e">
        <f>#REF!</f>
        <v>#REF!</v>
      </c>
      <c r="P27" s="4" t="e">
        <f>#REF!</f>
        <v>#REF!</v>
      </c>
      <c r="Q27" s="4" t="e">
        <f>#REF!</f>
        <v>#REF!</v>
      </c>
      <c r="R27" s="4" t="e">
        <f>#REF!</f>
        <v>#REF!</v>
      </c>
      <c r="S27" s="4" t="e">
        <f>#REF!</f>
        <v>#REF!</v>
      </c>
      <c r="T27" s="4" t="e">
        <f>#REF!</f>
        <v>#REF!</v>
      </c>
      <c r="U27" s="4" t="e">
        <f>#REF!</f>
        <v>#REF!</v>
      </c>
      <c r="V27" s="4" t="e">
        <f>#REF!</f>
        <v>#REF!</v>
      </c>
      <c r="W27" s="4" t="e">
        <f>#REF!</f>
        <v>#REF!</v>
      </c>
      <c r="X27" s="4" t="e">
        <f>#REF!</f>
        <v>#REF!</v>
      </c>
      <c r="Y27" s="4" t="e">
        <f>#REF!</f>
        <v>#REF!</v>
      </c>
      <c r="Z27" s="4" t="e">
        <f>#REF!</f>
        <v>#REF!</v>
      </c>
      <c r="AA27" s="4" t="e">
        <f>#REF!</f>
        <v>#REF!</v>
      </c>
      <c r="AB27" s="213" t="e">
        <f>#REF!</f>
        <v>#REF!</v>
      </c>
      <c r="AC27" s="3" t="e">
        <f>#REF!</f>
        <v>#REF!</v>
      </c>
    </row>
    <row r="28" spans="1:29" ht="45" customHeight="1">
      <c r="A28" s="3">
        <f t="shared" si="0"/>
        <v>24</v>
      </c>
      <c r="B28" s="3" t="e">
        <f>#REF!</f>
        <v>#REF!</v>
      </c>
      <c r="C28" s="213" t="e">
        <f>#REF!</f>
        <v>#REF!</v>
      </c>
      <c r="D28" s="4" t="e">
        <f>#REF!</f>
        <v>#REF!</v>
      </c>
      <c r="E28" s="4" t="e">
        <f>#REF!</f>
        <v>#REF!</v>
      </c>
      <c r="F28" s="4" t="e">
        <f>#REF!</f>
        <v>#REF!</v>
      </c>
      <c r="G28" s="4" t="e">
        <f>#REF!</f>
        <v>#REF!</v>
      </c>
      <c r="H28" s="4" t="e">
        <f>#REF!</f>
        <v>#REF!</v>
      </c>
      <c r="I28" s="4" t="e">
        <f>#REF!</f>
        <v>#REF!</v>
      </c>
      <c r="J28" s="4" t="e">
        <f>#REF!</f>
        <v>#REF!</v>
      </c>
      <c r="K28" s="4" t="e">
        <f>#REF!</f>
        <v>#REF!</v>
      </c>
      <c r="L28" s="4" t="e">
        <f>#REF!</f>
        <v>#REF!</v>
      </c>
      <c r="M28" s="4" t="e">
        <f>#REF!</f>
        <v>#REF!</v>
      </c>
      <c r="N28" s="4" t="e">
        <f>#REF!</f>
        <v>#REF!</v>
      </c>
      <c r="O28" s="4" t="e">
        <f>#REF!</f>
        <v>#REF!</v>
      </c>
      <c r="P28" s="4" t="e">
        <f>#REF!</f>
        <v>#REF!</v>
      </c>
      <c r="Q28" s="4" t="e">
        <f>#REF!</f>
        <v>#REF!</v>
      </c>
      <c r="R28" s="4" t="e">
        <f>#REF!</f>
        <v>#REF!</v>
      </c>
      <c r="S28" s="4" t="e">
        <f>#REF!</f>
        <v>#REF!</v>
      </c>
      <c r="T28" s="4" t="e">
        <f>#REF!</f>
        <v>#REF!</v>
      </c>
      <c r="U28" s="4" t="e">
        <f>#REF!</f>
        <v>#REF!</v>
      </c>
      <c r="V28" s="4" t="e">
        <f>#REF!</f>
        <v>#REF!</v>
      </c>
      <c r="W28" s="4" t="e">
        <f>#REF!</f>
        <v>#REF!</v>
      </c>
      <c r="X28" s="4" t="e">
        <f>#REF!</f>
        <v>#REF!</v>
      </c>
      <c r="Y28" s="4" t="e">
        <f>#REF!</f>
        <v>#REF!</v>
      </c>
      <c r="Z28" s="4" t="e">
        <f>#REF!</f>
        <v>#REF!</v>
      </c>
      <c r="AA28" s="4" t="e">
        <f>#REF!</f>
        <v>#REF!</v>
      </c>
      <c r="AB28" s="213" t="e">
        <f>#REF!</f>
        <v>#REF!</v>
      </c>
      <c r="AC28" s="3" t="e">
        <f>#REF!</f>
        <v>#REF!</v>
      </c>
    </row>
    <row r="29" spans="1:29" ht="45" customHeight="1">
      <c r="A29" s="3">
        <f t="shared" si="0"/>
        <v>25</v>
      </c>
      <c r="B29" s="3" t="e">
        <f>#REF!</f>
        <v>#REF!</v>
      </c>
      <c r="C29" s="213" t="e">
        <f>#REF!</f>
        <v>#REF!</v>
      </c>
      <c r="D29" s="4" t="e">
        <f>#REF!</f>
        <v>#REF!</v>
      </c>
      <c r="E29" s="4" t="e">
        <f>#REF!</f>
        <v>#REF!</v>
      </c>
      <c r="F29" s="4" t="e">
        <f>#REF!</f>
        <v>#REF!</v>
      </c>
      <c r="G29" s="4" t="e">
        <f>#REF!</f>
        <v>#REF!</v>
      </c>
      <c r="H29" s="4" t="e">
        <f>#REF!</f>
        <v>#REF!</v>
      </c>
      <c r="I29" s="4" t="e">
        <f>#REF!</f>
        <v>#REF!</v>
      </c>
      <c r="J29" s="4" t="e">
        <f>#REF!</f>
        <v>#REF!</v>
      </c>
      <c r="K29" s="4" t="e">
        <f>#REF!</f>
        <v>#REF!</v>
      </c>
      <c r="L29" s="4" t="e">
        <f>#REF!</f>
        <v>#REF!</v>
      </c>
      <c r="M29" s="4" t="e">
        <f>#REF!</f>
        <v>#REF!</v>
      </c>
      <c r="N29" s="4" t="e">
        <f>#REF!</f>
        <v>#REF!</v>
      </c>
      <c r="O29" s="4" t="e">
        <f>#REF!</f>
        <v>#REF!</v>
      </c>
      <c r="P29" s="4" t="e">
        <f>#REF!</f>
        <v>#REF!</v>
      </c>
      <c r="Q29" s="4" t="e">
        <f>#REF!</f>
        <v>#REF!</v>
      </c>
      <c r="R29" s="4" t="e">
        <f>#REF!</f>
        <v>#REF!</v>
      </c>
      <c r="S29" s="4" t="e">
        <f>#REF!</f>
        <v>#REF!</v>
      </c>
      <c r="T29" s="4" t="e">
        <f>#REF!</f>
        <v>#REF!</v>
      </c>
      <c r="U29" s="4" t="e">
        <f>#REF!</f>
        <v>#REF!</v>
      </c>
      <c r="V29" s="4" t="e">
        <f>#REF!</f>
        <v>#REF!</v>
      </c>
      <c r="W29" s="4" t="e">
        <f>#REF!</f>
        <v>#REF!</v>
      </c>
      <c r="X29" s="4" t="e">
        <f>#REF!</f>
        <v>#REF!</v>
      </c>
      <c r="Y29" s="4" t="e">
        <f>#REF!</f>
        <v>#REF!</v>
      </c>
      <c r="Z29" s="4" t="e">
        <f>#REF!</f>
        <v>#REF!</v>
      </c>
      <c r="AA29" s="4" t="e">
        <f>#REF!</f>
        <v>#REF!</v>
      </c>
      <c r="AB29" s="213" t="e">
        <f>#REF!</f>
        <v>#REF!</v>
      </c>
      <c r="AC29" s="3" t="e">
        <f>#REF!</f>
        <v>#REF!</v>
      </c>
    </row>
    <row r="30" spans="1:29" ht="45" customHeight="1">
      <c r="A30" s="3">
        <f t="shared" si="0"/>
        <v>26</v>
      </c>
      <c r="B30" s="3" t="e">
        <f>#REF!</f>
        <v>#REF!</v>
      </c>
      <c r="C30" s="213" t="e">
        <f>#REF!</f>
        <v>#REF!</v>
      </c>
      <c r="D30" s="4" t="e">
        <f>#REF!</f>
        <v>#REF!</v>
      </c>
      <c r="E30" s="4" t="e">
        <f>#REF!</f>
        <v>#REF!</v>
      </c>
      <c r="F30" s="4" t="e">
        <f>#REF!</f>
        <v>#REF!</v>
      </c>
      <c r="G30" s="4" t="e">
        <f>#REF!</f>
        <v>#REF!</v>
      </c>
      <c r="H30" s="4" t="e">
        <f>#REF!</f>
        <v>#REF!</v>
      </c>
      <c r="I30" s="4" t="e">
        <f>#REF!</f>
        <v>#REF!</v>
      </c>
      <c r="J30" s="4" t="e">
        <f>#REF!</f>
        <v>#REF!</v>
      </c>
      <c r="K30" s="4" t="e">
        <f>#REF!</f>
        <v>#REF!</v>
      </c>
      <c r="L30" s="4" t="e">
        <f>#REF!</f>
        <v>#REF!</v>
      </c>
      <c r="M30" s="4" t="e">
        <f>#REF!</f>
        <v>#REF!</v>
      </c>
      <c r="N30" s="4" t="e">
        <f>#REF!</f>
        <v>#REF!</v>
      </c>
      <c r="O30" s="4" t="e">
        <f>#REF!</f>
        <v>#REF!</v>
      </c>
      <c r="P30" s="4" t="e">
        <f>#REF!</f>
        <v>#REF!</v>
      </c>
      <c r="Q30" s="4" t="e">
        <f>#REF!</f>
        <v>#REF!</v>
      </c>
      <c r="R30" s="4" t="e">
        <f>#REF!</f>
        <v>#REF!</v>
      </c>
      <c r="S30" s="4" t="e">
        <f>#REF!</f>
        <v>#REF!</v>
      </c>
      <c r="T30" s="4" t="e">
        <f>#REF!</f>
        <v>#REF!</v>
      </c>
      <c r="U30" s="4" t="e">
        <f>#REF!</f>
        <v>#REF!</v>
      </c>
      <c r="V30" s="4" t="e">
        <f>#REF!</f>
        <v>#REF!</v>
      </c>
      <c r="W30" s="4" t="e">
        <f>#REF!</f>
        <v>#REF!</v>
      </c>
      <c r="X30" s="4" t="e">
        <f>#REF!</f>
        <v>#REF!</v>
      </c>
      <c r="Y30" s="4" t="e">
        <f>#REF!</f>
        <v>#REF!</v>
      </c>
      <c r="Z30" s="4" t="e">
        <f>#REF!</f>
        <v>#REF!</v>
      </c>
      <c r="AA30" s="4" t="e">
        <f>#REF!</f>
        <v>#REF!</v>
      </c>
      <c r="AB30" s="213" t="e">
        <f>#REF!</f>
        <v>#REF!</v>
      </c>
      <c r="AC30" s="3" t="e">
        <f>#REF!</f>
        <v>#REF!</v>
      </c>
    </row>
    <row r="31" spans="1:29" ht="45" customHeight="1">
      <c r="A31" s="3">
        <f t="shared" si="0"/>
        <v>27</v>
      </c>
      <c r="B31" s="3" t="e">
        <f>#REF!</f>
        <v>#REF!</v>
      </c>
      <c r="C31" s="213" t="e">
        <f>#REF!</f>
        <v>#REF!</v>
      </c>
      <c r="D31" s="4" t="e">
        <f>#REF!</f>
        <v>#REF!</v>
      </c>
      <c r="E31" s="4" t="e">
        <f>#REF!</f>
        <v>#REF!</v>
      </c>
      <c r="F31" s="4" t="e">
        <f>#REF!</f>
        <v>#REF!</v>
      </c>
      <c r="G31" s="4" t="e">
        <f>#REF!</f>
        <v>#REF!</v>
      </c>
      <c r="H31" s="4" t="e">
        <f>#REF!</f>
        <v>#REF!</v>
      </c>
      <c r="I31" s="4" t="e">
        <f>#REF!</f>
        <v>#REF!</v>
      </c>
      <c r="J31" s="4" t="e">
        <f>#REF!</f>
        <v>#REF!</v>
      </c>
      <c r="K31" s="4" t="e">
        <f>#REF!</f>
        <v>#REF!</v>
      </c>
      <c r="L31" s="4" t="e">
        <f>#REF!</f>
        <v>#REF!</v>
      </c>
      <c r="M31" s="4" t="e">
        <f>#REF!</f>
        <v>#REF!</v>
      </c>
      <c r="N31" s="4" t="e">
        <f>#REF!</f>
        <v>#REF!</v>
      </c>
      <c r="O31" s="4" t="e">
        <f>#REF!</f>
        <v>#REF!</v>
      </c>
      <c r="P31" s="4" t="e">
        <f>#REF!</f>
        <v>#REF!</v>
      </c>
      <c r="Q31" s="4" t="e">
        <f>#REF!</f>
        <v>#REF!</v>
      </c>
      <c r="R31" s="4" t="e">
        <f>#REF!</f>
        <v>#REF!</v>
      </c>
      <c r="S31" s="4" t="e">
        <f>#REF!</f>
        <v>#REF!</v>
      </c>
      <c r="T31" s="4" t="e">
        <f>#REF!</f>
        <v>#REF!</v>
      </c>
      <c r="U31" s="4" t="e">
        <f>#REF!</f>
        <v>#REF!</v>
      </c>
      <c r="V31" s="4" t="e">
        <f>#REF!</f>
        <v>#REF!</v>
      </c>
      <c r="W31" s="4" t="e">
        <f>#REF!</f>
        <v>#REF!</v>
      </c>
      <c r="X31" s="4" t="e">
        <f>#REF!</f>
        <v>#REF!</v>
      </c>
      <c r="Y31" s="4" t="e">
        <f>#REF!</f>
        <v>#REF!</v>
      </c>
      <c r="Z31" s="4" t="e">
        <f>#REF!</f>
        <v>#REF!</v>
      </c>
      <c r="AA31" s="4" t="e">
        <f>#REF!</f>
        <v>#REF!</v>
      </c>
      <c r="AB31" s="213" t="e">
        <f>#REF!</f>
        <v>#REF!</v>
      </c>
      <c r="AC31" s="3" t="e">
        <f>#REF!</f>
        <v>#REF!</v>
      </c>
    </row>
    <row r="32" spans="1:29" ht="45" customHeight="1">
      <c r="A32" s="3">
        <f t="shared" si="0"/>
        <v>28</v>
      </c>
      <c r="B32" s="3" t="e">
        <f>#REF!</f>
        <v>#REF!</v>
      </c>
      <c r="C32" s="213" t="e">
        <f>#REF!</f>
        <v>#REF!</v>
      </c>
      <c r="D32" s="4" t="e">
        <f>#REF!</f>
        <v>#REF!</v>
      </c>
      <c r="E32" s="4" t="e">
        <f>#REF!</f>
        <v>#REF!</v>
      </c>
      <c r="F32" s="4" t="e">
        <f>#REF!</f>
        <v>#REF!</v>
      </c>
      <c r="G32" s="4" t="e">
        <f>#REF!</f>
        <v>#REF!</v>
      </c>
      <c r="H32" s="4" t="e">
        <f>#REF!</f>
        <v>#REF!</v>
      </c>
      <c r="I32" s="4" t="e">
        <f>#REF!</f>
        <v>#REF!</v>
      </c>
      <c r="J32" s="4" t="e">
        <f>#REF!</f>
        <v>#REF!</v>
      </c>
      <c r="K32" s="4" t="e">
        <f>#REF!</f>
        <v>#REF!</v>
      </c>
      <c r="L32" s="4" t="e">
        <f>#REF!</f>
        <v>#REF!</v>
      </c>
      <c r="M32" s="4" t="e">
        <f>#REF!</f>
        <v>#REF!</v>
      </c>
      <c r="N32" s="4" t="e">
        <f>#REF!</f>
        <v>#REF!</v>
      </c>
      <c r="O32" s="4" t="e">
        <f>#REF!</f>
        <v>#REF!</v>
      </c>
      <c r="P32" s="4" t="e">
        <f>#REF!</f>
        <v>#REF!</v>
      </c>
      <c r="Q32" s="4" t="e">
        <f>#REF!</f>
        <v>#REF!</v>
      </c>
      <c r="R32" s="4" t="e">
        <f>#REF!</f>
        <v>#REF!</v>
      </c>
      <c r="S32" s="4" t="e">
        <f>#REF!</f>
        <v>#REF!</v>
      </c>
      <c r="T32" s="4" t="e">
        <f>#REF!</f>
        <v>#REF!</v>
      </c>
      <c r="U32" s="4" t="e">
        <f>#REF!</f>
        <v>#REF!</v>
      </c>
      <c r="V32" s="4" t="e">
        <f>#REF!</f>
        <v>#REF!</v>
      </c>
      <c r="W32" s="4" t="e">
        <f>#REF!</f>
        <v>#REF!</v>
      </c>
      <c r="X32" s="4" t="e">
        <f>#REF!</f>
        <v>#REF!</v>
      </c>
      <c r="Y32" s="4" t="e">
        <f>#REF!</f>
        <v>#REF!</v>
      </c>
      <c r="Z32" s="4" t="e">
        <f>#REF!</f>
        <v>#REF!</v>
      </c>
      <c r="AA32" s="4" t="e">
        <f>#REF!</f>
        <v>#REF!</v>
      </c>
      <c r="AB32" s="213" t="e">
        <f>#REF!</f>
        <v>#REF!</v>
      </c>
      <c r="AC32" s="3" t="e">
        <f>#REF!</f>
        <v>#REF!</v>
      </c>
    </row>
    <row r="33" spans="1:29" ht="45" customHeight="1">
      <c r="A33" s="3">
        <f t="shared" si="0"/>
        <v>29</v>
      </c>
      <c r="B33" s="3" t="e">
        <f>#REF!</f>
        <v>#REF!</v>
      </c>
      <c r="C33" s="213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4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213" t="e">
        <f>#REF!</f>
        <v>#REF!</v>
      </c>
      <c r="AC33" s="3" t="e">
        <f>#REF!</f>
        <v>#REF!</v>
      </c>
    </row>
    <row r="34" spans="1:29" ht="45" customHeight="1">
      <c r="A34" s="3">
        <f t="shared" si="0"/>
        <v>30</v>
      </c>
      <c r="B34" s="3" t="e">
        <f>#REF!</f>
        <v>#REF!</v>
      </c>
      <c r="C34" s="213" t="e">
        <f>#REF!</f>
        <v>#REF!</v>
      </c>
      <c r="D34" s="4" t="e">
        <f>#REF!</f>
        <v>#REF!</v>
      </c>
      <c r="E34" s="4" t="e">
        <f>#REF!</f>
        <v>#REF!</v>
      </c>
      <c r="F34" s="4" t="e">
        <f>#REF!</f>
        <v>#REF!</v>
      </c>
      <c r="G34" s="4" t="e">
        <f>#REF!</f>
        <v>#REF!</v>
      </c>
      <c r="H34" s="4" t="e">
        <f>#REF!</f>
        <v>#REF!</v>
      </c>
      <c r="I34" s="4" t="e">
        <f>#REF!</f>
        <v>#REF!</v>
      </c>
      <c r="J34" s="4" t="e">
        <f>#REF!</f>
        <v>#REF!</v>
      </c>
      <c r="K34" s="4" t="e">
        <f>#REF!</f>
        <v>#REF!</v>
      </c>
      <c r="L34" s="4" t="e">
        <f>#REF!</f>
        <v>#REF!</v>
      </c>
      <c r="M34" s="4" t="e">
        <f>#REF!</f>
        <v>#REF!</v>
      </c>
      <c r="N34" s="4" t="e">
        <f>#REF!</f>
        <v>#REF!</v>
      </c>
      <c r="O34" s="4" t="e">
        <f>#REF!</f>
        <v>#REF!</v>
      </c>
      <c r="P34" s="4" t="e">
        <f>#REF!</f>
        <v>#REF!</v>
      </c>
      <c r="Q34" s="4" t="e">
        <f>#REF!</f>
        <v>#REF!</v>
      </c>
      <c r="R34" s="4" t="e">
        <f>#REF!</f>
        <v>#REF!</v>
      </c>
      <c r="S34" s="4" t="e">
        <f>#REF!</f>
        <v>#REF!</v>
      </c>
      <c r="T34" s="4" t="e">
        <f>#REF!</f>
        <v>#REF!</v>
      </c>
      <c r="U34" s="4" t="e">
        <f>#REF!</f>
        <v>#REF!</v>
      </c>
      <c r="V34" s="4" t="e">
        <f>#REF!</f>
        <v>#REF!</v>
      </c>
      <c r="W34" s="4" t="e">
        <f>#REF!</f>
        <v>#REF!</v>
      </c>
      <c r="X34" s="4" t="e">
        <f>#REF!</f>
        <v>#REF!</v>
      </c>
      <c r="Y34" s="4" t="e">
        <f>#REF!</f>
        <v>#REF!</v>
      </c>
      <c r="Z34" s="4" t="e">
        <f>#REF!</f>
        <v>#REF!</v>
      </c>
      <c r="AA34" s="4" t="e">
        <f>#REF!</f>
        <v>#REF!</v>
      </c>
      <c r="AB34" s="213" t="e">
        <f>#REF!</f>
        <v>#REF!</v>
      </c>
      <c r="AC34" s="3" t="e">
        <f>#REF!</f>
        <v>#REF!</v>
      </c>
    </row>
    <row r="35" spans="1:29" ht="13.8">
      <c r="A35" s="3">
        <f t="shared" si="0"/>
        <v>31</v>
      </c>
      <c r="B35" s="3" t="e">
        <f>#REF!</f>
        <v>#REF!</v>
      </c>
      <c r="C35" s="213" t="e">
        <f>#REF!</f>
        <v>#REF!</v>
      </c>
      <c r="D35" s="4" t="e">
        <f>#REF!</f>
        <v>#REF!</v>
      </c>
      <c r="E35" s="4" t="e">
        <f>#REF!</f>
        <v>#REF!</v>
      </c>
      <c r="F35" s="4" t="e">
        <f>#REF!</f>
        <v>#REF!</v>
      </c>
      <c r="G35" s="4" t="e">
        <f>#REF!</f>
        <v>#REF!</v>
      </c>
      <c r="H35" s="4" t="e">
        <f>#REF!</f>
        <v>#REF!</v>
      </c>
      <c r="I35" s="4" t="e">
        <f>#REF!</f>
        <v>#REF!</v>
      </c>
      <c r="J35" s="4" t="e">
        <f>#REF!</f>
        <v>#REF!</v>
      </c>
      <c r="K35" s="4" t="e">
        <f>#REF!</f>
        <v>#REF!</v>
      </c>
      <c r="L35" s="4" t="e">
        <f>#REF!</f>
        <v>#REF!</v>
      </c>
      <c r="M35" s="4" t="e">
        <f>#REF!</f>
        <v>#REF!</v>
      </c>
      <c r="N35" s="4" t="e">
        <f>#REF!</f>
        <v>#REF!</v>
      </c>
      <c r="O35" s="4" t="e">
        <f>#REF!</f>
        <v>#REF!</v>
      </c>
      <c r="P35" s="4" t="e">
        <f>#REF!</f>
        <v>#REF!</v>
      </c>
      <c r="Q35" s="4" t="e">
        <f>#REF!</f>
        <v>#REF!</v>
      </c>
      <c r="R35" s="4" t="e">
        <f>#REF!</f>
        <v>#REF!</v>
      </c>
      <c r="S35" s="4" t="e">
        <f>#REF!</f>
        <v>#REF!</v>
      </c>
      <c r="T35" s="4" t="e">
        <f>#REF!</f>
        <v>#REF!</v>
      </c>
      <c r="U35" s="4" t="e">
        <f>#REF!</f>
        <v>#REF!</v>
      </c>
      <c r="V35" s="4" t="e">
        <f>#REF!</f>
        <v>#REF!</v>
      </c>
      <c r="W35" s="4" t="e">
        <f>#REF!</f>
        <v>#REF!</v>
      </c>
      <c r="X35" s="4" t="e">
        <f>#REF!</f>
        <v>#REF!</v>
      </c>
      <c r="Y35" s="4" t="e">
        <f>#REF!</f>
        <v>#REF!</v>
      </c>
      <c r="Z35" s="4" t="e">
        <f>#REF!</f>
        <v>#REF!</v>
      </c>
      <c r="AA35" s="4" t="e">
        <f>#REF!</f>
        <v>#REF!</v>
      </c>
      <c r="AB35" s="213" t="e">
        <f>#REF!</f>
        <v>#REF!</v>
      </c>
      <c r="AC35" s="3" t="e">
        <f>#REF!</f>
        <v>#REF!</v>
      </c>
    </row>
    <row r="36" spans="1:29" ht="13.8">
      <c r="A36" s="3">
        <f t="shared" si="0"/>
        <v>32</v>
      </c>
      <c r="B36" s="3" t="e">
        <f>#REF!</f>
        <v>#REF!</v>
      </c>
      <c r="C36" s="213" t="e">
        <f>#REF!</f>
        <v>#REF!</v>
      </c>
      <c r="D36" s="4" t="e">
        <f>#REF!</f>
        <v>#REF!</v>
      </c>
      <c r="E36" s="4" t="e">
        <f>#REF!</f>
        <v>#REF!</v>
      </c>
      <c r="F36" s="4" t="e">
        <f>#REF!</f>
        <v>#REF!</v>
      </c>
      <c r="G36" s="4" t="e">
        <f>#REF!</f>
        <v>#REF!</v>
      </c>
      <c r="H36" s="4" t="e">
        <f>#REF!</f>
        <v>#REF!</v>
      </c>
      <c r="I36" s="4" t="e">
        <f>#REF!</f>
        <v>#REF!</v>
      </c>
      <c r="J36" s="4" t="e">
        <f>#REF!</f>
        <v>#REF!</v>
      </c>
      <c r="K36" s="4" t="e">
        <f>#REF!</f>
        <v>#REF!</v>
      </c>
      <c r="L36" s="4" t="e">
        <f>#REF!</f>
        <v>#REF!</v>
      </c>
      <c r="M36" s="4" t="e">
        <f>#REF!</f>
        <v>#REF!</v>
      </c>
      <c r="N36" s="4" t="e">
        <f>#REF!</f>
        <v>#REF!</v>
      </c>
      <c r="O36" s="4" t="e">
        <f>#REF!</f>
        <v>#REF!</v>
      </c>
      <c r="P36" s="4" t="e">
        <f>#REF!</f>
        <v>#REF!</v>
      </c>
      <c r="Q36" s="4" t="e">
        <f>#REF!</f>
        <v>#REF!</v>
      </c>
      <c r="R36" s="4" t="e">
        <f>#REF!</f>
        <v>#REF!</v>
      </c>
      <c r="S36" s="4" t="e">
        <f>#REF!</f>
        <v>#REF!</v>
      </c>
      <c r="T36" s="4" t="e">
        <f>#REF!</f>
        <v>#REF!</v>
      </c>
      <c r="U36" s="4" t="e">
        <f>#REF!</f>
        <v>#REF!</v>
      </c>
      <c r="V36" s="4" t="e">
        <f>#REF!</f>
        <v>#REF!</v>
      </c>
      <c r="W36" s="4" t="e">
        <f>#REF!</f>
        <v>#REF!</v>
      </c>
      <c r="X36" s="4" t="e">
        <f>#REF!</f>
        <v>#REF!</v>
      </c>
      <c r="Y36" s="4" t="e">
        <f>#REF!</f>
        <v>#REF!</v>
      </c>
      <c r="Z36" s="4" t="e">
        <f>#REF!</f>
        <v>#REF!</v>
      </c>
      <c r="AA36" s="4" t="e">
        <f>#REF!</f>
        <v>#REF!</v>
      </c>
      <c r="AB36" s="213" t="e">
        <f>#REF!</f>
        <v>#REF!</v>
      </c>
      <c r="AC36" s="3" t="e">
        <f>#REF!</f>
        <v>#REF!</v>
      </c>
    </row>
    <row r="37" spans="1:29" ht="45" customHeight="1">
      <c r="A37" s="3">
        <f t="shared" si="0"/>
        <v>33</v>
      </c>
      <c r="B37" s="3" t="e">
        <f>#REF!</f>
        <v>#REF!</v>
      </c>
      <c r="C37" s="213" t="e">
        <f>#REF!</f>
        <v>#REF!</v>
      </c>
      <c r="D37" s="4" t="e">
        <f>#REF!</f>
        <v>#REF!</v>
      </c>
      <c r="E37" s="4" t="e">
        <f>#REF!</f>
        <v>#REF!</v>
      </c>
      <c r="F37" s="4" t="e">
        <f>#REF!</f>
        <v>#REF!</v>
      </c>
      <c r="G37" s="4" t="e">
        <f>#REF!</f>
        <v>#REF!</v>
      </c>
      <c r="H37" s="4" t="e">
        <f>#REF!</f>
        <v>#REF!</v>
      </c>
      <c r="I37" s="4" t="e">
        <f>#REF!</f>
        <v>#REF!</v>
      </c>
      <c r="J37" s="4" t="e">
        <f>#REF!</f>
        <v>#REF!</v>
      </c>
      <c r="K37" s="4" t="e">
        <f>#REF!</f>
        <v>#REF!</v>
      </c>
      <c r="L37" s="4" t="e">
        <f>#REF!</f>
        <v>#REF!</v>
      </c>
      <c r="M37" s="4" t="e">
        <f>#REF!</f>
        <v>#REF!</v>
      </c>
      <c r="N37" s="4" t="e">
        <f>#REF!</f>
        <v>#REF!</v>
      </c>
      <c r="O37" s="4" t="e">
        <f>#REF!</f>
        <v>#REF!</v>
      </c>
      <c r="P37" s="4" t="e">
        <f>#REF!</f>
        <v>#REF!</v>
      </c>
      <c r="Q37" s="4" t="e">
        <f>#REF!</f>
        <v>#REF!</v>
      </c>
      <c r="R37" s="4" t="e">
        <f>#REF!</f>
        <v>#REF!</v>
      </c>
      <c r="S37" s="4" t="e">
        <f>#REF!</f>
        <v>#REF!</v>
      </c>
      <c r="T37" s="4" t="e">
        <f>#REF!</f>
        <v>#REF!</v>
      </c>
      <c r="U37" s="4" t="e">
        <f>#REF!</f>
        <v>#REF!</v>
      </c>
      <c r="V37" s="4" t="e">
        <f>#REF!</f>
        <v>#REF!</v>
      </c>
      <c r="W37" s="4" t="e">
        <f>#REF!</f>
        <v>#REF!</v>
      </c>
      <c r="X37" s="4" t="e">
        <f>#REF!</f>
        <v>#REF!</v>
      </c>
      <c r="Y37" s="4" t="e">
        <f>#REF!</f>
        <v>#REF!</v>
      </c>
      <c r="Z37" s="4" t="e">
        <f>#REF!</f>
        <v>#REF!</v>
      </c>
      <c r="AA37" s="4" t="e">
        <f>#REF!</f>
        <v>#REF!</v>
      </c>
      <c r="AB37" s="213" t="e">
        <f>#REF!</f>
        <v>#REF!</v>
      </c>
      <c r="AC37" s="3" t="e">
        <f>#REF!</f>
        <v>#REF!</v>
      </c>
    </row>
    <row r="38" spans="1:29" ht="45" customHeight="1">
      <c r="A38" s="3">
        <f t="shared" si="0"/>
        <v>34</v>
      </c>
      <c r="B38" s="3" t="e">
        <f>#REF!</f>
        <v>#REF!</v>
      </c>
      <c r="C38" s="213" t="e">
        <f>#REF!</f>
        <v>#REF!</v>
      </c>
      <c r="D38" s="4" t="e">
        <f>#REF!</f>
        <v>#REF!</v>
      </c>
      <c r="E38" s="4" t="e">
        <f>#REF!</f>
        <v>#REF!</v>
      </c>
      <c r="F38" s="4" t="e">
        <f>#REF!</f>
        <v>#REF!</v>
      </c>
      <c r="G38" s="4" t="e">
        <f>#REF!</f>
        <v>#REF!</v>
      </c>
      <c r="H38" s="4" t="e">
        <f>#REF!</f>
        <v>#REF!</v>
      </c>
      <c r="I38" s="4" t="e">
        <f>#REF!</f>
        <v>#REF!</v>
      </c>
      <c r="J38" s="4" t="e">
        <f>#REF!</f>
        <v>#REF!</v>
      </c>
      <c r="K38" s="4" t="e">
        <f>#REF!</f>
        <v>#REF!</v>
      </c>
      <c r="L38" s="4" t="e">
        <f>#REF!</f>
        <v>#REF!</v>
      </c>
      <c r="M38" s="4" t="e">
        <f>#REF!</f>
        <v>#REF!</v>
      </c>
      <c r="N38" s="4" t="e">
        <f>#REF!</f>
        <v>#REF!</v>
      </c>
      <c r="O38" s="4" t="e">
        <f>#REF!</f>
        <v>#REF!</v>
      </c>
      <c r="P38" s="4" t="e">
        <f>#REF!</f>
        <v>#REF!</v>
      </c>
      <c r="Q38" s="4" t="e">
        <f>#REF!</f>
        <v>#REF!</v>
      </c>
      <c r="R38" s="4" t="e">
        <f>#REF!</f>
        <v>#REF!</v>
      </c>
      <c r="S38" s="4" t="e">
        <f>#REF!</f>
        <v>#REF!</v>
      </c>
      <c r="T38" s="4" t="e">
        <f>#REF!</f>
        <v>#REF!</v>
      </c>
      <c r="U38" s="4" t="e">
        <f>#REF!</f>
        <v>#REF!</v>
      </c>
      <c r="V38" s="4" t="e">
        <f>#REF!</f>
        <v>#REF!</v>
      </c>
      <c r="W38" s="4" t="e">
        <f>#REF!</f>
        <v>#REF!</v>
      </c>
      <c r="X38" s="4" t="e">
        <f>#REF!</f>
        <v>#REF!</v>
      </c>
      <c r="Y38" s="4" t="e">
        <f>#REF!</f>
        <v>#REF!</v>
      </c>
      <c r="Z38" s="4" t="e">
        <f>#REF!</f>
        <v>#REF!</v>
      </c>
      <c r="AA38" s="4" t="e">
        <f>#REF!</f>
        <v>#REF!</v>
      </c>
      <c r="AB38" s="213" t="e">
        <f>#REF!</f>
        <v>#REF!</v>
      </c>
      <c r="AC38" s="3" t="e">
        <f>#REF!</f>
        <v>#REF!</v>
      </c>
    </row>
    <row r="39" spans="1:29" ht="45" customHeight="1">
      <c r="A39" s="3">
        <f t="shared" si="0"/>
        <v>35</v>
      </c>
      <c r="B39" s="3" t="e">
        <f>#REF!</f>
        <v>#REF!</v>
      </c>
      <c r="C39" s="213" t="e">
        <f>#REF!</f>
        <v>#REF!</v>
      </c>
      <c r="D39" s="4" t="e">
        <f>#REF!</f>
        <v>#REF!</v>
      </c>
      <c r="E39" s="4" t="e">
        <f>#REF!</f>
        <v>#REF!</v>
      </c>
      <c r="F39" s="4" t="e">
        <f>#REF!</f>
        <v>#REF!</v>
      </c>
      <c r="G39" s="4" t="e">
        <f>#REF!</f>
        <v>#REF!</v>
      </c>
      <c r="H39" s="4" t="e">
        <f>#REF!</f>
        <v>#REF!</v>
      </c>
      <c r="I39" s="4" t="e">
        <f>#REF!</f>
        <v>#REF!</v>
      </c>
      <c r="J39" s="4" t="e">
        <f>#REF!</f>
        <v>#REF!</v>
      </c>
      <c r="K39" s="4" t="e">
        <f>#REF!</f>
        <v>#REF!</v>
      </c>
      <c r="L39" s="4" t="e">
        <f>#REF!</f>
        <v>#REF!</v>
      </c>
      <c r="M39" s="4" t="e">
        <f>#REF!</f>
        <v>#REF!</v>
      </c>
      <c r="N39" s="4" t="e">
        <f>#REF!</f>
        <v>#REF!</v>
      </c>
      <c r="O39" s="4" t="e">
        <f>#REF!</f>
        <v>#REF!</v>
      </c>
      <c r="P39" s="4" t="e">
        <f>#REF!</f>
        <v>#REF!</v>
      </c>
      <c r="Q39" s="4" t="e">
        <f>#REF!</f>
        <v>#REF!</v>
      </c>
      <c r="R39" s="4" t="e">
        <f>#REF!</f>
        <v>#REF!</v>
      </c>
      <c r="S39" s="4" t="e">
        <f>#REF!</f>
        <v>#REF!</v>
      </c>
      <c r="T39" s="4" t="e">
        <f>#REF!</f>
        <v>#REF!</v>
      </c>
      <c r="U39" s="4" t="e">
        <f>#REF!</f>
        <v>#REF!</v>
      </c>
      <c r="V39" s="4" t="e">
        <f>#REF!</f>
        <v>#REF!</v>
      </c>
      <c r="W39" s="4" t="e">
        <f>#REF!</f>
        <v>#REF!</v>
      </c>
      <c r="X39" s="4" t="e">
        <f>#REF!</f>
        <v>#REF!</v>
      </c>
      <c r="Y39" s="4" t="e">
        <f>#REF!</f>
        <v>#REF!</v>
      </c>
      <c r="Z39" s="4" t="e">
        <f>#REF!</f>
        <v>#REF!</v>
      </c>
      <c r="AA39" s="4" t="e">
        <f>#REF!</f>
        <v>#REF!</v>
      </c>
      <c r="AB39" s="213" t="e">
        <f>#REF!</f>
        <v>#REF!</v>
      </c>
      <c r="AC39" s="3" t="e">
        <f>#REF!</f>
        <v>#REF!</v>
      </c>
    </row>
    <row r="40" spans="1:29" ht="45" customHeight="1">
      <c r="A40" s="3">
        <f t="shared" si="0"/>
        <v>36</v>
      </c>
      <c r="B40" s="3" t="e">
        <f>#REF!</f>
        <v>#REF!</v>
      </c>
      <c r="C40" s="213" t="e">
        <f>#REF!</f>
        <v>#REF!</v>
      </c>
      <c r="D40" s="4" t="e">
        <f>#REF!</f>
        <v>#REF!</v>
      </c>
      <c r="E40" s="4" t="e">
        <f>#REF!</f>
        <v>#REF!</v>
      </c>
      <c r="F40" s="4" t="e">
        <f>#REF!</f>
        <v>#REF!</v>
      </c>
      <c r="G40" s="4" t="e">
        <f>#REF!</f>
        <v>#REF!</v>
      </c>
      <c r="H40" s="4" t="e">
        <f>#REF!</f>
        <v>#REF!</v>
      </c>
      <c r="I40" s="4" t="e">
        <f>#REF!</f>
        <v>#REF!</v>
      </c>
      <c r="J40" s="4" t="e">
        <f>#REF!</f>
        <v>#REF!</v>
      </c>
      <c r="K40" s="4" t="e">
        <f>#REF!</f>
        <v>#REF!</v>
      </c>
      <c r="L40" s="4" t="e">
        <f>#REF!</f>
        <v>#REF!</v>
      </c>
      <c r="M40" s="4" t="e">
        <f>#REF!</f>
        <v>#REF!</v>
      </c>
      <c r="N40" s="4" t="e">
        <f>#REF!</f>
        <v>#REF!</v>
      </c>
      <c r="O40" s="4" t="e">
        <f>#REF!</f>
        <v>#REF!</v>
      </c>
      <c r="P40" s="4" t="e">
        <f>#REF!</f>
        <v>#REF!</v>
      </c>
      <c r="Q40" s="4" t="e">
        <f>#REF!</f>
        <v>#REF!</v>
      </c>
      <c r="R40" s="4" t="e">
        <f>#REF!</f>
        <v>#REF!</v>
      </c>
      <c r="S40" s="4" t="e">
        <f>#REF!</f>
        <v>#REF!</v>
      </c>
      <c r="T40" s="4" t="e">
        <f>#REF!</f>
        <v>#REF!</v>
      </c>
      <c r="U40" s="4" t="e">
        <f>#REF!</f>
        <v>#REF!</v>
      </c>
      <c r="V40" s="4" t="e">
        <f>#REF!</f>
        <v>#REF!</v>
      </c>
      <c r="W40" s="4" t="e">
        <f>#REF!</f>
        <v>#REF!</v>
      </c>
      <c r="X40" s="4" t="e">
        <f>#REF!</f>
        <v>#REF!</v>
      </c>
      <c r="Y40" s="4" t="e">
        <f>#REF!</f>
        <v>#REF!</v>
      </c>
      <c r="Z40" s="4" t="e">
        <f>#REF!</f>
        <v>#REF!</v>
      </c>
      <c r="AA40" s="4" t="e">
        <f>#REF!</f>
        <v>#REF!</v>
      </c>
      <c r="AB40" s="213" t="e">
        <f>#REF!</f>
        <v>#REF!</v>
      </c>
      <c r="AC40" s="3" t="e">
        <f>#REF!</f>
        <v>#REF!</v>
      </c>
    </row>
    <row r="41" spans="1:29" ht="45" customHeight="1">
      <c r="A41" s="3">
        <f t="shared" si="0"/>
        <v>37</v>
      </c>
      <c r="B41" s="3" t="e">
        <f>#REF!</f>
        <v>#REF!</v>
      </c>
      <c r="C41" s="213" t="e">
        <f>#REF!</f>
        <v>#REF!</v>
      </c>
      <c r="D41" s="4" t="e">
        <f>#REF!</f>
        <v>#REF!</v>
      </c>
      <c r="E41" s="4" t="e">
        <f>#REF!</f>
        <v>#REF!</v>
      </c>
      <c r="F41" s="4" t="e">
        <f>#REF!</f>
        <v>#REF!</v>
      </c>
      <c r="G41" s="4" t="e">
        <f>#REF!</f>
        <v>#REF!</v>
      </c>
      <c r="H41" s="4" t="e">
        <f>#REF!</f>
        <v>#REF!</v>
      </c>
      <c r="I41" s="4" t="e">
        <f>#REF!</f>
        <v>#REF!</v>
      </c>
      <c r="J41" s="4" t="e">
        <f>#REF!</f>
        <v>#REF!</v>
      </c>
      <c r="K41" s="4" t="e">
        <f>#REF!</f>
        <v>#REF!</v>
      </c>
      <c r="L41" s="4" t="e">
        <f>#REF!</f>
        <v>#REF!</v>
      </c>
      <c r="M41" s="4" t="e">
        <f>#REF!</f>
        <v>#REF!</v>
      </c>
      <c r="N41" s="4" t="e">
        <f>#REF!</f>
        <v>#REF!</v>
      </c>
      <c r="O41" s="4" t="e">
        <f>#REF!</f>
        <v>#REF!</v>
      </c>
      <c r="P41" s="4" t="e">
        <f>#REF!</f>
        <v>#REF!</v>
      </c>
      <c r="Q41" s="4" t="e">
        <f>#REF!</f>
        <v>#REF!</v>
      </c>
      <c r="R41" s="4" t="e">
        <f>#REF!</f>
        <v>#REF!</v>
      </c>
      <c r="S41" s="4" t="e">
        <f>#REF!</f>
        <v>#REF!</v>
      </c>
      <c r="T41" s="4" t="e">
        <f>#REF!</f>
        <v>#REF!</v>
      </c>
      <c r="U41" s="4" t="e">
        <f>#REF!</f>
        <v>#REF!</v>
      </c>
      <c r="V41" s="4" t="e">
        <f>#REF!</f>
        <v>#REF!</v>
      </c>
      <c r="W41" s="4" t="e">
        <f>#REF!</f>
        <v>#REF!</v>
      </c>
      <c r="X41" s="4" t="e">
        <f>#REF!</f>
        <v>#REF!</v>
      </c>
      <c r="Y41" s="4" t="e">
        <f>#REF!</f>
        <v>#REF!</v>
      </c>
      <c r="Z41" s="4" t="e">
        <f>#REF!</f>
        <v>#REF!</v>
      </c>
      <c r="AA41" s="4" t="e">
        <f>#REF!</f>
        <v>#REF!</v>
      </c>
      <c r="AB41" s="213" t="e">
        <f>#REF!</f>
        <v>#REF!</v>
      </c>
      <c r="AC41" s="3" t="e">
        <f>#REF!</f>
        <v>#REF!</v>
      </c>
    </row>
    <row r="42" spans="1:29" ht="45" customHeight="1">
      <c r="A42" s="3">
        <f t="shared" si="0"/>
        <v>38</v>
      </c>
      <c r="B42" s="3" t="e">
        <f>#REF!</f>
        <v>#REF!</v>
      </c>
      <c r="C42" s="213" t="e">
        <f>#REF!</f>
        <v>#REF!</v>
      </c>
      <c r="D42" s="4" t="e">
        <f>#REF!</f>
        <v>#REF!</v>
      </c>
      <c r="E42" s="4" t="e">
        <f>#REF!</f>
        <v>#REF!</v>
      </c>
      <c r="F42" s="4" t="e">
        <f>#REF!</f>
        <v>#REF!</v>
      </c>
      <c r="G42" s="4" t="e">
        <f>#REF!</f>
        <v>#REF!</v>
      </c>
      <c r="H42" s="4" t="e">
        <f>#REF!</f>
        <v>#REF!</v>
      </c>
      <c r="I42" s="4" t="e">
        <f>#REF!</f>
        <v>#REF!</v>
      </c>
      <c r="J42" s="4" t="e">
        <f>#REF!</f>
        <v>#REF!</v>
      </c>
      <c r="K42" s="4" t="e">
        <f>#REF!</f>
        <v>#REF!</v>
      </c>
      <c r="L42" s="4" t="e">
        <f>#REF!</f>
        <v>#REF!</v>
      </c>
      <c r="M42" s="4" t="e">
        <f>#REF!</f>
        <v>#REF!</v>
      </c>
      <c r="N42" s="4" t="e">
        <f>#REF!</f>
        <v>#REF!</v>
      </c>
      <c r="O42" s="4" t="e">
        <f>#REF!</f>
        <v>#REF!</v>
      </c>
      <c r="P42" s="4" t="e">
        <f>#REF!</f>
        <v>#REF!</v>
      </c>
      <c r="Q42" s="4" t="e">
        <f>#REF!</f>
        <v>#REF!</v>
      </c>
      <c r="R42" s="4" t="e">
        <f>#REF!</f>
        <v>#REF!</v>
      </c>
      <c r="S42" s="4" t="e">
        <f>#REF!</f>
        <v>#REF!</v>
      </c>
      <c r="T42" s="4" t="e">
        <f>#REF!</f>
        <v>#REF!</v>
      </c>
      <c r="U42" s="4" t="e">
        <f>#REF!</f>
        <v>#REF!</v>
      </c>
      <c r="V42" s="4" t="e">
        <f>#REF!</f>
        <v>#REF!</v>
      </c>
      <c r="W42" s="4" t="e">
        <f>#REF!</f>
        <v>#REF!</v>
      </c>
      <c r="X42" s="4" t="e">
        <f>#REF!</f>
        <v>#REF!</v>
      </c>
      <c r="Y42" s="4" t="e">
        <f>#REF!</f>
        <v>#REF!</v>
      </c>
      <c r="Z42" s="4" t="e">
        <f>#REF!</f>
        <v>#REF!</v>
      </c>
      <c r="AA42" s="4" t="e">
        <f>#REF!</f>
        <v>#REF!</v>
      </c>
      <c r="AB42" s="213" t="e">
        <f>#REF!</f>
        <v>#REF!</v>
      </c>
      <c r="AC42" s="3" t="e">
        <f>#REF!</f>
        <v>#REF!</v>
      </c>
    </row>
    <row r="43" spans="1:29" ht="45" customHeight="1">
      <c r="A43" s="3">
        <f t="shared" si="0"/>
        <v>39</v>
      </c>
      <c r="B43" s="3" t="e">
        <f>#REF!</f>
        <v>#REF!</v>
      </c>
      <c r="C43" s="213" t="e">
        <f>#REF!</f>
        <v>#REF!</v>
      </c>
      <c r="D43" s="4" t="e">
        <f>#REF!</f>
        <v>#REF!</v>
      </c>
      <c r="E43" s="4" t="e">
        <f>#REF!</f>
        <v>#REF!</v>
      </c>
      <c r="F43" s="4" t="e">
        <f>#REF!</f>
        <v>#REF!</v>
      </c>
      <c r="G43" s="4" t="e">
        <f>#REF!</f>
        <v>#REF!</v>
      </c>
      <c r="H43" s="4" t="e">
        <f>#REF!</f>
        <v>#REF!</v>
      </c>
      <c r="I43" s="4" t="e">
        <f>#REF!</f>
        <v>#REF!</v>
      </c>
      <c r="J43" s="4" t="e">
        <f>#REF!</f>
        <v>#REF!</v>
      </c>
      <c r="K43" s="4" t="e">
        <f>#REF!</f>
        <v>#REF!</v>
      </c>
      <c r="L43" s="4" t="e">
        <f>#REF!</f>
        <v>#REF!</v>
      </c>
      <c r="M43" s="4" t="e">
        <f>#REF!</f>
        <v>#REF!</v>
      </c>
      <c r="N43" s="4" t="e">
        <f>#REF!</f>
        <v>#REF!</v>
      </c>
      <c r="O43" s="4" t="e">
        <f>#REF!</f>
        <v>#REF!</v>
      </c>
      <c r="P43" s="4" t="e">
        <f>#REF!</f>
        <v>#REF!</v>
      </c>
      <c r="Q43" s="4" t="e">
        <f>#REF!</f>
        <v>#REF!</v>
      </c>
      <c r="R43" s="4" t="e">
        <f>#REF!</f>
        <v>#REF!</v>
      </c>
      <c r="S43" s="4" t="e">
        <f>#REF!</f>
        <v>#REF!</v>
      </c>
      <c r="T43" s="4" t="e">
        <f>#REF!</f>
        <v>#REF!</v>
      </c>
      <c r="U43" s="4" t="e">
        <f>#REF!</f>
        <v>#REF!</v>
      </c>
      <c r="V43" s="4" t="e">
        <f>#REF!</f>
        <v>#REF!</v>
      </c>
      <c r="W43" s="4" t="e">
        <f>#REF!</f>
        <v>#REF!</v>
      </c>
      <c r="X43" s="4" t="e">
        <f>#REF!</f>
        <v>#REF!</v>
      </c>
      <c r="Y43" s="4" t="e">
        <f>#REF!</f>
        <v>#REF!</v>
      </c>
      <c r="Z43" s="4" t="e">
        <f>#REF!</f>
        <v>#REF!</v>
      </c>
      <c r="AA43" s="4" t="e">
        <f>#REF!</f>
        <v>#REF!</v>
      </c>
      <c r="AB43" s="213" t="e">
        <f>#REF!</f>
        <v>#REF!</v>
      </c>
      <c r="AC43" s="3" t="e">
        <f>#REF!</f>
        <v>#REF!</v>
      </c>
    </row>
    <row r="44" spans="1:29" ht="13.8">
      <c r="A44" s="3">
        <f t="shared" si="0"/>
        <v>40</v>
      </c>
      <c r="B44" s="3" t="e">
        <f>#REF!</f>
        <v>#REF!</v>
      </c>
      <c r="C44" s="213" t="e">
        <f>#REF!</f>
        <v>#REF!</v>
      </c>
      <c r="D44" s="4" t="e">
        <f>#REF!</f>
        <v>#REF!</v>
      </c>
      <c r="E44" s="4" t="e">
        <f>#REF!</f>
        <v>#REF!</v>
      </c>
      <c r="F44" s="4" t="e">
        <f>#REF!</f>
        <v>#REF!</v>
      </c>
      <c r="G44" s="4" t="e">
        <f>#REF!</f>
        <v>#REF!</v>
      </c>
      <c r="H44" s="4" t="e">
        <f>#REF!</f>
        <v>#REF!</v>
      </c>
      <c r="I44" s="4" t="e">
        <f>#REF!</f>
        <v>#REF!</v>
      </c>
      <c r="J44" s="4" t="e">
        <f>#REF!</f>
        <v>#REF!</v>
      </c>
      <c r="K44" s="4" t="e">
        <f>#REF!</f>
        <v>#REF!</v>
      </c>
      <c r="L44" s="4" t="e">
        <f>#REF!</f>
        <v>#REF!</v>
      </c>
      <c r="M44" s="4" t="e">
        <f>#REF!</f>
        <v>#REF!</v>
      </c>
      <c r="N44" s="4" t="e">
        <f>#REF!</f>
        <v>#REF!</v>
      </c>
      <c r="O44" s="4" t="e">
        <f>#REF!</f>
        <v>#REF!</v>
      </c>
      <c r="P44" s="4" t="e">
        <f>#REF!</f>
        <v>#REF!</v>
      </c>
      <c r="Q44" s="4" t="e">
        <f>#REF!</f>
        <v>#REF!</v>
      </c>
      <c r="R44" s="4" t="e">
        <f>#REF!</f>
        <v>#REF!</v>
      </c>
      <c r="S44" s="4" t="e">
        <f>#REF!</f>
        <v>#REF!</v>
      </c>
      <c r="T44" s="4" t="e">
        <f>#REF!</f>
        <v>#REF!</v>
      </c>
      <c r="U44" s="4" t="e">
        <f>#REF!</f>
        <v>#REF!</v>
      </c>
      <c r="V44" s="4" t="e">
        <f>#REF!</f>
        <v>#REF!</v>
      </c>
      <c r="W44" s="4" t="e">
        <f>#REF!</f>
        <v>#REF!</v>
      </c>
      <c r="X44" s="4" t="e">
        <f>#REF!</f>
        <v>#REF!</v>
      </c>
      <c r="Y44" s="4" t="e">
        <f>#REF!</f>
        <v>#REF!</v>
      </c>
      <c r="Z44" s="4" t="e">
        <f>#REF!</f>
        <v>#REF!</v>
      </c>
      <c r="AA44" s="4" t="e">
        <f>#REF!</f>
        <v>#REF!</v>
      </c>
      <c r="AB44" s="213" t="e">
        <f>#REF!</f>
        <v>#REF!</v>
      </c>
      <c r="AC44" s="3" t="e">
        <f>#REF!</f>
        <v>#REF!</v>
      </c>
    </row>
    <row r="45" spans="1:29" ht="45" customHeight="1">
      <c r="A45" s="3">
        <f t="shared" si="0"/>
        <v>41</v>
      </c>
      <c r="B45" s="3" t="e">
        <f>#REF!</f>
        <v>#REF!</v>
      </c>
      <c r="C45" s="213" t="e">
        <f>#REF!</f>
        <v>#REF!</v>
      </c>
      <c r="D45" s="4" t="e">
        <f>#REF!</f>
        <v>#REF!</v>
      </c>
      <c r="E45" s="4" t="e">
        <f>#REF!</f>
        <v>#REF!</v>
      </c>
      <c r="F45" s="4" t="e">
        <f>#REF!</f>
        <v>#REF!</v>
      </c>
      <c r="G45" s="4" t="e">
        <f>#REF!</f>
        <v>#REF!</v>
      </c>
      <c r="H45" s="4" t="e">
        <f>#REF!</f>
        <v>#REF!</v>
      </c>
      <c r="I45" s="4" t="e">
        <f>#REF!</f>
        <v>#REF!</v>
      </c>
      <c r="J45" s="4" t="e">
        <f>#REF!</f>
        <v>#REF!</v>
      </c>
      <c r="K45" s="4" t="e">
        <f>#REF!</f>
        <v>#REF!</v>
      </c>
      <c r="L45" s="4" t="e">
        <f>#REF!</f>
        <v>#REF!</v>
      </c>
      <c r="M45" s="4" t="e">
        <f>#REF!</f>
        <v>#REF!</v>
      </c>
      <c r="N45" s="4" t="e">
        <f>#REF!</f>
        <v>#REF!</v>
      </c>
      <c r="O45" s="4" t="e">
        <f>#REF!</f>
        <v>#REF!</v>
      </c>
      <c r="P45" s="4" t="e">
        <f>#REF!</f>
        <v>#REF!</v>
      </c>
      <c r="Q45" s="4" t="e">
        <f>#REF!</f>
        <v>#REF!</v>
      </c>
      <c r="R45" s="4" t="e">
        <f>#REF!</f>
        <v>#REF!</v>
      </c>
      <c r="S45" s="4" t="e">
        <f>#REF!</f>
        <v>#REF!</v>
      </c>
      <c r="T45" s="4" t="e">
        <f>#REF!</f>
        <v>#REF!</v>
      </c>
      <c r="U45" s="4" t="e">
        <f>#REF!</f>
        <v>#REF!</v>
      </c>
      <c r="V45" s="4" t="e">
        <f>#REF!</f>
        <v>#REF!</v>
      </c>
      <c r="W45" s="4" t="e">
        <f>#REF!</f>
        <v>#REF!</v>
      </c>
      <c r="X45" s="4" t="e">
        <f>#REF!</f>
        <v>#REF!</v>
      </c>
      <c r="Y45" s="4" t="e">
        <f>#REF!</f>
        <v>#REF!</v>
      </c>
      <c r="Z45" s="4" t="e">
        <f>#REF!</f>
        <v>#REF!</v>
      </c>
      <c r="AA45" s="4" t="e">
        <f>#REF!</f>
        <v>#REF!</v>
      </c>
      <c r="AB45" s="213" t="e">
        <f>#REF!</f>
        <v>#REF!</v>
      </c>
      <c r="AC45" s="3" t="e">
        <f>#REF!</f>
        <v>#REF!</v>
      </c>
    </row>
    <row r="46" spans="1:29" ht="45" customHeight="1">
      <c r="A46" s="3">
        <f t="shared" si="0"/>
        <v>42</v>
      </c>
      <c r="B46" s="3" t="e">
        <f>#REF!</f>
        <v>#REF!</v>
      </c>
      <c r="C46" s="213" t="e">
        <f>#REF!</f>
        <v>#REF!</v>
      </c>
      <c r="D46" s="4" t="e">
        <f>#REF!</f>
        <v>#REF!</v>
      </c>
      <c r="E46" s="4" t="e">
        <f>#REF!</f>
        <v>#REF!</v>
      </c>
      <c r="F46" s="4" t="e">
        <f>#REF!</f>
        <v>#REF!</v>
      </c>
      <c r="G46" s="4" t="e">
        <f>#REF!</f>
        <v>#REF!</v>
      </c>
      <c r="H46" s="4" t="e">
        <f>#REF!</f>
        <v>#REF!</v>
      </c>
      <c r="I46" s="4" t="e">
        <f>#REF!</f>
        <v>#REF!</v>
      </c>
      <c r="J46" s="4" t="e">
        <f>#REF!</f>
        <v>#REF!</v>
      </c>
      <c r="K46" s="4" t="e">
        <f>#REF!</f>
        <v>#REF!</v>
      </c>
      <c r="L46" s="4" t="e">
        <f>#REF!</f>
        <v>#REF!</v>
      </c>
      <c r="M46" s="4" t="e">
        <f>#REF!</f>
        <v>#REF!</v>
      </c>
      <c r="N46" s="4" t="e">
        <f>#REF!</f>
        <v>#REF!</v>
      </c>
      <c r="O46" s="4" t="e">
        <f>#REF!</f>
        <v>#REF!</v>
      </c>
      <c r="P46" s="4" t="e">
        <f>#REF!</f>
        <v>#REF!</v>
      </c>
      <c r="Q46" s="4" t="e">
        <f>#REF!</f>
        <v>#REF!</v>
      </c>
      <c r="R46" s="4" t="e">
        <f>#REF!</f>
        <v>#REF!</v>
      </c>
      <c r="S46" s="4" t="e">
        <f>#REF!</f>
        <v>#REF!</v>
      </c>
      <c r="T46" s="4" t="e">
        <f>#REF!</f>
        <v>#REF!</v>
      </c>
      <c r="U46" s="4" t="e">
        <f>#REF!</f>
        <v>#REF!</v>
      </c>
      <c r="V46" s="4" t="e">
        <f>#REF!</f>
        <v>#REF!</v>
      </c>
      <c r="W46" s="4" t="e">
        <f>#REF!</f>
        <v>#REF!</v>
      </c>
      <c r="X46" s="4" t="e">
        <f>#REF!</f>
        <v>#REF!</v>
      </c>
      <c r="Y46" s="4" t="e">
        <f>#REF!</f>
        <v>#REF!</v>
      </c>
      <c r="Z46" s="4" t="e">
        <f>#REF!</f>
        <v>#REF!</v>
      </c>
      <c r="AA46" s="4" t="e">
        <f>#REF!</f>
        <v>#REF!</v>
      </c>
      <c r="AB46" s="213" t="e">
        <f>#REF!</f>
        <v>#REF!</v>
      </c>
      <c r="AC46" s="3" t="e">
        <f>#REF!</f>
        <v>#REF!</v>
      </c>
    </row>
    <row r="47" spans="1:29" ht="45" customHeight="1">
      <c r="A47" s="3">
        <f t="shared" si="0"/>
        <v>43</v>
      </c>
      <c r="B47" s="3" t="e">
        <f>#REF!</f>
        <v>#REF!</v>
      </c>
      <c r="C47" s="213" t="e">
        <f>#REF!</f>
        <v>#REF!</v>
      </c>
      <c r="D47" s="4" t="e">
        <f>#REF!</f>
        <v>#REF!</v>
      </c>
      <c r="E47" s="4" t="e">
        <f>#REF!</f>
        <v>#REF!</v>
      </c>
      <c r="F47" s="4" t="e">
        <f>#REF!</f>
        <v>#REF!</v>
      </c>
      <c r="G47" s="4" t="e">
        <f>#REF!</f>
        <v>#REF!</v>
      </c>
      <c r="H47" s="4" t="e">
        <f>#REF!</f>
        <v>#REF!</v>
      </c>
      <c r="I47" s="4" t="e">
        <f>#REF!</f>
        <v>#REF!</v>
      </c>
      <c r="J47" s="4" t="e">
        <f>#REF!</f>
        <v>#REF!</v>
      </c>
      <c r="K47" s="4" t="e">
        <f>#REF!</f>
        <v>#REF!</v>
      </c>
      <c r="L47" s="4" t="e">
        <f>#REF!</f>
        <v>#REF!</v>
      </c>
      <c r="M47" s="4" t="e">
        <f>#REF!</f>
        <v>#REF!</v>
      </c>
      <c r="N47" s="4" t="e">
        <f>#REF!</f>
        <v>#REF!</v>
      </c>
      <c r="O47" s="4" t="e">
        <f>#REF!</f>
        <v>#REF!</v>
      </c>
      <c r="P47" s="4" t="e">
        <f>#REF!</f>
        <v>#REF!</v>
      </c>
      <c r="Q47" s="4" t="e">
        <f>#REF!</f>
        <v>#REF!</v>
      </c>
      <c r="R47" s="4" t="e">
        <f>#REF!</f>
        <v>#REF!</v>
      </c>
      <c r="S47" s="4" t="e">
        <f>#REF!</f>
        <v>#REF!</v>
      </c>
      <c r="T47" s="4" t="e">
        <f>#REF!</f>
        <v>#REF!</v>
      </c>
      <c r="U47" s="4" t="e">
        <f>#REF!</f>
        <v>#REF!</v>
      </c>
      <c r="V47" s="4" t="e">
        <f>#REF!</f>
        <v>#REF!</v>
      </c>
      <c r="W47" s="4" t="e">
        <f>#REF!</f>
        <v>#REF!</v>
      </c>
      <c r="X47" s="4" t="e">
        <f>#REF!</f>
        <v>#REF!</v>
      </c>
      <c r="Y47" s="4" t="e">
        <f>#REF!</f>
        <v>#REF!</v>
      </c>
      <c r="Z47" s="4" t="e">
        <f>#REF!</f>
        <v>#REF!</v>
      </c>
      <c r="AA47" s="4" t="e">
        <f>#REF!</f>
        <v>#REF!</v>
      </c>
      <c r="AB47" s="213" t="e">
        <f>#REF!</f>
        <v>#REF!</v>
      </c>
      <c r="AC47" s="3" t="e">
        <f>#REF!</f>
        <v>#REF!</v>
      </c>
    </row>
    <row r="48" spans="1:29" ht="45" customHeight="1">
      <c r="A48" s="3">
        <f t="shared" si="0"/>
        <v>44</v>
      </c>
      <c r="B48" s="3" t="e">
        <f>#REF!</f>
        <v>#REF!</v>
      </c>
      <c r="C48" s="213" t="e">
        <f>#REF!</f>
        <v>#REF!</v>
      </c>
      <c r="D48" s="4" t="e">
        <f>#REF!</f>
        <v>#REF!</v>
      </c>
      <c r="E48" s="4" t="e">
        <f>#REF!</f>
        <v>#REF!</v>
      </c>
      <c r="F48" s="4" t="e">
        <f>#REF!</f>
        <v>#REF!</v>
      </c>
      <c r="G48" s="4" t="e">
        <f>#REF!</f>
        <v>#REF!</v>
      </c>
      <c r="H48" s="4" t="e">
        <f>#REF!</f>
        <v>#REF!</v>
      </c>
      <c r="I48" s="4" t="e">
        <f>#REF!</f>
        <v>#REF!</v>
      </c>
      <c r="J48" s="4" t="e">
        <f>#REF!</f>
        <v>#REF!</v>
      </c>
      <c r="K48" s="4" t="e">
        <f>#REF!</f>
        <v>#REF!</v>
      </c>
      <c r="L48" s="4" t="e">
        <f>#REF!</f>
        <v>#REF!</v>
      </c>
      <c r="M48" s="4" t="e">
        <f>#REF!</f>
        <v>#REF!</v>
      </c>
      <c r="N48" s="4" t="e">
        <f>#REF!</f>
        <v>#REF!</v>
      </c>
      <c r="O48" s="4" t="e">
        <f>#REF!</f>
        <v>#REF!</v>
      </c>
      <c r="P48" s="4" t="e">
        <f>#REF!</f>
        <v>#REF!</v>
      </c>
      <c r="Q48" s="4" t="e">
        <f>#REF!</f>
        <v>#REF!</v>
      </c>
      <c r="R48" s="4" t="e">
        <f>#REF!</f>
        <v>#REF!</v>
      </c>
      <c r="S48" s="4" t="e">
        <f>#REF!</f>
        <v>#REF!</v>
      </c>
      <c r="T48" s="4" t="e">
        <f>#REF!</f>
        <v>#REF!</v>
      </c>
      <c r="U48" s="4" t="e">
        <f>#REF!</f>
        <v>#REF!</v>
      </c>
      <c r="V48" s="4" t="e">
        <f>#REF!</f>
        <v>#REF!</v>
      </c>
      <c r="W48" s="4" t="e">
        <f>#REF!</f>
        <v>#REF!</v>
      </c>
      <c r="X48" s="4" t="e">
        <f>#REF!</f>
        <v>#REF!</v>
      </c>
      <c r="Y48" s="4" t="e">
        <f>#REF!</f>
        <v>#REF!</v>
      </c>
      <c r="Z48" s="4" t="e">
        <f>#REF!</f>
        <v>#REF!</v>
      </c>
      <c r="AA48" s="4" t="e">
        <f>#REF!</f>
        <v>#REF!</v>
      </c>
      <c r="AB48" s="213" t="e">
        <f>#REF!</f>
        <v>#REF!</v>
      </c>
      <c r="AC48" s="3" t="e">
        <f>#REF!</f>
        <v>#REF!</v>
      </c>
    </row>
    <row r="49" spans="1:29" ht="45" customHeight="1">
      <c r="A49" s="3">
        <f t="shared" si="0"/>
        <v>45</v>
      </c>
      <c r="B49" s="3" t="e">
        <f>#REF!</f>
        <v>#REF!</v>
      </c>
      <c r="C49" s="213" t="e">
        <f>#REF!</f>
        <v>#REF!</v>
      </c>
      <c r="D49" s="4" t="e">
        <f>#REF!</f>
        <v>#REF!</v>
      </c>
      <c r="E49" s="4" t="e">
        <f>#REF!</f>
        <v>#REF!</v>
      </c>
      <c r="F49" s="4" t="e">
        <f>#REF!</f>
        <v>#REF!</v>
      </c>
      <c r="G49" s="4" t="e">
        <f>#REF!</f>
        <v>#REF!</v>
      </c>
      <c r="H49" s="4" t="e">
        <f>#REF!</f>
        <v>#REF!</v>
      </c>
      <c r="I49" s="4" t="e">
        <f>#REF!</f>
        <v>#REF!</v>
      </c>
      <c r="J49" s="4" t="e">
        <f>#REF!</f>
        <v>#REF!</v>
      </c>
      <c r="K49" s="4" t="e">
        <f>#REF!</f>
        <v>#REF!</v>
      </c>
      <c r="L49" s="4" t="e">
        <f>#REF!</f>
        <v>#REF!</v>
      </c>
      <c r="M49" s="4" t="e">
        <f>#REF!</f>
        <v>#REF!</v>
      </c>
      <c r="N49" s="4" t="e">
        <f>#REF!</f>
        <v>#REF!</v>
      </c>
      <c r="O49" s="4" t="e">
        <f>#REF!</f>
        <v>#REF!</v>
      </c>
      <c r="P49" s="4" t="e">
        <f>#REF!</f>
        <v>#REF!</v>
      </c>
      <c r="Q49" s="4" t="e">
        <f>#REF!</f>
        <v>#REF!</v>
      </c>
      <c r="R49" s="4" t="e">
        <f>#REF!</f>
        <v>#REF!</v>
      </c>
      <c r="S49" s="4" t="e">
        <f>#REF!</f>
        <v>#REF!</v>
      </c>
      <c r="T49" s="4" t="e">
        <f>#REF!</f>
        <v>#REF!</v>
      </c>
      <c r="U49" s="4" t="e">
        <f>#REF!</f>
        <v>#REF!</v>
      </c>
      <c r="V49" s="4" t="e">
        <f>#REF!</f>
        <v>#REF!</v>
      </c>
      <c r="W49" s="4" t="e">
        <f>#REF!</f>
        <v>#REF!</v>
      </c>
      <c r="X49" s="4" t="e">
        <f>#REF!</f>
        <v>#REF!</v>
      </c>
      <c r="Y49" s="4" t="e">
        <f>#REF!</f>
        <v>#REF!</v>
      </c>
      <c r="Z49" s="4" t="e">
        <f>#REF!</f>
        <v>#REF!</v>
      </c>
      <c r="AA49" s="4" t="e">
        <f>#REF!</f>
        <v>#REF!</v>
      </c>
      <c r="AB49" s="213" t="e">
        <f>#REF!</f>
        <v>#REF!</v>
      </c>
      <c r="AC49" s="3" t="e">
        <f>#REF!</f>
        <v>#REF!</v>
      </c>
    </row>
    <row r="50" spans="1:29" ht="45" customHeight="1">
      <c r="A50" s="3">
        <f t="shared" si="0"/>
        <v>46</v>
      </c>
      <c r="B50" s="3" t="e">
        <f>#REF!</f>
        <v>#REF!</v>
      </c>
      <c r="C50" s="213" t="e">
        <f>#REF!</f>
        <v>#REF!</v>
      </c>
      <c r="D50" s="4" t="e">
        <f>#REF!</f>
        <v>#REF!</v>
      </c>
      <c r="E50" s="4" t="e">
        <f>#REF!</f>
        <v>#REF!</v>
      </c>
      <c r="F50" s="4" t="e">
        <f>#REF!</f>
        <v>#REF!</v>
      </c>
      <c r="G50" s="4" t="e">
        <f>#REF!</f>
        <v>#REF!</v>
      </c>
      <c r="H50" s="4" t="e">
        <f>#REF!</f>
        <v>#REF!</v>
      </c>
      <c r="I50" s="4" t="e">
        <f>#REF!</f>
        <v>#REF!</v>
      </c>
      <c r="J50" s="4" t="e">
        <f>#REF!</f>
        <v>#REF!</v>
      </c>
      <c r="K50" s="4" t="e">
        <f>#REF!</f>
        <v>#REF!</v>
      </c>
      <c r="L50" s="4" t="e">
        <f>#REF!</f>
        <v>#REF!</v>
      </c>
      <c r="M50" s="4" t="e">
        <f>#REF!</f>
        <v>#REF!</v>
      </c>
      <c r="N50" s="4" t="e">
        <f>#REF!</f>
        <v>#REF!</v>
      </c>
      <c r="O50" s="4" t="e">
        <f>#REF!</f>
        <v>#REF!</v>
      </c>
      <c r="P50" s="4" t="e">
        <f>#REF!</f>
        <v>#REF!</v>
      </c>
      <c r="Q50" s="4" t="e">
        <f>#REF!</f>
        <v>#REF!</v>
      </c>
      <c r="R50" s="4" t="e">
        <f>#REF!</f>
        <v>#REF!</v>
      </c>
      <c r="S50" s="4" t="e">
        <f>#REF!</f>
        <v>#REF!</v>
      </c>
      <c r="T50" s="4" t="e">
        <f>#REF!</f>
        <v>#REF!</v>
      </c>
      <c r="U50" s="4" t="e">
        <f>#REF!</f>
        <v>#REF!</v>
      </c>
      <c r="V50" s="4" t="e">
        <f>#REF!</f>
        <v>#REF!</v>
      </c>
      <c r="W50" s="4" t="e">
        <f>#REF!</f>
        <v>#REF!</v>
      </c>
      <c r="X50" s="4" t="e">
        <f>#REF!</f>
        <v>#REF!</v>
      </c>
      <c r="Y50" s="4" t="e">
        <f>#REF!</f>
        <v>#REF!</v>
      </c>
      <c r="Z50" s="4" t="e">
        <f>#REF!</f>
        <v>#REF!</v>
      </c>
      <c r="AA50" s="4" t="e">
        <f>#REF!</f>
        <v>#REF!</v>
      </c>
      <c r="AB50" s="213" t="e">
        <f>#REF!</f>
        <v>#REF!</v>
      </c>
      <c r="AC50" s="3" t="e">
        <f>#REF!</f>
        <v>#REF!</v>
      </c>
    </row>
    <row r="51" spans="1:29" ht="45" customHeight="1">
      <c r="A51" s="3">
        <f t="shared" si="0"/>
        <v>47</v>
      </c>
      <c r="B51" s="3" t="e">
        <f>#REF!</f>
        <v>#REF!</v>
      </c>
      <c r="C51" s="213" t="e">
        <f>#REF!</f>
        <v>#REF!</v>
      </c>
      <c r="D51" s="4" t="e">
        <f>#REF!</f>
        <v>#REF!</v>
      </c>
      <c r="E51" s="4" t="e">
        <f>#REF!</f>
        <v>#REF!</v>
      </c>
      <c r="F51" s="4" t="e">
        <f>#REF!</f>
        <v>#REF!</v>
      </c>
      <c r="G51" s="4" t="e">
        <f>#REF!</f>
        <v>#REF!</v>
      </c>
      <c r="H51" s="4" t="e">
        <f>#REF!</f>
        <v>#REF!</v>
      </c>
      <c r="I51" s="4" t="e">
        <f>#REF!</f>
        <v>#REF!</v>
      </c>
      <c r="J51" s="4" t="e">
        <f>#REF!</f>
        <v>#REF!</v>
      </c>
      <c r="K51" s="4" t="e">
        <f>#REF!</f>
        <v>#REF!</v>
      </c>
      <c r="L51" s="4" t="e">
        <f>#REF!</f>
        <v>#REF!</v>
      </c>
      <c r="M51" s="4" t="e">
        <f>#REF!</f>
        <v>#REF!</v>
      </c>
      <c r="N51" s="4" t="e">
        <f>#REF!</f>
        <v>#REF!</v>
      </c>
      <c r="O51" s="4" t="e">
        <f>#REF!</f>
        <v>#REF!</v>
      </c>
      <c r="P51" s="4" t="e">
        <f>#REF!</f>
        <v>#REF!</v>
      </c>
      <c r="Q51" s="4" t="e">
        <f>#REF!</f>
        <v>#REF!</v>
      </c>
      <c r="R51" s="4" t="e">
        <f>#REF!</f>
        <v>#REF!</v>
      </c>
      <c r="S51" s="4" t="e">
        <f>#REF!</f>
        <v>#REF!</v>
      </c>
      <c r="T51" s="4" t="e">
        <f>#REF!</f>
        <v>#REF!</v>
      </c>
      <c r="U51" s="4" t="e">
        <f>#REF!</f>
        <v>#REF!</v>
      </c>
      <c r="V51" s="4" t="e">
        <f>#REF!</f>
        <v>#REF!</v>
      </c>
      <c r="W51" s="4" t="e">
        <f>#REF!</f>
        <v>#REF!</v>
      </c>
      <c r="X51" s="4" t="e">
        <f>#REF!</f>
        <v>#REF!</v>
      </c>
      <c r="Y51" s="4" t="e">
        <f>#REF!</f>
        <v>#REF!</v>
      </c>
      <c r="Z51" s="4" t="e">
        <f>#REF!</f>
        <v>#REF!</v>
      </c>
      <c r="AA51" s="4" t="e">
        <f>#REF!</f>
        <v>#REF!</v>
      </c>
      <c r="AB51" s="213" t="e">
        <f>#REF!</f>
        <v>#REF!</v>
      </c>
      <c r="AC51" s="3" t="e">
        <f>#REF!</f>
        <v>#REF!</v>
      </c>
    </row>
    <row r="52" spans="1:29" ht="45" customHeight="1">
      <c r="A52" s="3">
        <f t="shared" si="0"/>
        <v>48</v>
      </c>
      <c r="B52" s="3" t="e">
        <f>#REF!</f>
        <v>#REF!</v>
      </c>
      <c r="C52" s="213" t="e">
        <f>#REF!</f>
        <v>#REF!</v>
      </c>
      <c r="D52" s="4" t="e">
        <f>#REF!</f>
        <v>#REF!</v>
      </c>
      <c r="E52" s="4" t="e">
        <f>#REF!</f>
        <v>#REF!</v>
      </c>
      <c r="F52" s="4" t="e">
        <f>#REF!</f>
        <v>#REF!</v>
      </c>
      <c r="G52" s="4" t="e">
        <f>#REF!</f>
        <v>#REF!</v>
      </c>
      <c r="H52" s="4" t="e">
        <f>#REF!</f>
        <v>#REF!</v>
      </c>
      <c r="I52" s="4" t="e">
        <f>#REF!</f>
        <v>#REF!</v>
      </c>
      <c r="J52" s="4" t="e">
        <f>#REF!</f>
        <v>#REF!</v>
      </c>
      <c r="K52" s="4" t="e">
        <f>#REF!</f>
        <v>#REF!</v>
      </c>
      <c r="L52" s="4" t="e">
        <f>#REF!</f>
        <v>#REF!</v>
      </c>
      <c r="M52" s="4" t="e">
        <f>#REF!</f>
        <v>#REF!</v>
      </c>
      <c r="N52" s="4" t="e">
        <f>#REF!</f>
        <v>#REF!</v>
      </c>
      <c r="O52" s="4" t="e">
        <f>#REF!</f>
        <v>#REF!</v>
      </c>
      <c r="P52" s="4" t="e">
        <f>#REF!</f>
        <v>#REF!</v>
      </c>
      <c r="Q52" s="4" t="e">
        <f>#REF!</f>
        <v>#REF!</v>
      </c>
      <c r="R52" s="4" t="e">
        <f>#REF!</f>
        <v>#REF!</v>
      </c>
      <c r="S52" s="4" t="e">
        <f>#REF!</f>
        <v>#REF!</v>
      </c>
      <c r="T52" s="4" t="e">
        <f>#REF!</f>
        <v>#REF!</v>
      </c>
      <c r="U52" s="4" t="e">
        <f>#REF!</f>
        <v>#REF!</v>
      </c>
      <c r="V52" s="4" t="e">
        <f>#REF!</f>
        <v>#REF!</v>
      </c>
      <c r="W52" s="4" t="e">
        <f>#REF!</f>
        <v>#REF!</v>
      </c>
      <c r="X52" s="4" t="e">
        <f>#REF!</f>
        <v>#REF!</v>
      </c>
      <c r="Y52" s="4" t="e">
        <f>#REF!</f>
        <v>#REF!</v>
      </c>
      <c r="Z52" s="4" t="e">
        <f>#REF!</f>
        <v>#REF!</v>
      </c>
      <c r="AA52" s="4" t="e">
        <f>#REF!</f>
        <v>#REF!</v>
      </c>
      <c r="AB52" s="213" t="e">
        <f>#REF!</f>
        <v>#REF!</v>
      </c>
      <c r="AC52" s="3" t="e">
        <f>#REF!</f>
        <v>#REF!</v>
      </c>
    </row>
    <row r="53" spans="1:29" ht="45" customHeight="1">
      <c r="A53" s="3">
        <f t="shared" si="0"/>
        <v>49</v>
      </c>
      <c r="B53" s="3" t="e">
        <f>#REF!</f>
        <v>#REF!</v>
      </c>
      <c r="C53" s="213" t="e">
        <f>#REF!</f>
        <v>#REF!</v>
      </c>
      <c r="D53" s="4" t="e">
        <f>#REF!</f>
        <v>#REF!</v>
      </c>
      <c r="E53" s="4" t="e">
        <f>#REF!</f>
        <v>#REF!</v>
      </c>
      <c r="F53" s="4" t="e">
        <f>#REF!</f>
        <v>#REF!</v>
      </c>
      <c r="G53" s="4" t="e">
        <f>#REF!</f>
        <v>#REF!</v>
      </c>
      <c r="H53" s="4" t="e">
        <f>#REF!</f>
        <v>#REF!</v>
      </c>
      <c r="I53" s="4" t="e">
        <f>#REF!</f>
        <v>#REF!</v>
      </c>
      <c r="J53" s="4" t="e">
        <f>#REF!</f>
        <v>#REF!</v>
      </c>
      <c r="K53" s="4" t="e">
        <f>#REF!</f>
        <v>#REF!</v>
      </c>
      <c r="L53" s="4" t="e">
        <f>#REF!</f>
        <v>#REF!</v>
      </c>
      <c r="M53" s="4" t="e">
        <f>#REF!</f>
        <v>#REF!</v>
      </c>
      <c r="N53" s="4" t="e">
        <f>#REF!</f>
        <v>#REF!</v>
      </c>
      <c r="O53" s="4" t="e">
        <f>#REF!</f>
        <v>#REF!</v>
      </c>
      <c r="P53" s="4" t="e">
        <f>#REF!</f>
        <v>#REF!</v>
      </c>
      <c r="Q53" s="4" t="e">
        <f>#REF!</f>
        <v>#REF!</v>
      </c>
      <c r="R53" s="4" t="e">
        <f>#REF!</f>
        <v>#REF!</v>
      </c>
      <c r="S53" s="4" t="e">
        <f>#REF!</f>
        <v>#REF!</v>
      </c>
      <c r="T53" s="4" t="e">
        <f>#REF!</f>
        <v>#REF!</v>
      </c>
      <c r="U53" s="4" t="e">
        <f>#REF!</f>
        <v>#REF!</v>
      </c>
      <c r="V53" s="4" t="e">
        <f>#REF!</f>
        <v>#REF!</v>
      </c>
      <c r="W53" s="4" t="e">
        <f>#REF!</f>
        <v>#REF!</v>
      </c>
      <c r="X53" s="4" t="e">
        <f>#REF!</f>
        <v>#REF!</v>
      </c>
      <c r="Y53" s="4" t="e">
        <f>#REF!</f>
        <v>#REF!</v>
      </c>
      <c r="Z53" s="4" t="e">
        <f>#REF!</f>
        <v>#REF!</v>
      </c>
      <c r="AA53" s="4" t="e">
        <f>#REF!</f>
        <v>#REF!</v>
      </c>
      <c r="AB53" s="213" t="e">
        <f>#REF!</f>
        <v>#REF!</v>
      </c>
      <c r="AC53" s="3" t="e">
        <f>#REF!</f>
        <v>#REF!</v>
      </c>
    </row>
    <row r="54" spans="1:29" ht="45" customHeight="1">
      <c r="A54" s="3">
        <f t="shared" si="0"/>
        <v>50</v>
      </c>
      <c r="B54" s="3" t="e">
        <f>#REF!</f>
        <v>#REF!</v>
      </c>
      <c r="C54" s="213" t="e">
        <f>#REF!</f>
        <v>#REF!</v>
      </c>
      <c r="D54" s="4" t="e">
        <f>#REF!</f>
        <v>#REF!</v>
      </c>
      <c r="E54" s="4" t="e">
        <f>#REF!</f>
        <v>#REF!</v>
      </c>
      <c r="F54" s="4" t="e">
        <f>#REF!</f>
        <v>#REF!</v>
      </c>
      <c r="G54" s="4" t="e">
        <f>#REF!</f>
        <v>#REF!</v>
      </c>
      <c r="H54" s="4" t="e">
        <f>#REF!</f>
        <v>#REF!</v>
      </c>
      <c r="I54" s="4" t="e">
        <f>#REF!</f>
        <v>#REF!</v>
      </c>
      <c r="J54" s="4" t="e">
        <f>#REF!</f>
        <v>#REF!</v>
      </c>
      <c r="K54" s="4" t="e">
        <f>#REF!</f>
        <v>#REF!</v>
      </c>
      <c r="L54" s="4" t="e">
        <f>#REF!</f>
        <v>#REF!</v>
      </c>
      <c r="M54" s="4" t="e">
        <f>#REF!</f>
        <v>#REF!</v>
      </c>
      <c r="N54" s="4" t="e">
        <f>#REF!</f>
        <v>#REF!</v>
      </c>
      <c r="O54" s="4" t="e">
        <f>#REF!</f>
        <v>#REF!</v>
      </c>
      <c r="P54" s="4" t="e">
        <f>#REF!</f>
        <v>#REF!</v>
      </c>
      <c r="Q54" s="4" t="e">
        <f>#REF!</f>
        <v>#REF!</v>
      </c>
      <c r="R54" s="4" t="e">
        <f>#REF!</f>
        <v>#REF!</v>
      </c>
      <c r="S54" s="4" t="e">
        <f>#REF!</f>
        <v>#REF!</v>
      </c>
      <c r="T54" s="4" t="e">
        <f>#REF!</f>
        <v>#REF!</v>
      </c>
      <c r="U54" s="4" t="e">
        <f>#REF!</f>
        <v>#REF!</v>
      </c>
      <c r="V54" s="4" t="e">
        <f>#REF!</f>
        <v>#REF!</v>
      </c>
      <c r="W54" s="4" t="e">
        <f>#REF!</f>
        <v>#REF!</v>
      </c>
      <c r="X54" s="4" t="e">
        <f>#REF!</f>
        <v>#REF!</v>
      </c>
      <c r="Y54" s="4" t="e">
        <f>#REF!</f>
        <v>#REF!</v>
      </c>
      <c r="Z54" s="4" t="e">
        <f>#REF!</f>
        <v>#REF!</v>
      </c>
      <c r="AA54" s="4" t="e">
        <f>#REF!</f>
        <v>#REF!</v>
      </c>
      <c r="AB54" s="213" t="e">
        <f>#REF!</f>
        <v>#REF!</v>
      </c>
      <c r="AC54" s="3" t="e">
        <f>#REF!</f>
        <v>#REF!</v>
      </c>
    </row>
    <row r="55" spans="1:29" ht="45" customHeight="1">
      <c r="A55" s="3">
        <f t="shared" si="0"/>
        <v>51</v>
      </c>
      <c r="B55" s="3" t="e">
        <f>#REF!</f>
        <v>#REF!</v>
      </c>
      <c r="C55" s="213" t="e">
        <f>#REF!</f>
        <v>#REF!</v>
      </c>
      <c r="D55" s="4" t="e">
        <f>#REF!</f>
        <v>#REF!</v>
      </c>
      <c r="E55" s="4" t="e">
        <f>#REF!</f>
        <v>#REF!</v>
      </c>
      <c r="F55" s="4" t="e">
        <f>#REF!</f>
        <v>#REF!</v>
      </c>
      <c r="G55" s="4" t="e">
        <f>#REF!</f>
        <v>#REF!</v>
      </c>
      <c r="H55" s="4" t="e">
        <f>#REF!</f>
        <v>#REF!</v>
      </c>
      <c r="I55" s="4" t="e">
        <f>#REF!</f>
        <v>#REF!</v>
      </c>
      <c r="J55" s="4" t="e">
        <f>#REF!</f>
        <v>#REF!</v>
      </c>
      <c r="K55" s="4" t="e">
        <f>#REF!</f>
        <v>#REF!</v>
      </c>
      <c r="L55" s="4" t="e">
        <f>#REF!</f>
        <v>#REF!</v>
      </c>
      <c r="M55" s="4" t="e">
        <f>#REF!</f>
        <v>#REF!</v>
      </c>
      <c r="N55" s="4" t="e">
        <f>#REF!</f>
        <v>#REF!</v>
      </c>
      <c r="O55" s="4" t="e">
        <f>#REF!</f>
        <v>#REF!</v>
      </c>
      <c r="P55" s="4" t="e">
        <f>#REF!</f>
        <v>#REF!</v>
      </c>
      <c r="Q55" s="4" t="e">
        <f>#REF!</f>
        <v>#REF!</v>
      </c>
      <c r="R55" s="4" t="e">
        <f>#REF!</f>
        <v>#REF!</v>
      </c>
      <c r="S55" s="4" t="e">
        <f>#REF!</f>
        <v>#REF!</v>
      </c>
      <c r="T55" s="4" t="e">
        <f>#REF!</f>
        <v>#REF!</v>
      </c>
      <c r="U55" s="4" t="e">
        <f>#REF!</f>
        <v>#REF!</v>
      </c>
      <c r="V55" s="4" t="e">
        <f>#REF!</f>
        <v>#REF!</v>
      </c>
      <c r="W55" s="4" t="e">
        <f>#REF!</f>
        <v>#REF!</v>
      </c>
      <c r="X55" s="4" t="e">
        <f>#REF!</f>
        <v>#REF!</v>
      </c>
      <c r="Y55" s="4" t="e">
        <f>#REF!</f>
        <v>#REF!</v>
      </c>
      <c r="Z55" s="4" t="e">
        <f>#REF!</f>
        <v>#REF!</v>
      </c>
      <c r="AA55" s="4" t="e">
        <f>#REF!</f>
        <v>#REF!</v>
      </c>
      <c r="AB55" s="213" t="e">
        <f>#REF!</f>
        <v>#REF!</v>
      </c>
      <c r="AC55" s="3" t="e">
        <f>#REF!</f>
        <v>#REF!</v>
      </c>
    </row>
    <row r="56" spans="1:29" ht="45" customHeight="1">
      <c r="A56" s="3">
        <f t="shared" si="0"/>
        <v>52</v>
      </c>
      <c r="B56" s="3" t="e">
        <f>#REF!</f>
        <v>#REF!</v>
      </c>
      <c r="C56" s="213" t="e">
        <f>#REF!</f>
        <v>#REF!</v>
      </c>
      <c r="D56" s="4" t="e">
        <f>#REF!</f>
        <v>#REF!</v>
      </c>
      <c r="E56" s="4" t="e">
        <f>#REF!</f>
        <v>#REF!</v>
      </c>
      <c r="F56" s="4" t="e">
        <f>#REF!</f>
        <v>#REF!</v>
      </c>
      <c r="G56" s="4" t="e">
        <f>#REF!</f>
        <v>#REF!</v>
      </c>
      <c r="H56" s="4" t="e">
        <f>#REF!</f>
        <v>#REF!</v>
      </c>
      <c r="I56" s="4" t="e">
        <f>#REF!</f>
        <v>#REF!</v>
      </c>
      <c r="J56" s="4" t="e">
        <f>#REF!</f>
        <v>#REF!</v>
      </c>
      <c r="K56" s="4" t="e">
        <f>#REF!</f>
        <v>#REF!</v>
      </c>
      <c r="L56" s="4" t="e">
        <f>#REF!</f>
        <v>#REF!</v>
      </c>
      <c r="M56" s="4" t="e">
        <f>#REF!</f>
        <v>#REF!</v>
      </c>
      <c r="N56" s="4" t="e">
        <f>#REF!</f>
        <v>#REF!</v>
      </c>
      <c r="O56" s="4" t="e">
        <f>#REF!</f>
        <v>#REF!</v>
      </c>
      <c r="P56" s="4" t="e">
        <f>#REF!</f>
        <v>#REF!</v>
      </c>
      <c r="Q56" s="4" t="e">
        <f>#REF!</f>
        <v>#REF!</v>
      </c>
      <c r="R56" s="4" t="e">
        <f>#REF!</f>
        <v>#REF!</v>
      </c>
      <c r="S56" s="4" t="e">
        <f>#REF!</f>
        <v>#REF!</v>
      </c>
      <c r="T56" s="4" t="e">
        <f>#REF!</f>
        <v>#REF!</v>
      </c>
      <c r="U56" s="4" t="e">
        <f>#REF!</f>
        <v>#REF!</v>
      </c>
      <c r="V56" s="4" t="e">
        <f>#REF!</f>
        <v>#REF!</v>
      </c>
      <c r="W56" s="4" t="e">
        <f>#REF!</f>
        <v>#REF!</v>
      </c>
      <c r="X56" s="4" t="e">
        <f>#REF!</f>
        <v>#REF!</v>
      </c>
      <c r="Y56" s="4" t="e">
        <f>#REF!</f>
        <v>#REF!</v>
      </c>
      <c r="Z56" s="4" t="e">
        <f>#REF!</f>
        <v>#REF!</v>
      </c>
      <c r="AA56" s="4" t="e">
        <f>#REF!</f>
        <v>#REF!</v>
      </c>
      <c r="AB56" s="213" t="e">
        <f>#REF!</f>
        <v>#REF!</v>
      </c>
      <c r="AC56" s="3" t="e">
        <f>#REF!</f>
        <v>#REF!</v>
      </c>
    </row>
    <row r="57" spans="1:29" ht="45" customHeight="1">
      <c r="A57" s="3">
        <f t="shared" si="0"/>
        <v>53</v>
      </c>
      <c r="B57" s="3" t="e">
        <f>#REF!</f>
        <v>#REF!</v>
      </c>
      <c r="C57" s="213" t="e">
        <f>#REF!</f>
        <v>#REF!</v>
      </c>
      <c r="D57" s="4" t="e">
        <f>#REF!</f>
        <v>#REF!</v>
      </c>
      <c r="E57" s="4" t="e">
        <f>#REF!</f>
        <v>#REF!</v>
      </c>
      <c r="F57" s="4" t="e">
        <f>#REF!</f>
        <v>#REF!</v>
      </c>
      <c r="G57" s="4" t="e">
        <f>#REF!</f>
        <v>#REF!</v>
      </c>
      <c r="H57" s="4" t="e">
        <f>#REF!</f>
        <v>#REF!</v>
      </c>
      <c r="I57" s="4" t="e">
        <f>#REF!</f>
        <v>#REF!</v>
      </c>
      <c r="J57" s="4" t="e">
        <f>#REF!</f>
        <v>#REF!</v>
      </c>
      <c r="K57" s="4" t="e">
        <f>#REF!</f>
        <v>#REF!</v>
      </c>
      <c r="L57" s="4" t="e">
        <f>#REF!</f>
        <v>#REF!</v>
      </c>
      <c r="M57" s="4" t="e">
        <f>#REF!</f>
        <v>#REF!</v>
      </c>
      <c r="N57" s="4" t="e">
        <f>#REF!</f>
        <v>#REF!</v>
      </c>
      <c r="O57" s="4" t="e">
        <f>#REF!</f>
        <v>#REF!</v>
      </c>
      <c r="P57" s="4" t="e">
        <f>#REF!</f>
        <v>#REF!</v>
      </c>
      <c r="Q57" s="4" t="e">
        <f>#REF!</f>
        <v>#REF!</v>
      </c>
      <c r="R57" s="4" t="e">
        <f>#REF!</f>
        <v>#REF!</v>
      </c>
      <c r="S57" s="4" t="e">
        <f>#REF!</f>
        <v>#REF!</v>
      </c>
      <c r="T57" s="4" t="e">
        <f>#REF!</f>
        <v>#REF!</v>
      </c>
      <c r="U57" s="4" t="e">
        <f>#REF!</f>
        <v>#REF!</v>
      </c>
      <c r="V57" s="4" t="e">
        <f>#REF!</f>
        <v>#REF!</v>
      </c>
      <c r="W57" s="4" t="e">
        <f>#REF!</f>
        <v>#REF!</v>
      </c>
      <c r="X57" s="4" t="e">
        <f>#REF!</f>
        <v>#REF!</v>
      </c>
      <c r="Y57" s="4" t="e">
        <f>#REF!</f>
        <v>#REF!</v>
      </c>
      <c r="Z57" s="4" t="e">
        <f>#REF!</f>
        <v>#REF!</v>
      </c>
      <c r="AA57" s="4" t="e">
        <f>#REF!</f>
        <v>#REF!</v>
      </c>
      <c r="AB57" s="213" t="e">
        <f>#REF!</f>
        <v>#REF!</v>
      </c>
      <c r="AC57" s="3" t="e">
        <f>#REF!</f>
        <v>#REF!</v>
      </c>
    </row>
    <row r="58" spans="1:29" ht="45" customHeight="1">
      <c r="A58" s="3">
        <f t="shared" si="0"/>
        <v>54</v>
      </c>
      <c r="B58" s="3" t="e">
        <f>#REF!</f>
        <v>#REF!</v>
      </c>
      <c r="C58" s="213" t="e">
        <f>#REF!</f>
        <v>#REF!</v>
      </c>
      <c r="D58" s="4" t="e">
        <f>#REF!</f>
        <v>#REF!</v>
      </c>
      <c r="E58" s="4" t="e">
        <f>#REF!</f>
        <v>#REF!</v>
      </c>
      <c r="F58" s="4" t="e">
        <f>#REF!</f>
        <v>#REF!</v>
      </c>
      <c r="G58" s="4" t="e">
        <f>#REF!</f>
        <v>#REF!</v>
      </c>
      <c r="H58" s="4" t="e">
        <f>#REF!</f>
        <v>#REF!</v>
      </c>
      <c r="I58" s="4" t="e">
        <f>#REF!</f>
        <v>#REF!</v>
      </c>
      <c r="J58" s="4" t="e">
        <f>#REF!</f>
        <v>#REF!</v>
      </c>
      <c r="K58" s="4" t="e">
        <f>#REF!</f>
        <v>#REF!</v>
      </c>
      <c r="L58" s="4" t="e">
        <f>#REF!</f>
        <v>#REF!</v>
      </c>
      <c r="M58" s="4" t="e">
        <f>#REF!</f>
        <v>#REF!</v>
      </c>
      <c r="N58" s="4" t="e">
        <f>#REF!</f>
        <v>#REF!</v>
      </c>
      <c r="O58" s="4" t="e">
        <f>#REF!</f>
        <v>#REF!</v>
      </c>
      <c r="P58" s="4" t="e">
        <f>#REF!</f>
        <v>#REF!</v>
      </c>
      <c r="Q58" s="4" t="e">
        <f>#REF!</f>
        <v>#REF!</v>
      </c>
      <c r="R58" s="4" t="e">
        <f>#REF!</f>
        <v>#REF!</v>
      </c>
      <c r="S58" s="4" t="e">
        <f>#REF!</f>
        <v>#REF!</v>
      </c>
      <c r="T58" s="4" t="e">
        <f>#REF!</f>
        <v>#REF!</v>
      </c>
      <c r="U58" s="4" t="e">
        <f>#REF!</f>
        <v>#REF!</v>
      </c>
      <c r="V58" s="4" t="e">
        <f>#REF!</f>
        <v>#REF!</v>
      </c>
      <c r="W58" s="4" t="e">
        <f>#REF!</f>
        <v>#REF!</v>
      </c>
      <c r="X58" s="4" t="e">
        <f>#REF!</f>
        <v>#REF!</v>
      </c>
      <c r="Y58" s="4" t="e">
        <f>#REF!</f>
        <v>#REF!</v>
      </c>
      <c r="Z58" s="4" t="e">
        <f>#REF!</f>
        <v>#REF!</v>
      </c>
      <c r="AA58" s="4" t="e">
        <f>#REF!</f>
        <v>#REF!</v>
      </c>
      <c r="AB58" s="213" t="e">
        <f>#REF!</f>
        <v>#REF!</v>
      </c>
      <c r="AC58" s="3" t="e">
        <f>#REF!</f>
        <v>#REF!</v>
      </c>
    </row>
    <row r="59" spans="1:29" ht="45" customHeight="1">
      <c r="A59" s="3">
        <f t="shared" si="0"/>
        <v>55</v>
      </c>
      <c r="B59" s="3" t="e">
        <f>#REF!</f>
        <v>#REF!</v>
      </c>
      <c r="C59" s="213" t="e">
        <f>#REF!</f>
        <v>#REF!</v>
      </c>
      <c r="D59" s="4" t="e">
        <f>#REF!</f>
        <v>#REF!</v>
      </c>
      <c r="E59" s="4" t="e">
        <f>#REF!</f>
        <v>#REF!</v>
      </c>
      <c r="F59" s="4" t="e">
        <f>#REF!</f>
        <v>#REF!</v>
      </c>
      <c r="G59" s="4" t="e">
        <f>#REF!</f>
        <v>#REF!</v>
      </c>
      <c r="H59" s="4" t="e">
        <f>#REF!</f>
        <v>#REF!</v>
      </c>
      <c r="I59" s="4" t="e">
        <f>#REF!</f>
        <v>#REF!</v>
      </c>
      <c r="J59" s="4" t="e">
        <f>#REF!</f>
        <v>#REF!</v>
      </c>
      <c r="K59" s="4" t="e">
        <f>#REF!</f>
        <v>#REF!</v>
      </c>
      <c r="L59" s="4" t="e">
        <f>#REF!</f>
        <v>#REF!</v>
      </c>
      <c r="M59" s="4" t="e">
        <f>#REF!</f>
        <v>#REF!</v>
      </c>
      <c r="N59" s="4" t="e">
        <f>#REF!</f>
        <v>#REF!</v>
      </c>
      <c r="O59" s="4" t="e">
        <f>#REF!</f>
        <v>#REF!</v>
      </c>
      <c r="P59" s="4" t="e">
        <f>#REF!</f>
        <v>#REF!</v>
      </c>
      <c r="Q59" s="4" t="e">
        <f>#REF!</f>
        <v>#REF!</v>
      </c>
      <c r="R59" s="4" t="e">
        <f>#REF!</f>
        <v>#REF!</v>
      </c>
      <c r="S59" s="4" t="e">
        <f>#REF!</f>
        <v>#REF!</v>
      </c>
      <c r="T59" s="4" t="e">
        <f>#REF!</f>
        <v>#REF!</v>
      </c>
      <c r="U59" s="4" t="e">
        <f>#REF!</f>
        <v>#REF!</v>
      </c>
      <c r="V59" s="4" t="e">
        <f>#REF!</f>
        <v>#REF!</v>
      </c>
      <c r="W59" s="4" t="e">
        <f>#REF!</f>
        <v>#REF!</v>
      </c>
      <c r="X59" s="4" t="e">
        <f>#REF!</f>
        <v>#REF!</v>
      </c>
      <c r="Y59" s="4" t="e">
        <f>#REF!</f>
        <v>#REF!</v>
      </c>
      <c r="Z59" s="4" t="e">
        <f>#REF!</f>
        <v>#REF!</v>
      </c>
      <c r="AA59" s="4" t="e">
        <f>#REF!</f>
        <v>#REF!</v>
      </c>
      <c r="AB59" s="213" t="e">
        <f>#REF!</f>
        <v>#REF!</v>
      </c>
      <c r="AC59" s="3" t="e">
        <f>#REF!</f>
        <v>#REF!</v>
      </c>
    </row>
    <row r="60" spans="1:29" ht="45" customHeight="1">
      <c r="A60" s="3">
        <f t="shared" si="0"/>
        <v>56</v>
      </c>
      <c r="B60" s="3" t="e">
        <f>#REF!</f>
        <v>#REF!</v>
      </c>
      <c r="C60" s="213" t="e">
        <f>#REF!</f>
        <v>#REF!</v>
      </c>
      <c r="D60" s="4" t="e">
        <f>#REF!</f>
        <v>#REF!</v>
      </c>
      <c r="E60" s="4" t="e">
        <f>#REF!</f>
        <v>#REF!</v>
      </c>
      <c r="F60" s="4" t="e">
        <f>#REF!</f>
        <v>#REF!</v>
      </c>
      <c r="G60" s="4" t="e">
        <f>#REF!</f>
        <v>#REF!</v>
      </c>
      <c r="H60" s="4" t="e">
        <f>#REF!</f>
        <v>#REF!</v>
      </c>
      <c r="I60" s="4" t="e">
        <f>#REF!</f>
        <v>#REF!</v>
      </c>
      <c r="J60" s="4" t="e">
        <f>#REF!</f>
        <v>#REF!</v>
      </c>
      <c r="K60" s="4" t="e">
        <f>#REF!</f>
        <v>#REF!</v>
      </c>
      <c r="L60" s="4" t="e">
        <f>#REF!</f>
        <v>#REF!</v>
      </c>
      <c r="M60" s="4" t="e">
        <f>#REF!</f>
        <v>#REF!</v>
      </c>
      <c r="N60" s="4" t="e">
        <f>#REF!</f>
        <v>#REF!</v>
      </c>
      <c r="O60" s="4" t="e">
        <f>#REF!</f>
        <v>#REF!</v>
      </c>
      <c r="P60" s="4" t="e">
        <f>#REF!</f>
        <v>#REF!</v>
      </c>
      <c r="Q60" s="4" t="e">
        <f>#REF!</f>
        <v>#REF!</v>
      </c>
      <c r="R60" s="4" t="e">
        <f>#REF!</f>
        <v>#REF!</v>
      </c>
      <c r="S60" s="4" t="e">
        <f>#REF!</f>
        <v>#REF!</v>
      </c>
      <c r="T60" s="4" t="e">
        <f>#REF!</f>
        <v>#REF!</v>
      </c>
      <c r="U60" s="4" t="e">
        <f>#REF!</f>
        <v>#REF!</v>
      </c>
      <c r="V60" s="4" t="e">
        <f>#REF!</f>
        <v>#REF!</v>
      </c>
      <c r="W60" s="4" t="e">
        <f>#REF!</f>
        <v>#REF!</v>
      </c>
      <c r="X60" s="4" t="e">
        <f>#REF!</f>
        <v>#REF!</v>
      </c>
      <c r="Y60" s="4" t="e">
        <f>#REF!</f>
        <v>#REF!</v>
      </c>
      <c r="Z60" s="4" t="e">
        <f>#REF!</f>
        <v>#REF!</v>
      </c>
      <c r="AA60" s="4" t="e">
        <f>#REF!</f>
        <v>#REF!</v>
      </c>
      <c r="AB60" s="213" t="e">
        <f>#REF!</f>
        <v>#REF!</v>
      </c>
      <c r="AC60" s="3" t="e">
        <f>#REF!</f>
        <v>#REF!</v>
      </c>
    </row>
    <row r="61" spans="1:29" ht="45" customHeight="1">
      <c r="A61" s="3">
        <f t="shared" si="0"/>
        <v>57</v>
      </c>
      <c r="B61" s="3" t="e">
        <f>#REF!</f>
        <v>#REF!</v>
      </c>
      <c r="C61" s="213" t="e">
        <f>#REF!</f>
        <v>#REF!</v>
      </c>
      <c r="D61" s="4" t="e">
        <f>#REF!</f>
        <v>#REF!</v>
      </c>
      <c r="E61" s="4" t="e">
        <f>#REF!</f>
        <v>#REF!</v>
      </c>
      <c r="F61" s="4" t="e">
        <f>#REF!</f>
        <v>#REF!</v>
      </c>
      <c r="G61" s="4" t="e">
        <f>#REF!</f>
        <v>#REF!</v>
      </c>
      <c r="H61" s="4" t="e">
        <f>#REF!</f>
        <v>#REF!</v>
      </c>
      <c r="I61" s="4" t="e">
        <f>#REF!</f>
        <v>#REF!</v>
      </c>
      <c r="J61" s="4" t="e">
        <f>#REF!</f>
        <v>#REF!</v>
      </c>
      <c r="K61" s="4" t="e">
        <f>#REF!</f>
        <v>#REF!</v>
      </c>
      <c r="L61" s="4" t="e">
        <f>#REF!</f>
        <v>#REF!</v>
      </c>
      <c r="M61" s="4" t="e">
        <f>#REF!</f>
        <v>#REF!</v>
      </c>
      <c r="N61" s="4" t="e">
        <f>#REF!</f>
        <v>#REF!</v>
      </c>
      <c r="O61" s="4" t="e">
        <f>#REF!</f>
        <v>#REF!</v>
      </c>
      <c r="P61" s="4" t="e">
        <f>#REF!</f>
        <v>#REF!</v>
      </c>
      <c r="Q61" s="4" t="e">
        <f>#REF!</f>
        <v>#REF!</v>
      </c>
      <c r="R61" s="4" t="e">
        <f>#REF!</f>
        <v>#REF!</v>
      </c>
      <c r="S61" s="4" t="e">
        <f>#REF!</f>
        <v>#REF!</v>
      </c>
      <c r="T61" s="4" t="e">
        <f>#REF!</f>
        <v>#REF!</v>
      </c>
      <c r="U61" s="4" t="e">
        <f>#REF!</f>
        <v>#REF!</v>
      </c>
      <c r="V61" s="4" t="e">
        <f>#REF!</f>
        <v>#REF!</v>
      </c>
      <c r="W61" s="4" t="e">
        <f>#REF!</f>
        <v>#REF!</v>
      </c>
      <c r="X61" s="4" t="e">
        <f>#REF!</f>
        <v>#REF!</v>
      </c>
      <c r="Y61" s="4" t="e">
        <f>#REF!</f>
        <v>#REF!</v>
      </c>
      <c r="Z61" s="4" t="e">
        <f>#REF!</f>
        <v>#REF!</v>
      </c>
      <c r="AA61" s="4" t="e">
        <f>#REF!</f>
        <v>#REF!</v>
      </c>
      <c r="AB61" s="213" t="e">
        <f>#REF!</f>
        <v>#REF!</v>
      </c>
      <c r="AC61" s="3" t="e">
        <f>#REF!</f>
        <v>#REF!</v>
      </c>
    </row>
    <row r="62" spans="1:29" ht="45" customHeight="1">
      <c r="A62" s="3">
        <f t="shared" si="0"/>
        <v>58</v>
      </c>
      <c r="B62" s="3" t="e">
        <f>#REF!</f>
        <v>#REF!</v>
      </c>
      <c r="C62" s="213" t="e">
        <f>#REF!</f>
        <v>#REF!</v>
      </c>
      <c r="D62" s="4" t="e">
        <f>#REF!</f>
        <v>#REF!</v>
      </c>
      <c r="E62" s="4" t="e">
        <f>#REF!</f>
        <v>#REF!</v>
      </c>
      <c r="F62" s="4" t="e">
        <f>#REF!</f>
        <v>#REF!</v>
      </c>
      <c r="G62" s="4" t="e">
        <f>#REF!</f>
        <v>#REF!</v>
      </c>
      <c r="H62" s="4" t="e">
        <f>#REF!</f>
        <v>#REF!</v>
      </c>
      <c r="I62" s="4" t="e">
        <f>#REF!</f>
        <v>#REF!</v>
      </c>
      <c r="J62" s="4" t="e">
        <f>#REF!</f>
        <v>#REF!</v>
      </c>
      <c r="K62" s="4" t="e">
        <f>#REF!</f>
        <v>#REF!</v>
      </c>
      <c r="L62" s="4" t="e">
        <f>#REF!</f>
        <v>#REF!</v>
      </c>
      <c r="M62" s="4" t="e">
        <f>#REF!</f>
        <v>#REF!</v>
      </c>
      <c r="N62" s="4" t="e">
        <f>#REF!</f>
        <v>#REF!</v>
      </c>
      <c r="O62" s="4" t="e">
        <f>#REF!</f>
        <v>#REF!</v>
      </c>
      <c r="P62" s="4" t="e">
        <f>#REF!</f>
        <v>#REF!</v>
      </c>
      <c r="Q62" s="4" t="e">
        <f>#REF!</f>
        <v>#REF!</v>
      </c>
      <c r="R62" s="4" t="e">
        <f>#REF!</f>
        <v>#REF!</v>
      </c>
      <c r="S62" s="4" t="e">
        <f>#REF!</f>
        <v>#REF!</v>
      </c>
      <c r="T62" s="4" t="e">
        <f>#REF!</f>
        <v>#REF!</v>
      </c>
      <c r="U62" s="4" t="e">
        <f>#REF!</f>
        <v>#REF!</v>
      </c>
      <c r="V62" s="4" t="e">
        <f>#REF!</f>
        <v>#REF!</v>
      </c>
      <c r="W62" s="4" t="e">
        <f>#REF!</f>
        <v>#REF!</v>
      </c>
      <c r="X62" s="4" t="e">
        <f>#REF!</f>
        <v>#REF!</v>
      </c>
      <c r="Y62" s="4" t="e">
        <f>#REF!</f>
        <v>#REF!</v>
      </c>
      <c r="Z62" s="4" t="e">
        <f>#REF!</f>
        <v>#REF!</v>
      </c>
      <c r="AA62" s="4" t="e">
        <f>#REF!</f>
        <v>#REF!</v>
      </c>
      <c r="AB62" s="213" t="e">
        <f>#REF!</f>
        <v>#REF!</v>
      </c>
      <c r="AC62" s="3" t="e">
        <f>#REF!</f>
        <v>#REF!</v>
      </c>
    </row>
    <row r="63" spans="1:29" ht="45" customHeight="1">
      <c r="A63" s="3">
        <f t="shared" si="0"/>
        <v>59</v>
      </c>
      <c r="B63" s="3" t="e">
        <f>#REF!</f>
        <v>#REF!</v>
      </c>
      <c r="C63" s="213" t="e">
        <f>#REF!</f>
        <v>#REF!</v>
      </c>
      <c r="D63" s="4" t="e">
        <f>#REF!</f>
        <v>#REF!</v>
      </c>
      <c r="E63" s="4" t="e">
        <f>#REF!</f>
        <v>#REF!</v>
      </c>
      <c r="F63" s="4" t="e">
        <f>#REF!</f>
        <v>#REF!</v>
      </c>
      <c r="G63" s="4" t="e">
        <f>#REF!</f>
        <v>#REF!</v>
      </c>
      <c r="H63" s="4" t="e">
        <f>#REF!</f>
        <v>#REF!</v>
      </c>
      <c r="I63" s="4" t="e">
        <f>#REF!</f>
        <v>#REF!</v>
      </c>
      <c r="J63" s="4" t="e">
        <f>#REF!</f>
        <v>#REF!</v>
      </c>
      <c r="K63" s="4" t="e">
        <f>#REF!</f>
        <v>#REF!</v>
      </c>
      <c r="L63" s="4" t="e">
        <f>#REF!</f>
        <v>#REF!</v>
      </c>
      <c r="M63" s="4" t="e">
        <f>#REF!</f>
        <v>#REF!</v>
      </c>
      <c r="N63" s="4" t="e">
        <f>#REF!</f>
        <v>#REF!</v>
      </c>
      <c r="O63" s="4" t="e">
        <f>#REF!</f>
        <v>#REF!</v>
      </c>
      <c r="P63" s="4" t="e">
        <f>#REF!</f>
        <v>#REF!</v>
      </c>
      <c r="Q63" s="4" t="e">
        <f>#REF!</f>
        <v>#REF!</v>
      </c>
      <c r="R63" s="4" t="e">
        <f>#REF!</f>
        <v>#REF!</v>
      </c>
      <c r="S63" s="4" t="e">
        <f>#REF!</f>
        <v>#REF!</v>
      </c>
      <c r="T63" s="4" t="e">
        <f>#REF!</f>
        <v>#REF!</v>
      </c>
      <c r="U63" s="4" t="e">
        <f>#REF!</f>
        <v>#REF!</v>
      </c>
      <c r="V63" s="4" t="e">
        <f>#REF!</f>
        <v>#REF!</v>
      </c>
      <c r="W63" s="4" t="e">
        <f>#REF!</f>
        <v>#REF!</v>
      </c>
      <c r="X63" s="4" t="e">
        <f>#REF!</f>
        <v>#REF!</v>
      </c>
      <c r="Y63" s="4" t="e">
        <f>#REF!</f>
        <v>#REF!</v>
      </c>
      <c r="Z63" s="4" t="e">
        <f>#REF!</f>
        <v>#REF!</v>
      </c>
      <c r="AA63" s="4" t="e">
        <f>#REF!</f>
        <v>#REF!</v>
      </c>
      <c r="AB63" s="213" t="e">
        <f>#REF!</f>
        <v>#REF!</v>
      </c>
      <c r="AC63" s="3" t="e">
        <f>#REF!</f>
        <v>#REF!</v>
      </c>
    </row>
    <row r="64" spans="1:29" ht="45" customHeight="1">
      <c r="A64" s="3">
        <f t="shared" si="0"/>
        <v>60</v>
      </c>
      <c r="B64" s="3" t="e">
        <f>#REF!</f>
        <v>#REF!</v>
      </c>
      <c r="C64" s="213" t="e">
        <f>#REF!</f>
        <v>#REF!</v>
      </c>
      <c r="D64" s="4" t="e">
        <f>#REF!</f>
        <v>#REF!</v>
      </c>
      <c r="E64" s="4" t="e">
        <f>#REF!</f>
        <v>#REF!</v>
      </c>
      <c r="F64" s="4" t="e">
        <f>#REF!</f>
        <v>#REF!</v>
      </c>
      <c r="G64" s="4" t="e">
        <f>#REF!</f>
        <v>#REF!</v>
      </c>
      <c r="H64" s="4" t="e">
        <f>#REF!</f>
        <v>#REF!</v>
      </c>
      <c r="I64" s="4" t="e">
        <f>#REF!</f>
        <v>#REF!</v>
      </c>
      <c r="J64" s="4" t="e">
        <f>#REF!</f>
        <v>#REF!</v>
      </c>
      <c r="K64" s="4" t="e">
        <f>#REF!</f>
        <v>#REF!</v>
      </c>
      <c r="L64" s="4" t="e">
        <f>#REF!</f>
        <v>#REF!</v>
      </c>
      <c r="M64" s="4" t="e">
        <f>#REF!</f>
        <v>#REF!</v>
      </c>
      <c r="N64" s="4" t="e">
        <f>#REF!</f>
        <v>#REF!</v>
      </c>
      <c r="O64" s="4" t="e">
        <f>#REF!</f>
        <v>#REF!</v>
      </c>
      <c r="P64" s="4" t="e">
        <f>#REF!</f>
        <v>#REF!</v>
      </c>
      <c r="Q64" s="4" t="e">
        <f>#REF!</f>
        <v>#REF!</v>
      </c>
      <c r="R64" s="4" t="e">
        <f>#REF!</f>
        <v>#REF!</v>
      </c>
      <c r="S64" s="4" t="e">
        <f>#REF!</f>
        <v>#REF!</v>
      </c>
      <c r="T64" s="4" t="e">
        <f>#REF!</f>
        <v>#REF!</v>
      </c>
      <c r="U64" s="4" t="e">
        <f>#REF!</f>
        <v>#REF!</v>
      </c>
      <c r="V64" s="4" t="e">
        <f>#REF!</f>
        <v>#REF!</v>
      </c>
      <c r="W64" s="4" t="e">
        <f>#REF!</f>
        <v>#REF!</v>
      </c>
      <c r="X64" s="4" t="e">
        <f>#REF!</f>
        <v>#REF!</v>
      </c>
      <c r="Y64" s="4" t="e">
        <f>#REF!</f>
        <v>#REF!</v>
      </c>
      <c r="Z64" s="4" t="e">
        <f>#REF!</f>
        <v>#REF!</v>
      </c>
      <c r="AA64" s="4" t="e">
        <f>#REF!</f>
        <v>#REF!</v>
      </c>
      <c r="AB64" s="213" t="e">
        <f>#REF!</f>
        <v>#REF!</v>
      </c>
      <c r="AC64" s="3" t="e">
        <f>#REF!</f>
        <v>#REF!</v>
      </c>
    </row>
    <row r="65" spans="1:29" ht="45" customHeight="1">
      <c r="A65" s="3">
        <f t="shared" si="0"/>
        <v>61</v>
      </c>
      <c r="B65" s="3" t="e">
        <f>#REF!</f>
        <v>#REF!</v>
      </c>
      <c r="C65" s="213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4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213" t="e">
        <f>#REF!</f>
        <v>#REF!</v>
      </c>
      <c r="AC65" s="3" t="e">
        <f>#REF!</f>
        <v>#REF!</v>
      </c>
    </row>
    <row r="66" spans="1:29" ht="45" customHeight="1">
      <c r="A66" s="3">
        <f t="shared" si="0"/>
        <v>62</v>
      </c>
      <c r="B66" s="3" t="e">
        <f>#REF!</f>
        <v>#REF!</v>
      </c>
      <c r="C66" s="213" t="e">
        <f>#REF!</f>
        <v>#REF!</v>
      </c>
      <c r="D66" s="4" t="e">
        <f>#REF!</f>
        <v>#REF!</v>
      </c>
      <c r="E66" s="4" t="e">
        <f>#REF!</f>
        <v>#REF!</v>
      </c>
      <c r="F66" s="4" t="e">
        <f>#REF!</f>
        <v>#REF!</v>
      </c>
      <c r="G66" s="4" t="e">
        <f>#REF!</f>
        <v>#REF!</v>
      </c>
      <c r="H66" s="4" t="e">
        <f>#REF!</f>
        <v>#REF!</v>
      </c>
      <c r="I66" s="4" t="e">
        <f>#REF!</f>
        <v>#REF!</v>
      </c>
      <c r="J66" s="4" t="e">
        <f>#REF!</f>
        <v>#REF!</v>
      </c>
      <c r="K66" s="4" t="e">
        <f>#REF!</f>
        <v>#REF!</v>
      </c>
      <c r="L66" s="4" t="e">
        <f>#REF!</f>
        <v>#REF!</v>
      </c>
      <c r="M66" s="4" t="e">
        <f>#REF!</f>
        <v>#REF!</v>
      </c>
      <c r="N66" s="4" t="e">
        <f>#REF!</f>
        <v>#REF!</v>
      </c>
      <c r="O66" s="4" t="e">
        <f>#REF!</f>
        <v>#REF!</v>
      </c>
      <c r="P66" s="4" t="e">
        <f>#REF!</f>
        <v>#REF!</v>
      </c>
      <c r="Q66" s="4" t="e">
        <f>#REF!</f>
        <v>#REF!</v>
      </c>
      <c r="R66" s="4" t="e">
        <f>#REF!</f>
        <v>#REF!</v>
      </c>
      <c r="S66" s="4" t="e">
        <f>#REF!</f>
        <v>#REF!</v>
      </c>
      <c r="T66" s="4" t="e">
        <f>#REF!</f>
        <v>#REF!</v>
      </c>
      <c r="U66" s="4" t="e">
        <f>#REF!</f>
        <v>#REF!</v>
      </c>
      <c r="V66" s="4" t="e">
        <f>#REF!</f>
        <v>#REF!</v>
      </c>
      <c r="W66" s="4" t="e">
        <f>#REF!</f>
        <v>#REF!</v>
      </c>
      <c r="X66" s="4" t="e">
        <f>#REF!</f>
        <v>#REF!</v>
      </c>
      <c r="Y66" s="4" t="e">
        <f>#REF!</f>
        <v>#REF!</v>
      </c>
      <c r="Z66" s="4" t="e">
        <f>#REF!</f>
        <v>#REF!</v>
      </c>
      <c r="AA66" s="4" t="e">
        <f>#REF!</f>
        <v>#REF!</v>
      </c>
      <c r="AB66" s="213" t="e">
        <f>#REF!</f>
        <v>#REF!</v>
      </c>
      <c r="AC66" s="3" t="e">
        <f>#REF!</f>
        <v>#REF!</v>
      </c>
    </row>
    <row r="67" spans="1:29" ht="45" customHeight="1">
      <c r="A67" s="3">
        <f t="shared" si="0"/>
        <v>63</v>
      </c>
      <c r="B67" s="3" t="e">
        <f>#REF!</f>
        <v>#REF!</v>
      </c>
      <c r="C67" s="213" t="e">
        <f>#REF!</f>
        <v>#REF!</v>
      </c>
      <c r="D67" s="4" t="e">
        <f>#REF!</f>
        <v>#REF!</v>
      </c>
      <c r="E67" s="4" t="e">
        <f>#REF!</f>
        <v>#REF!</v>
      </c>
      <c r="F67" s="4" t="e">
        <f>#REF!</f>
        <v>#REF!</v>
      </c>
      <c r="G67" s="4" t="e">
        <f>#REF!</f>
        <v>#REF!</v>
      </c>
      <c r="H67" s="4" t="e">
        <f>#REF!</f>
        <v>#REF!</v>
      </c>
      <c r="I67" s="4" t="e">
        <f>#REF!</f>
        <v>#REF!</v>
      </c>
      <c r="J67" s="4" t="e">
        <f>#REF!</f>
        <v>#REF!</v>
      </c>
      <c r="K67" s="4" t="e">
        <f>#REF!</f>
        <v>#REF!</v>
      </c>
      <c r="L67" s="4" t="e">
        <f>#REF!</f>
        <v>#REF!</v>
      </c>
      <c r="M67" s="4" t="e">
        <f>#REF!</f>
        <v>#REF!</v>
      </c>
      <c r="N67" s="4" t="e">
        <f>#REF!</f>
        <v>#REF!</v>
      </c>
      <c r="O67" s="4" t="e">
        <f>#REF!</f>
        <v>#REF!</v>
      </c>
      <c r="P67" s="4" t="e">
        <f>#REF!</f>
        <v>#REF!</v>
      </c>
      <c r="Q67" s="4" t="e">
        <f>#REF!</f>
        <v>#REF!</v>
      </c>
      <c r="R67" s="4" t="e">
        <f>#REF!</f>
        <v>#REF!</v>
      </c>
      <c r="S67" s="4" t="e">
        <f>#REF!</f>
        <v>#REF!</v>
      </c>
      <c r="T67" s="4" t="e">
        <f>#REF!</f>
        <v>#REF!</v>
      </c>
      <c r="U67" s="4" t="e">
        <f>#REF!</f>
        <v>#REF!</v>
      </c>
      <c r="V67" s="4" t="e">
        <f>#REF!</f>
        <v>#REF!</v>
      </c>
      <c r="W67" s="4" t="e">
        <f>#REF!</f>
        <v>#REF!</v>
      </c>
      <c r="X67" s="4" t="e">
        <f>#REF!</f>
        <v>#REF!</v>
      </c>
      <c r="Y67" s="4" t="e">
        <f>#REF!</f>
        <v>#REF!</v>
      </c>
      <c r="Z67" s="4" t="e">
        <f>#REF!</f>
        <v>#REF!</v>
      </c>
      <c r="AA67" s="4" t="e">
        <f>#REF!</f>
        <v>#REF!</v>
      </c>
      <c r="AB67" s="213" t="e">
        <f>#REF!</f>
        <v>#REF!</v>
      </c>
      <c r="AC67" s="3" t="e">
        <f>#REF!</f>
        <v>#REF!</v>
      </c>
    </row>
    <row r="68" spans="1:29" ht="45" customHeight="1">
      <c r="A68" s="3">
        <f t="shared" si="0"/>
        <v>64</v>
      </c>
      <c r="B68" s="3" t="e">
        <f>#REF!</f>
        <v>#REF!</v>
      </c>
      <c r="C68" s="213" t="e">
        <f>#REF!</f>
        <v>#REF!</v>
      </c>
      <c r="D68" s="4" t="e">
        <f>#REF!</f>
        <v>#REF!</v>
      </c>
      <c r="E68" s="4" t="e">
        <f>#REF!</f>
        <v>#REF!</v>
      </c>
      <c r="F68" s="4" t="e">
        <f>#REF!</f>
        <v>#REF!</v>
      </c>
      <c r="G68" s="4" t="e">
        <f>#REF!</f>
        <v>#REF!</v>
      </c>
      <c r="H68" s="4" t="e">
        <f>#REF!</f>
        <v>#REF!</v>
      </c>
      <c r="I68" s="4" t="e">
        <f>#REF!</f>
        <v>#REF!</v>
      </c>
      <c r="J68" s="4" t="e">
        <f>#REF!</f>
        <v>#REF!</v>
      </c>
      <c r="K68" s="4" t="e">
        <f>#REF!</f>
        <v>#REF!</v>
      </c>
      <c r="L68" s="4" t="e">
        <f>#REF!</f>
        <v>#REF!</v>
      </c>
      <c r="M68" s="4" t="e">
        <f>#REF!</f>
        <v>#REF!</v>
      </c>
      <c r="N68" s="4" t="e">
        <f>#REF!</f>
        <v>#REF!</v>
      </c>
      <c r="O68" s="4" t="e">
        <f>#REF!</f>
        <v>#REF!</v>
      </c>
      <c r="P68" s="4" t="e">
        <f>#REF!</f>
        <v>#REF!</v>
      </c>
      <c r="Q68" s="4" t="e">
        <f>#REF!</f>
        <v>#REF!</v>
      </c>
      <c r="R68" s="4" t="e">
        <f>#REF!</f>
        <v>#REF!</v>
      </c>
      <c r="S68" s="4" t="e">
        <f>#REF!</f>
        <v>#REF!</v>
      </c>
      <c r="T68" s="4" t="e">
        <f>#REF!</f>
        <v>#REF!</v>
      </c>
      <c r="U68" s="4" t="e">
        <f>#REF!</f>
        <v>#REF!</v>
      </c>
      <c r="V68" s="4" t="e">
        <f>#REF!</f>
        <v>#REF!</v>
      </c>
      <c r="W68" s="4" t="e">
        <f>#REF!</f>
        <v>#REF!</v>
      </c>
      <c r="X68" s="4" t="e">
        <f>#REF!</f>
        <v>#REF!</v>
      </c>
      <c r="Y68" s="4" t="e">
        <f>#REF!</f>
        <v>#REF!</v>
      </c>
      <c r="Z68" s="4" t="e">
        <f>#REF!</f>
        <v>#REF!</v>
      </c>
      <c r="AA68" s="4" t="e">
        <f>#REF!</f>
        <v>#REF!</v>
      </c>
      <c r="AB68" s="213" t="e">
        <f>#REF!</f>
        <v>#REF!</v>
      </c>
      <c r="AC68" s="3" t="e">
        <f>#REF!</f>
        <v>#REF!</v>
      </c>
    </row>
    <row r="69" spans="1:29" ht="45" customHeight="1">
      <c r="A69" s="3">
        <f t="shared" ref="A69:A109" si="1">A68+1</f>
        <v>65</v>
      </c>
      <c r="B69" s="3" t="e">
        <f>#REF!</f>
        <v>#REF!</v>
      </c>
      <c r="C69" s="213" t="e">
        <f>#REF!</f>
        <v>#REF!</v>
      </c>
      <c r="D69" s="4" t="e">
        <f>#REF!</f>
        <v>#REF!</v>
      </c>
      <c r="E69" s="4" t="e">
        <f>#REF!</f>
        <v>#REF!</v>
      </c>
      <c r="F69" s="4" t="e">
        <f>#REF!</f>
        <v>#REF!</v>
      </c>
      <c r="G69" s="4" t="e">
        <f>#REF!</f>
        <v>#REF!</v>
      </c>
      <c r="H69" s="4" t="e">
        <f>#REF!</f>
        <v>#REF!</v>
      </c>
      <c r="I69" s="4" t="e">
        <f>#REF!</f>
        <v>#REF!</v>
      </c>
      <c r="J69" s="4" t="e">
        <f>#REF!</f>
        <v>#REF!</v>
      </c>
      <c r="K69" s="4" t="e">
        <f>#REF!</f>
        <v>#REF!</v>
      </c>
      <c r="L69" s="4" t="e">
        <f>#REF!</f>
        <v>#REF!</v>
      </c>
      <c r="M69" s="4" t="e">
        <f>#REF!</f>
        <v>#REF!</v>
      </c>
      <c r="N69" s="4" t="e">
        <f>#REF!</f>
        <v>#REF!</v>
      </c>
      <c r="O69" s="4" t="e">
        <f>#REF!</f>
        <v>#REF!</v>
      </c>
      <c r="P69" s="4" t="e">
        <f>#REF!</f>
        <v>#REF!</v>
      </c>
      <c r="Q69" s="4" t="e">
        <f>#REF!</f>
        <v>#REF!</v>
      </c>
      <c r="R69" s="4" t="e">
        <f>#REF!</f>
        <v>#REF!</v>
      </c>
      <c r="S69" s="4" t="e">
        <f>#REF!</f>
        <v>#REF!</v>
      </c>
      <c r="T69" s="4" t="e">
        <f>#REF!</f>
        <v>#REF!</v>
      </c>
      <c r="U69" s="4" t="e">
        <f>#REF!</f>
        <v>#REF!</v>
      </c>
      <c r="V69" s="4" t="e">
        <f>#REF!</f>
        <v>#REF!</v>
      </c>
      <c r="W69" s="4" t="e">
        <f>#REF!</f>
        <v>#REF!</v>
      </c>
      <c r="X69" s="4" t="e">
        <f>#REF!</f>
        <v>#REF!</v>
      </c>
      <c r="Y69" s="4" t="e">
        <f>#REF!</f>
        <v>#REF!</v>
      </c>
      <c r="Z69" s="4" t="e">
        <f>#REF!</f>
        <v>#REF!</v>
      </c>
      <c r="AA69" s="4" t="e">
        <f>#REF!</f>
        <v>#REF!</v>
      </c>
      <c r="AB69" s="213" t="e">
        <f>#REF!</f>
        <v>#REF!</v>
      </c>
      <c r="AC69" s="3" t="e">
        <f>#REF!</f>
        <v>#REF!</v>
      </c>
    </row>
    <row r="70" spans="1:29" ht="45" customHeight="1">
      <c r="A70" s="3">
        <f t="shared" si="1"/>
        <v>66</v>
      </c>
      <c r="B70" s="3" t="e">
        <f>#REF!</f>
        <v>#REF!</v>
      </c>
      <c r="C70" s="213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4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213" t="e">
        <f>#REF!</f>
        <v>#REF!</v>
      </c>
      <c r="AC70" s="3" t="e">
        <f>#REF!</f>
        <v>#REF!</v>
      </c>
    </row>
    <row r="71" spans="1:29" ht="45" customHeight="1">
      <c r="A71" s="3">
        <f t="shared" si="1"/>
        <v>67</v>
      </c>
      <c r="B71" s="3" t="e">
        <f>#REF!</f>
        <v>#REF!</v>
      </c>
      <c r="C71" s="213" t="e">
        <f>#REF!</f>
        <v>#REF!</v>
      </c>
      <c r="D71" s="4" t="e">
        <f>#REF!</f>
        <v>#REF!</v>
      </c>
      <c r="E71" s="4" t="e">
        <f>#REF!</f>
        <v>#REF!</v>
      </c>
      <c r="F71" s="4" t="e">
        <f>#REF!</f>
        <v>#REF!</v>
      </c>
      <c r="G71" s="4" t="e">
        <f>#REF!</f>
        <v>#REF!</v>
      </c>
      <c r="H71" s="4" t="e">
        <f>#REF!</f>
        <v>#REF!</v>
      </c>
      <c r="I71" s="4" t="e">
        <f>#REF!</f>
        <v>#REF!</v>
      </c>
      <c r="J71" s="4" t="e">
        <f>#REF!</f>
        <v>#REF!</v>
      </c>
      <c r="K71" s="4" t="e">
        <f>#REF!</f>
        <v>#REF!</v>
      </c>
      <c r="L71" s="4" t="e">
        <f>#REF!</f>
        <v>#REF!</v>
      </c>
      <c r="M71" s="4" t="e">
        <f>#REF!</f>
        <v>#REF!</v>
      </c>
      <c r="N71" s="4" t="e">
        <f>#REF!</f>
        <v>#REF!</v>
      </c>
      <c r="O71" s="4" t="e">
        <f>#REF!</f>
        <v>#REF!</v>
      </c>
      <c r="P71" s="4" t="e">
        <f>#REF!</f>
        <v>#REF!</v>
      </c>
      <c r="Q71" s="4" t="e">
        <f>#REF!</f>
        <v>#REF!</v>
      </c>
      <c r="R71" s="4" t="e">
        <f>#REF!</f>
        <v>#REF!</v>
      </c>
      <c r="S71" s="4" t="e">
        <f>#REF!</f>
        <v>#REF!</v>
      </c>
      <c r="T71" s="4" t="e">
        <f>#REF!</f>
        <v>#REF!</v>
      </c>
      <c r="U71" s="4" t="e">
        <f>#REF!</f>
        <v>#REF!</v>
      </c>
      <c r="V71" s="4" t="e">
        <f>#REF!</f>
        <v>#REF!</v>
      </c>
      <c r="W71" s="4" t="e">
        <f>#REF!</f>
        <v>#REF!</v>
      </c>
      <c r="X71" s="4" t="e">
        <f>#REF!</f>
        <v>#REF!</v>
      </c>
      <c r="Y71" s="4" t="e">
        <f>#REF!</f>
        <v>#REF!</v>
      </c>
      <c r="Z71" s="4" t="e">
        <f>#REF!</f>
        <v>#REF!</v>
      </c>
      <c r="AA71" s="4" t="e">
        <f>#REF!</f>
        <v>#REF!</v>
      </c>
      <c r="AB71" s="213" t="e">
        <f>#REF!</f>
        <v>#REF!</v>
      </c>
      <c r="AC71" s="3" t="e">
        <f>#REF!</f>
        <v>#REF!</v>
      </c>
    </row>
    <row r="72" spans="1:29" ht="45" customHeight="1">
      <c r="A72" s="3">
        <f t="shared" si="1"/>
        <v>68</v>
      </c>
      <c r="B72" s="3" t="e">
        <f>#REF!</f>
        <v>#REF!</v>
      </c>
      <c r="C72" s="213" t="e">
        <f>#REF!</f>
        <v>#REF!</v>
      </c>
      <c r="D72" s="4" t="e">
        <f>#REF!</f>
        <v>#REF!</v>
      </c>
      <c r="E72" s="4" t="e">
        <f>#REF!</f>
        <v>#REF!</v>
      </c>
      <c r="F72" s="4" t="e">
        <f>#REF!</f>
        <v>#REF!</v>
      </c>
      <c r="G72" s="4" t="e">
        <f>#REF!</f>
        <v>#REF!</v>
      </c>
      <c r="H72" s="4" t="e">
        <f>#REF!</f>
        <v>#REF!</v>
      </c>
      <c r="I72" s="4" t="e">
        <f>#REF!</f>
        <v>#REF!</v>
      </c>
      <c r="J72" s="4" t="e">
        <f>#REF!</f>
        <v>#REF!</v>
      </c>
      <c r="K72" s="4" t="e">
        <f>#REF!</f>
        <v>#REF!</v>
      </c>
      <c r="L72" s="4" t="e">
        <f>#REF!</f>
        <v>#REF!</v>
      </c>
      <c r="M72" s="4" t="e">
        <f>#REF!</f>
        <v>#REF!</v>
      </c>
      <c r="N72" s="4" t="e">
        <f>#REF!</f>
        <v>#REF!</v>
      </c>
      <c r="O72" s="4" t="e">
        <f>#REF!</f>
        <v>#REF!</v>
      </c>
      <c r="P72" s="4" t="e">
        <f>#REF!</f>
        <v>#REF!</v>
      </c>
      <c r="Q72" s="4" t="e">
        <f>#REF!</f>
        <v>#REF!</v>
      </c>
      <c r="R72" s="4" t="e">
        <f>#REF!</f>
        <v>#REF!</v>
      </c>
      <c r="S72" s="4" t="e">
        <f>#REF!</f>
        <v>#REF!</v>
      </c>
      <c r="T72" s="4" t="e">
        <f>#REF!</f>
        <v>#REF!</v>
      </c>
      <c r="U72" s="4" t="e">
        <f>#REF!</f>
        <v>#REF!</v>
      </c>
      <c r="V72" s="4" t="e">
        <f>#REF!</f>
        <v>#REF!</v>
      </c>
      <c r="W72" s="4" t="e">
        <f>#REF!</f>
        <v>#REF!</v>
      </c>
      <c r="X72" s="4" t="e">
        <f>#REF!</f>
        <v>#REF!</v>
      </c>
      <c r="Y72" s="4" t="e">
        <f>#REF!</f>
        <v>#REF!</v>
      </c>
      <c r="Z72" s="4" t="e">
        <f>#REF!</f>
        <v>#REF!</v>
      </c>
      <c r="AA72" s="4" t="e">
        <f>#REF!</f>
        <v>#REF!</v>
      </c>
      <c r="AB72" s="213" t="e">
        <f>#REF!</f>
        <v>#REF!</v>
      </c>
      <c r="AC72" s="3" t="e">
        <f>#REF!</f>
        <v>#REF!</v>
      </c>
    </row>
    <row r="73" spans="1:29" ht="45" customHeight="1">
      <c r="A73" s="3">
        <f t="shared" si="1"/>
        <v>69</v>
      </c>
      <c r="B73" s="3" t="e">
        <f>#REF!</f>
        <v>#REF!</v>
      </c>
      <c r="C73" s="213" t="e">
        <f>#REF!</f>
        <v>#REF!</v>
      </c>
      <c r="D73" s="4" t="e">
        <f>#REF!</f>
        <v>#REF!</v>
      </c>
      <c r="E73" s="4" t="e">
        <f>#REF!</f>
        <v>#REF!</v>
      </c>
      <c r="F73" s="4" t="e">
        <f>#REF!</f>
        <v>#REF!</v>
      </c>
      <c r="G73" s="4" t="e">
        <f>#REF!</f>
        <v>#REF!</v>
      </c>
      <c r="H73" s="4" t="e">
        <f>#REF!</f>
        <v>#REF!</v>
      </c>
      <c r="I73" s="4" t="e">
        <f>#REF!</f>
        <v>#REF!</v>
      </c>
      <c r="J73" s="4" t="e">
        <f>#REF!</f>
        <v>#REF!</v>
      </c>
      <c r="K73" s="4" t="e">
        <f>#REF!</f>
        <v>#REF!</v>
      </c>
      <c r="L73" s="4" t="e">
        <f>#REF!</f>
        <v>#REF!</v>
      </c>
      <c r="M73" s="4" t="e">
        <f>#REF!</f>
        <v>#REF!</v>
      </c>
      <c r="N73" s="4" t="e">
        <f>#REF!</f>
        <v>#REF!</v>
      </c>
      <c r="O73" s="4" t="e">
        <f>#REF!</f>
        <v>#REF!</v>
      </c>
      <c r="P73" s="4" t="e">
        <f>#REF!</f>
        <v>#REF!</v>
      </c>
      <c r="Q73" s="4" t="e">
        <f>#REF!</f>
        <v>#REF!</v>
      </c>
      <c r="R73" s="4" t="e">
        <f>#REF!</f>
        <v>#REF!</v>
      </c>
      <c r="S73" s="4" t="e">
        <f>#REF!</f>
        <v>#REF!</v>
      </c>
      <c r="T73" s="4" t="e">
        <f>#REF!</f>
        <v>#REF!</v>
      </c>
      <c r="U73" s="4" t="e">
        <f>#REF!</f>
        <v>#REF!</v>
      </c>
      <c r="V73" s="4" t="e">
        <f>#REF!</f>
        <v>#REF!</v>
      </c>
      <c r="W73" s="4" t="e">
        <f>#REF!</f>
        <v>#REF!</v>
      </c>
      <c r="X73" s="4" t="e">
        <f>#REF!</f>
        <v>#REF!</v>
      </c>
      <c r="Y73" s="4" t="e">
        <f>#REF!</f>
        <v>#REF!</v>
      </c>
      <c r="Z73" s="4" t="e">
        <f>#REF!</f>
        <v>#REF!</v>
      </c>
      <c r="AA73" s="4" t="e">
        <f>#REF!</f>
        <v>#REF!</v>
      </c>
      <c r="AB73" s="213" t="e">
        <f>#REF!</f>
        <v>#REF!</v>
      </c>
      <c r="AC73" s="3" t="e">
        <f>#REF!</f>
        <v>#REF!</v>
      </c>
    </row>
    <row r="74" spans="1:29" ht="45" customHeight="1">
      <c r="A74" s="3">
        <f t="shared" si="1"/>
        <v>70</v>
      </c>
      <c r="B74" s="3" t="e">
        <f>#REF!</f>
        <v>#REF!</v>
      </c>
      <c r="C74" s="213" t="e">
        <f>#REF!</f>
        <v>#REF!</v>
      </c>
      <c r="D74" s="4" t="e">
        <f>#REF!</f>
        <v>#REF!</v>
      </c>
      <c r="E74" s="4" t="e">
        <f>#REF!</f>
        <v>#REF!</v>
      </c>
      <c r="F74" s="4" t="e">
        <f>#REF!</f>
        <v>#REF!</v>
      </c>
      <c r="G74" s="4" t="e">
        <f>#REF!</f>
        <v>#REF!</v>
      </c>
      <c r="H74" s="4" t="e">
        <f>#REF!</f>
        <v>#REF!</v>
      </c>
      <c r="I74" s="4" t="e">
        <f>#REF!</f>
        <v>#REF!</v>
      </c>
      <c r="J74" s="4" t="e">
        <f>#REF!</f>
        <v>#REF!</v>
      </c>
      <c r="K74" s="4" t="e">
        <f>#REF!</f>
        <v>#REF!</v>
      </c>
      <c r="L74" s="4" t="e">
        <f>#REF!</f>
        <v>#REF!</v>
      </c>
      <c r="M74" s="4" t="e">
        <f>#REF!</f>
        <v>#REF!</v>
      </c>
      <c r="N74" s="4" t="e">
        <f>#REF!</f>
        <v>#REF!</v>
      </c>
      <c r="O74" s="4" t="e">
        <f>#REF!</f>
        <v>#REF!</v>
      </c>
      <c r="P74" s="4" t="e">
        <f>#REF!</f>
        <v>#REF!</v>
      </c>
      <c r="Q74" s="4" t="e">
        <f>#REF!</f>
        <v>#REF!</v>
      </c>
      <c r="R74" s="4" t="e">
        <f>#REF!</f>
        <v>#REF!</v>
      </c>
      <c r="S74" s="4" t="e">
        <f>#REF!</f>
        <v>#REF!</v>
      </c>
      <c r="T74" s="4" t="e">
        <f>#REF!</f>
        <v>#REF!</v>
      </c>
      <c r="U74" s="4" t="e">
        <f>#REF!</f>
        <v>#REF!</v>
      </c>
      <c r="V74" s="4" t="e">
        <f>#REF!</f>
        <v>#REF!</v>
      </c>
      <c r="W74" s="4" t="e">
        <f>#REF!</f>
        <v>#REF!</v>
      </c>
      <c r="X74" s="4" t="e">
        <f>#REF!</f>
        <v>#REF!</v>
      </c>
      <c r="Y74" s="4" t="e">
        <f>#REF!</f>
        <v>#REF!</v>
      </c>
      <c r="Z74" s="4" t="e">
        <f>#REF!</f>
        <v>#REF!</v>
      </c>
      <c r="AA74" s="4" t="e">
        <f>#REF!</f>
        <v>#REF!</v>
      </c>
      <c r="AB74" s="213" t="e">
        <f>#REF!</f>
        <v>#REF!</v>
      </c>
      <c r="AC74" s="3" t="e">
        <f>#REF!</f>
        <v>#REF!</v>
      </c>
    </row>
    <row r="75" spans="1:29" ht="45" customHeight="1">
      <c r="A75" s="3">
        <f t="shared" si="1"/>
        <v>71</v>
      </c>
      <c r="B75" s="3" t="e">
        <f>#REF!</f>
        <v>#REF!</v>
      </c>
      <c r="C75" s="213" t="e">
        <f>#REF!</f>
        <v>#REF!</v>
      </c>
      <c r="D75" s="4" t="e">
        <f>#REF!</f>
        <v>#REF!</v>
      </c>
      <c r="E75" s="4" t="e">
        <f>#REF!</f>
        <v>#REF!</v>
      </c>
      <c r="F75" s="4" t="e">
        <f>#REF!</f>
        <v>#REF!</v>
      </c>
      <c r="G75" s="4" t="e">
        <f>#REF!</f>
        <v>#REF!</v>
      </c>
      <c r="H75" s="4" t="e">
        <f>#REF!</f>
        <v>#REF!</v>
      </c>
      <c r="I75" s="4" t="e">
        <f>#REF!</f>
        <v>#REF!</v>
      </c>
      <c r="J75" s="4" t="e">
        <f>#REF!</f>
        <v>#REF!</v>
      </c>
      <c r="K75" s="4" t="e">
        <f>#REF!</f>
        <v>#REF!</v>
      </c>
      <c r="L75" s="4" t="e">
        <f>#REF!</f>
        <v>#REF!</v>
      </c>
      <c r="M75" s="4" t="e">
        <f>#REF!</f>
        <v>#REF!</v>
      </c>
      <c r="N75" s="4" t="e">
        <f>#REF!</f>
        <v>#REF!</v>
      </c>
      <c r="O75" s="4" t="e">
        <f>#REF!</f>
        <v>#REF!</v>
      </c>
      <c r="P75" s="4" t="e">
        <f>#REF!</f>
        <v>#REF!</v>
      </c>
      <c r="Q75" s="4" t="e">
        <f>#REF!</f>
        <v>#REF!</v>
      </c>
      <c r="R75" s="4" t="e">
        <f>#REF!</f>
        <v>#REF!</v>
      </c>
      <c r="S75" s="4" t="e">
        <f>#REF!</f>
        <v>#REF!</v>
      </c>
      <c r="T75" s="4" t="e">
        <f>#REF!</f>
        <v>#REF!</v>
      </c>
      <c r="U75" s="4" t="e">
        <f>#REF!</f>
        <v>#REF!</v>
      </c>
      <c r="V75" s="4" t="e">
        <f>#REF!</f>
        <v>#REF!</v>
      </c>
      <c r="W75" s="4" t="e">
        <f>#REF!</f>
        <v>#REF!</v>
      </c>
      <c r="X75" s="4" t="e">
        <f>#REF!</f>
        <v>#REF!</v>
      </c>
      <c r="Y75" s="4" t="e">
        <f>#REF!</f>
        <v>#REF!</v>
      </c>
      <c r="Z75" s="4" t="e">
        <f>#REF!</f>
        <v>#REF!</v>
      </c>
      <c r="AA75" s="4" t="e">
        <f>#REF!</f>
        <v>#REF!</v>
      </c>
      <c r="AB75" s="213" t="e">
        <f>#REF!</f>
        <v>#REF!</v>
      </c>
      <c r="AC75" s="3" t="e">
        <f>#REF!</f>
        <v>#REF!</v>
      </c>
    </row>
    <row r="76" spans="1:29" ht="45" customHeight="1">
      <c r="A76" s="3">
        <f t="shared" si="1"/>
        <v>72</v>
      </c>
      <c r="B76" s="3" t="e">
        <f>#REF!</f>
        <v>#REF!</v>
      </c>
      <c r="C76" s="213" t="e">
        <f>#REF!</f>
        <v>#REF!</v>
      </c>
      <c r="D76" s="4" t="e">
        <f>#REF!</f>
        <v>#REF!</v>
      </c>
      <c r="E76" s="4" t="e">
        <f>#REF!</f>
        <v>#REF!</v>
      </c>
      <c r="F76" s="4" t="e">
        <f>#REF!</f>
        <v>#REF!</v>
      </c>
      <c r="G76" s="4" t="e">
        <f>#REF!</f>
        <v>#REF!</v>
      </c>
      <c r="H76" s="4" t="e">
        <f>#REF!</f>
        <v>#REF!</v>
      </c>
      <c r="I76" s="4" t="e">
        <f>#REF!</f>
        <v>#REF!</v>
      </c>
      <c r="J76" s="4" t="e">
        <f>#REF!</f>
        <v>#REF!</v>
      </c>
      <c r="K76" s="4" t="e">
        <f>#REF!</f>
        <v>#REF!</v>
      </c>
      <c r="L76" s="4" t="e">
        <f>#REF!</f>
        <v>#REF!</v>
      </c>
      <c r="M76" s="4" t="e">
        <f>#REF!</f>
        <v>#REF!</v>
      </c>
      <c r="N76" s="4" t="e">
        <f>#REF!</f>
        <v>#REF!</v>
      </c>
      <c r="O76" s="4" t="e">
        <f>#REF!</f>
        <v>#REF!</v>
      </c>
      <c r="P76" s="4" t="e">
        <f>#REF!</f>
        <v>#REF!</v>
      </c>
      <c r="Q76" s="4" t="e">
        <f>#REF!</f>
        <v>#REF!</v>
      </c>
      <c r="R76" s="4" t="e">
        <f>#REF!</f>
        <v>#REF!</v>
      </c>
      <c r="S76" s="4" t="e">
        <f>#REF!</f>
        <v>#REF!</v>
      </c>
      <c r="T76" s="4" t="e">
        <f>#REF!</f>
        <v>#REF!</v>
      </c>
      <c r="U76" s="4" t="e">
        <f>#REF!</f>
        <v>#REF!</v>
      </c>
      <c r="V76" s="4" t="e">
        <f>#REF!</f>
        <v>#REF!</v>
      </c>
      <c r="W76" s="4" t="e">
        <f>#REF!</f>
        <v>#REF!</v>
      </c>
      <c r="X76" s="4" t="e">
        <f>#REF!</f>
        <v>#REF!</v>
      </c>
      <c r="Y76" s="4" t="e">
        <f>#REF!</f>
        <v>#REF!</v>
      </c>
      <c r="Z76" s="4" t="e">
        <f>#REF!</f>
        <v>#REF!</v>
      </c>
      <c r="AA76" s="4" t="e">
        <f>#REF!</f>
        <v>#REF!</v>
      </c>
      <c r="AB76" s="213" t="e">
        <f>#REF!</f>
        <v>#REF!</v>
      </c>
      <c r="AC76" s="3" t="e">
        <f>#REF!</f>
        <v>#REF!</v>
      </c>
    </row>
    <row r="77" spans="1:29" ht="45" customHeight="1">
      <c r="A77" s="3">
        <f t="shared" si="1"/>
        <v>73</v>
      </c>
      <c r="B77" s="3" t="e">
        <f>#REF!</f>
        <v>#REF!</v>
      </c>
      <c r="C77" s="213" t="e">
        <f>#REF!</f>
        <v>#REF!</v>
      </c>
      <c r="D77" s="4" t="e">
        <f>#REF!</f>
        <v>#REF!</v>
      </c>
      <c r="E77" s="4" t="e">
        <f>#REF!</f>
        <v>#REF!</v>
      </c>
      <c r="F77" s="4" t="e">
        <f>#REF!</f>
        <v>#REF!</v>
      </c>
      <c r="G77" s="4" t="e">
        <f>#REF!</f>
        <v>#REF!</v>
      </c>
      <c r="H77" s="4" t="e">
        <f>#REF!</f>
        <v>#REF!</v>
      </c>
      <c r="I77" s="4" t="e">
        <f>#REF!</f>
        <v>#REF!</v>
      </c>
      <c r="J77" s="4" t="e">
        <f>#REF!</f>
        <v>#REF!</v>
      </c>
      <c r="K77" s="4" t="e">
        <f>#REF!</f>
        <v>#REF!</v>
      </c>
      <c r="L77" s="4" t="e">
        <f>#REF!</f>
        <v>#REF!</v>
      </c>
      <c r="M77" s="4" t="e">
        <f>#REF!</f>
        <v>#REF!</v>
      </c>
      <c r="N77" s="4" t="e">
        <f>#REF!</f>
        <v>#REF!</v>
      </c>
      <c r="O77" s="4" t="e">
        <f>#REF!</f>
        <v>#REF!</v>
      </c>
      <c r="P77" s="4" t="e">
        <f>#REF!</f>
        <v>#REF!</v>
      </c>
      <c r="Q77" s="4" t="e">
        <f>#REF!</f>
        <v>#REF!</v>
      </c>
      <c r="R77" s="4" t="e">
        <f>#REF!</f>
        <v>#REF!</v>
      </c>
      <c r="S77" s="4" t="e">
        <f>#REF!</f>
        <v>#REF!</v>
      </c>
      <c r="T77" s="4" t="e">
        <f>#REF!</f>
        <v>#REF!</v>
      </c>
      <c r="U77" s="4" t="e">
        <f>#REF!</f>
        <v>#REF!</v>
      </c>
      <c r="V77" s="4" t="e">
        <f>#REF!</f>
        <v>#REF!</v>
      </c>
      <c r="W77" s="4" t="e">
        <f>#REF!</f>
        <v>#REF!</v>
      </c>
      <c r="X77" s="4" t="e">
        <f>#REF!</f>
        <v>#REF!</v>
      </c>
      <c r="Y77" s="4" t="e">
        <f>#REF!</f>
        <v>#REF!</v>
      </c>
      <c r="Z77" s="4" t="e">
        <f>#REF!</f>
        <v>#REF!</v>
      </c>
      <c r="AA77" s="4" t="e">
        <f>#REF!</f>
        <v>#REF!</v>
      </c>
      <c r="AB77" s="213" t="e">
        <f>#REF!</f>
        <v>#REF!</v>
      </c>
      <c r="AC77" s="3" t="e">
        <f>#REF!</f>
        <v>#REF!</v>
      </c>
    </row>
    <row r="78" spans="1:29" ht="45" customHeight="1">
      <c r="A78" s="3">
        <f t="shared" si="1"/>
        <v>74</v>
      </c>
      <c r="B78" s="3" t="e">
        <f>#REF!</f>
        <v>#REF!</v>
      </c>
      <c r="C78" s="213" t="e">
        <f>#REF!</f>
        <v>#REF!</v>
      </c>
      <c r="D78" s="4" t="e">
        <f>#REF!</f>
        <v>#REF!</v>
      </c>
      <c r="E78" s="4" t="e">
        <f>#REF!</f>
        <v>#REF!</v>
      </c>
      <c r="F78" s="4" t="e">
        <f>#REF!</f>
        <v>#REF!</v>
      </c>
      <c r="G78" s="4" t="e">
        <f>#REF!</f>
        <v>#REF!</v>
      </c>
      <c r="H78" s="4" t="e">
        <f>#REF!</f>
        <v>#REF!</v>
      </c>
      <c r="I78" s="4" t="e">
        <f>#REF!</f>
        <v>#REF!</v>
      </c>
      <c r="J78" s="4" t="e">
        <f>#REF!</f>
        <v>#REF!</v>
      </c>
      <c r="K78" s="4" t="e">
        <f>#REF!</f>
        <v>#REF!</v>
      </c>
      <c r="L78" s="4" t="e">
        <f>#REF!</f>
        <v>#REF!</v>
      </c>
      <c r="M78" s="4" t="e">
        <f>#REF!</f>
        <v>#REF!</v>
      </c>
      <c r="N78" s="4" t="e">
        <f>#REF!</f>
        <v>#REF!</v>
      </c>
      <c r="O78" s="4" t="e">
        <f>#REF!</f>
        <v>#REF!</v>
      </c>
      <c r="P78" s="4" t="e">
        <f>#REF!</f>
        <v>#REF!</v>
      </c>
      <c r="Q78" s="4" t="e">
        <f>#REF!</f>
        <v>#REF!</v>
      </c>
      <c r="R78" s="4" t="e">
        <f>#REF!</f>
        <v>#REF!</v>
      </c>
      <c r="S78" s="4" t="e">
        <f>#REF!</f>
        <v>#REF!</v>
      </c>
      <c r="T78" s="4" t="e">
        <f>#REF!</f>
        <v>#REF!</v>
      </c>
      <c r="U78" s="4" t="e">
        <f>#REF!</f>
        <v>#REF!</v>
      </c>
      <c r="V78" s="4" t="e">
        <f>#REF!</f>
        <v>#REF!</v>
      </c>
      <c r="W78" s="4" t="e">
        <f>#REF!</f>
        <v>#REF!</v>
      </c>
      <c r="X78" s="4" t="e">
        <f>#REF!</f>
        <v>#REF!</v>
      </c>
      <c r="Y78" s="4" t="e">
        <f>#REF!</f>
        <v>#REF!</v>
      </c>
      <c r="Z78" s="4" t="e">
        <f>#REF!</f>
        <v>#REF!</v>
      </c>
      <c r="AA78" s="4" t="e">
        <f>#REF!</f>
        <v>#REF!</v>
      </c>
      <c r="AB78" s="213" t="e">
        <f>#REF!</f>
        <v>#REF!</v>
      </c>
      <c r="AC78" s="3" t="e">
        <f>#REF!</f>
        <v>#REF!</v>
      </c>
    </row>
    <row r="79" spans="1:29" ht="45" customHeight="1">
      <c r="A79" s="3">
        <f t="shared" si="1"/>
        <v>75</v>
      </c>
      <c r="B79" s="3" t="e">
        <f>#REF!</f>
        <v>#REF!</v>
      </c>
      <c r="C79" s="213" t="e">
        <f>#REF!</f>
        <v>#REF!</v>
      </c>
      <c r="D79" s="4" t="e">
        <f>#REF!</f>
        <v>#REF!</v>
      </c>
      <c r="E79" s="4" t="e">
        <f>#REF!</f>
        <v>#REF!</v>
      </c>
      <c r="F79" s="4" t="e">
        <f>#REF!</f>
        <v>#REF!</v>
      </c>
      <c r="G79" s="4" t="e">
        <f>#REF!</f>
        <v>#REF!</v>
      </c>
      <c r="H79" s="4" t="e">
        <f>#REF!</f>
        <v>#REF!</v>
      </c>
      <c r="I79" s="4" t="e">
        <f>#REF!</f>
        <v>#REF!</v>
      </c>
      <c r="J79" s="4" t="e">
        <f>#REF!</f>
        <v>#REF!</v>
      </c>
      <c r="K79" s="4" t="e">
        <f>#REF!</f>
        <v>#REF!</v>
      </c>
      <c r="L79" s="4" t="e">
        <f>#REF!</f>
        <v>#REF!</v>
      </c>
      <c r="M79" s="4" t="e">
        <f>#REF!</f>
        <v>#REF!</v>
      </c>
      <c r="N79" s="4" t="e">
        <f>#REF!</f>
        <v>#REF!</v>
      </c>
      <c r="O79" s="4" t="e">
        <f>#REF!</f>
        <v>#REF!</v>
      </c>
      <c r="P79" s="4" t="e">
        <f>#REF!</f>
        <v>#REF!</v>
      </c>
      <c r="Q79" s="4" t="e">
        <f>#REF!</f>
        <v>#REF!</v>
      </c>
      <c r="R79" s="4" t="e">
        <f>#REF!</f>
        <v>#REF!</v>
      </c>
      <c r="S79" s="4" t="e">
        <f>#REF!</f>
        <v>#REF!</v>
      </c>
      <c r="T79" s="4" t="e">
        <f>#REF!</f>
        <v>#REF!</v>
      </c>
      <c r="U79" s="4" t="e">
        <f>#REF!</f>
        <v>#REF!</v>
      </c>
      <c r="V79" s="4" t="e">
        <f>#REF!</f>
        <v>#REF!</v>
      </c>
      <c r="W79" s="4" t="e">
        <f>#REF!</f>
        <v>#REF!</v>
      </c>
      <c r="X79" s="4" t="e">
        <f>#REF!</f>
        <v>#REF!</v>
      </c>
      <c r="Y79" s="4" t="e">
        <f>#REF!</f>
        <v>#REF!</v>
      </c>
      <c r="Z79" s="4" t="e">
        <f>#REF!</f>
        <v>#REF!</v>
      </c>
      <c r="AA79" s="4" t="e">
        <f>#REF!</f>
        <v>#REF!</v>
      </c>
      <c r="AB79" s="213" t="e">
        <f>#REF!</f>
        <v>#REF!</v>
      </c>
      <c r="AC79" s="3" t="e">
        <f>#REF!</f>
        <v>#REF!</v>
      </c>
    </row>
    <row r="80" spans="1:29" ht="45" customHeight="1">
      <c r="A80" s="3">
        <f t="shared" si="1"/>
        <v>76</v>
      </c>
      <c r="B80" s="3" t="e">
        <f>#REF!</f>
        <v>#REF!</v>
      </c>
      <c r="C80" s="213" t="e">
        <f>#REF!</f>
        <v>#REF!</v>
      </c>
      <c r="D80" s="4" t="e">
        <f>#REF!</f>
        <v>#REF!</v>
      </c>
      <c r="E80" s="4" t="e">
        <f>#REF!</f>
        <v>#REF!</v>
      </c>
      <c r="F80" s="4" t="e">
        <f>#REF!</f>
        <v>#REF!</v>
      </c>
      <c r="G80" s="4" t="e">
        <f>#REF!</f>
        <v>#REF!</v>
      </c>
      <c r="H80" s="4" t="e">
        <f>#REF!</f>
        <v>#REF!</v>
      </c>
      <c r="I80" s="4" t="e">
        <f>#REF!</f>
        <v>#REF!</v>
      </c>
      <c r="J80" s="4" t="e">
        <f>#REF!</f>
        <v>#REF!</v>
      </c>
      <c r="K80" s="4" t="e">
        <f>#REF!</f>
        <v>#REF!</v>
      </c>
      <c r="L80" s="4" t="e">
        <f>#REF!</f>
        <v>#REF!</v>
      </c>
      <c r="M80" s="4" t="e">
        <f>#REF!</f>
        <v>#REF!</v>
      </c>
      <c r="N80" s="4" t="e">
        <f>#REF!</f>
        <v>#REF!</v>
      </c>
      <c r="O80" s="4" t="e">
        <f>#REF!</f>
        <v>#REF!</v>
      </c>
      <c r="P80" s="4" t="e">
        <f>#REF!</f>
        <v>#REF!</v>
      </c>
      <c r="Q80" s="4" t="e">
        <f>#REF!</f>
        <v>#REF!</v>
      </c>
      <c r="R80" s="4" t="e">
        <f>#REF!</f>
        <v>#REF!</v>
      </c>
      <c r="S80" s="4" t="e">
        <f>#REF!</f>
        <v>#REF!</v>
      </c>
      <c r="T80" s="4" t="e">
        <f>#REF!</f>
        <v>#REF!</v>
      </c>
      <c r="U80" s="4" t="e">
        <f>#REF!</f>
        <v>#REF!</v>
      </c>
      <c r="V80" s="4" t="e">
        <f>#REF!</f>
        <v>#REF!</v>
      </c>
      <c r="W80" s="4" t="e">
        <f>#REF!</f>
        <v>#REF!</v>
      </c>
      <c r="X80" s="4" t="e">
        <f>#REF!</f>
        <v>#REF!</v>
      </c>
      <c r="Y80" s="4" t="e">
        <f>#REF!</f>
        <v>#REF!</v>
      </c>
      <c r="Z80" s="4" t="e">
        <f>#REF!</f>
        <v>#REF!</v>
      </c>
      <c r="AA80" s="4" t="e">
        <f>#REF!</f>
        <v>#REF!</v>
      </c>
      <c r="AB80" s="213" t="e">
        <f>#REF!</f>
        <v>#REF!</v>
      </c>
      <c r="AC80" s="3" t="e">
        <f>#REF!</f>
        <v>#REF!</v>
      </c>
    </row>
    <row r="81" spans="1:29" ht="45" customHeight="1">
      <c r="A81" s="3">
        <f t="shared" si="1"/>
        <v>77</v>
      </c>
      <c r="B81" s="3" t="e">
        <f>#REF!</f>
        <v>#REF!</v>
      </c>
      <c r="C81" s="213" t="e">
        <f>#REF!</f>
        <v>#REF!</v>
      </c>
      <c r="D81" s="4" t="e">
        <f>#REF!</f>
        <v>#REF!</v>
      </c>
      <c r="E81" s="4" t="e">
        <f>#REF!</f>
        <v>#REF!</v>
      </c>
      <c r="F81" s="4" t="e">
        <f>#REF!</f>
        <v>#REF!</v>
      </c>
      <c r="G81" s="4" t="e">
        <f>#REF!</f>
        <v>#REF!</v>
      </c>
      <c r="H81" s="4" t="e">
        <f>#REF!</f>
        <v>#REF!</v>
      </c>
      <c r="I81" s="4" t="e">
        <f>#REF!</f>
        <v>#REF!</v>
      </c>
      <c r="J81" s="4" t="e">
        <f>#REF!</f>
        <v>#REF!</v>
      </c>
      <c r="K81" s="4" t="e">
        <f>#REF!</f>
        <v>#REF!</v>
      </c>
      <c r="L81" s="4" t="e">
        <f>#REF!</f>
        <v>#REF!</v>
      </c>
      <c r="M81" s="4" t="e">
        <f>#REF!</f>
        <v>#REF!</v>
      </c>
      <c r="N81" s="4" t="e">
        <f>#REF!</f>
        <v>#REF!</v>
      </c>
      <c r="O81" s="4" t="e">
        <f>#REF!</f>
        <v>#REF!</v>
      </c>
      <c r="P81" s="4" t="e">
        <f>#REF!</f>
        <v>#REF!</v>
      </c>
      <c r="Q81" s="4" t="e">
        <f>#REF!</f>
        <v>#REF!</v>
      </c>
      <c r="R81" s="4" t="e">
        <f>#REF!</f>
        <v>#REF!</v>
      </c>
      <c r="S81" s="4" t="e">
        <f>#REF!</f>
        <v>#REF!</v>
      </c>
      <c r="T81" s="4" t="e">
        <f>#REF!</f>
        <v>#REF!</v>
      </c>
      <c r="U81" s="4" t="e">
        <f>#REF!</f>
        <v>#REF!</v>
      </c>
      <c r="V81" s="4" t="e">
        <f>#REF!</f>
        <v>#REF!</v>
      </c>
      <c r="W81" s="4" t="e">
        <f>#REF!</f>
        <v>#REF!</v>
      </c>
      <c r="X81" s="4" t="e">
        <f>#REF!</f>
        <v>#REF!</v>
      </c>
      <c r="Y81" s="4" t="e">
        <f>#REF!</f>
        <v>#REF!</v>
      </c>
      <c r="Z81" s="4" t="e">
        <f>#REF!</f>
        <v>#REF!</v>
      </c>
      <c r="AA81" s="4" t="e">
        <f>#REF!</f>
        <v>#REF!</v>
      </c>
      <c r="AB81" s="213" t="e">
        <f>#REF!</f>
        <v>#REF!</v>
      </c>
      <c r="AC81" s="3" t="e">
        <f>#REF!</f>
        <v>#REF!</v>
      </c>
    </row>
    <row r="82" spans="1:29" ht="45" customHeight="1">
      <c r="A82" s="3">
        <f t="shared" si="1"/>
        <v>78</v>
      </c>
      <c r="B82" s="3" t="e">
        <f>#REF!</f>
        <v>#REF!</v>
      </c>
      <c r="C82" s="213" t="e">
        <f>#REF!</f>
        <v>#REF!</v>
      </c>
      <c r="D82" s="4" t="e">
        <f>#REF!</f>
        <v>#REF!</v>
      </c>
      <c r="E82" s="4" t="e">
        <f>#REF!</f>
        <v>#REF!</v>
      </c>
      <c r="F82" s="4" t="e">
        <f>#REF!</f>
        <v>#REF!</v>
      </c>
      <c r="G82" s="4" t="e">
        <f>#REF!</f>
        <v>#REF!</v>
      </c>
      <c r="H82" s="4" t="e">
        <f>#REF!</f>
        <v>#REF!</v>
      </c>
      <c r="I82" s="4" t="e">
        <f>#REF!</f>
        <v>#REF!</v>
      </c>
      <c r="J82" s="4" t="e">
        <f>#REF!</f>
        <v>#REF!</v>
      </c>
      <c r="K82" s="4" t="e">
        <f>#REF!</f>
        <v>#REF!</v>
      </c>
      <c r="L82" s="4" t="e">
        <f>#REF!</f>
        <v>#REF!</v>
      </c>
      <c r="M82" s="4" t="e">
        <f>#REF!</f>
        <v>#REF!</v>
      </c>
      <c r="N82" s="4" t="e">
        <f>#REF!</f>
        <v>#REF!</v>
      </c>
      <c r="O82" s="4" t="e">
        <f>#REF!</f>
        <v>#REF!</v>
      </c>
      <c r="P82" s="4" t="e">
        <f>#REF!</f>
        <v>#REF!</v>
      </c>
      <c r="Q82" s="4" t="e">
        <f>#REF!</f>
        <v>#REF!</v>
      </c>
      <c r="R82" s="4" t="e">
        <f>#REF!</f>
        <v>#REF!</v>
      </c>
      <c r="S82" s="4" t="e">
        <f>#REF!</f>
        <v>#REF!</v>
      </c>
      <c r="T82" s="4" t="e">
        <f>#REF!</f>
        <v>#REF!</v>
      </c>
      <c r="U82" s="4" t="e">
        <f>#REF!</f>
        <v>#REF!</v>
      </c>
      <c r="V82" s="4" t="e">
        <f>#REF!</f>
        <v>#REF!</v>
      </c>
      <c r="W82" s="4" t="e">
        <f>#REF!</f>
        <v>#REF!</v>
      </c>
      <c r="X82" s="4" t="e">
        <f>#REF!</f>
        <v>#REF!</v>
      </c>
      <c r="Y82" s="4" t="e">
        <f>#REF!</f>
        <v>#REF!</v>
      </c>
      <c r="Z82" s="4" t="e">
        <f>#REF!</f>
        <v>#REF!</v>
      </c>
      <c r="AA82" s="4" t="e">
        <f>#REF!</f>
        <v>#REF!</v>
      </c>
      <c r="AB82" s="213" t="e">
        <f>#REF!</f>
        <v>#REF!</v>
      </c>
      <c r="AC82" s="3" t="e">
        <f>#REF!</f>
        <v>#REF!</v>
      </c>
    </row>
    <row r="83" spans="1:29" ht="45" customHeight="1">
      <c r="A83" s="3">
        <f t="shared" si="1"/>
        <v>79</v>
      </c>
      <c r="B83" s="3" t="e">
        <f>#REF!</f>
        <v>#REF!</v>
      </c>
      <c r="C83" s="213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4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213" t="e">
        <f>#REF!</f>
        <v>#REF!</v>
      </c>
      <c r="AC83" s="3" t="e">
        <f>#REF!</f>
        <v>#REF!</v>
      </c>
    </row>
    <row r="84" spans="1:29" ht="45" customHeight="1">
      <c r="A84" s="3">
        <f t="shared" si="1"/>
        <v>80</v>
      </c>
      <c r="B84" s="3" t="e">
        <f>#REF!</f>
        <v>#REF!</v>
      </c>
      <c r="C84" s="213" t="e">
        <f>#REF!</f>
        <v>#REF!</v>
      </c>
      <c r="D84" s="4" t="e">
        <f>#REF!</f>
        <v>#REF!</v>
      </c>
      <c r="E84" s="4" t="e">
        <f>#REF!</f>
        <v>#REF!</v>
      </c>
      <c r="F84" s="4" t="e">
        <f>#REF!</f>
        <v>#REF!</v>
      </c>
      <c r="G84" s="4" t="e">
        <f>#REF!</f>
        <v>#REF!</v>
      </c>
      <c r="H84" s="4" t="e">
        <f>#REF!</f>
        <v>#REF!</v>
      </c>
      <c r="I84" s="4" t="e">
        <f>#REF!</f>
        <v>#REF!</v>
      </c>
      <c r="J84" s="4" t="e">
        <f>#REF!</f>
        <v>#REF!</v>
      </c>
      <c r="K84" s="4" t="e">
        <f>#REF!</f>
        <v>#REF!</v>
      </c>
      <c r="L84" s="4" t="e">
        <f>#REF!</f>
        <v>#REF!</v>
      </c>
      <c r="M84" s="4" t="e">
        <f>#REF!</f>
        <v>#REF!</v>
      </c>
      <c r="N84" s="4" t="e">
        <f>#REF!</f>
        <v>#REF!</v>
      </c>
      <c r="O84" s="4" t="e">
        <f>#REF!</f>
        <v>#REF!</v>
      </c>
      <c r="P84" s="4" t="e">
        <f>#REF!</f>
        <v>#REF!</v>
      </c>
      <c r="Q84" s="4" t="e">
        <f>#REF!</f>
        <v>#REF!</v>
      </c>
      <c r="R84" s="4" t="e">
        <f>#REF!</f>
        <v>#REF!</v>
      </c>
      <c r="S84" s="4" t="e">
        <f>#REF!</f>
        <v>#REF!</v>
      </c>
      <c r="T84" s="4" t="e">
        <f>#REF!</f>
        <v>#REF!</v>
      </c>
      <c r="U84" s="4" t="e">
        <f>#REF!</f>
        <v>#REF!</v>
      </c>
      <c r="V84" s="4" t="e">
        <f>#REF!</f>
        <v>#REF!</v>
      </c>
      <c r="W84" s="4" t="e">
        <f>#REF!</f>
        <v>#REF!</v>
      </c>
      <c r="X84" s="4" t="e">
        <f>#REF!</f>
        <v>#REF!</v>
      </c>
      <c r="Y84" s="4" t="e">
        <f>#REF!</f>
        <v>#REF!</v>
      </c>
      <c r="Z84" s="4" t="e">
        <f>#REF!</f>
        <v>#REF!</v>
      </c>
      <c r="AA84" s="4" t="e">
        <f>#REF!</f>
        <v>#REF!</v>
      </c>
      <c r="AB84" s="213" t="e">
        <f>#REF!</f>
        <v>#REF!</v>
      </c>
      <c r="AC84" s="3" t="e">
        <f>#REF!</f>
        <v>#REF!</v>
      </c>
    </row>
    <row r="85" spans="1:29" ht="45" customHeight="1">
      <c r="A85" s="3">
        <f t="shared" si="1"/>
        <v>81</v>
      </c>
      <c r="B85" s="3" t="e">
        <f>#REF!</f>
        <v>#REF!</v>
      </c>
      <c r="C85" s="213" t="e">
        <f>#REF!</f>
        <v>#REF!</v>
      </c>
      <c r="D85" s="4" t="e">
        <f>#REF!</f>
        <v>#REF!</v>
      </c>
      <c r="E85" s="4" t="e">
        <f>#REF!</f>
        <v>#REF!</v>
      </c>
      <c r="F85" s="4" t="e">
        <f>#REF!</f>
        <v>#REF!</v>
      </c>
      <c r="G85" s="4" t="e">
        <f>#REF!</f>
        <v>#REF!</v>
      </c>
      <c r="H85" s="4" t="e">
        <f>#REF!</f>
        <v>#REF!</v>
      </c>
      <c r="I85" s="4" t="e">
        <f>#REF!</f>
        <v>#REF!</v>
      </c>
      <c r="J85" s="4" t="e">
        <f>#REF!</f>
        <v>#REF!</v>
      </c>
      <c r="K85" s="4" t="e">
        <f>#REF!</f>
        <v>#REF!</v>
      </c>
      <c r="L85" s="4" t="e">
        <f>#REF!</f>
        <v>#REF!</v>
      </c>
      <c r="M85" s="4" t="e">
        <f>#REF!</f>
        <v>#REF!</v>
      </c>
      <c r="N85" s="4" t="e">
        <f>#REF!</f>
        <v>#REF!</v>
      </c>
      <c r="O85" s="4" t="e">
        <f>#REF!</f>
        <v>#REF!</v>
      </c>
      <c r="P85" s="4" t="e">
        <f>#REF!</f>
        <v>#REF!</v>
      </c>
      <c r="Q85" s="4" t="e">
        <f>#REF!</f>
        <v>#REF!</v>
      </c>
      <c r="R85" s="4" t="e">
        <f>#REF!</f>
        <v>#REF!</v>
      </c>
      <c r="S85" s="4" t="e">
        <f>#REF!</f>
        <v>#REF!</v>
      </c>
      <c r="T85" s="4" t="e">
        <f>#REF!</f>
        <v>#REF!</v>
      </c>
      <c r="U85" s="4" t="e">
        <f>#REF!</f>
        <v>#REF!</v>
      </c>
      <c r="V85" s="4" t="e">
        <f>#REF!</f>
        <v>#REF!</v>
      </c>
      <c r="W85" s="4" t="e">
        <f>#REF!</f>
        <v>#REF!</v>
      </c>
      <c r="X85" s="4" t="e">
        <f>#REF!</f>
        <v>#REF!</v>
      </c>
      <c r="Y85" s="4" t="e">
        <f>#REF!</f>
        <v>#REF!</v>
      </c>
      <c r="Z85" s="4" t="e">
        <f>#REF!</f>
        <v>#REF!</v>
      </c>
      <c r="AA85" s="4" t="e">
        <f>#REF!</f>
        <v>#REF!</v>
      </c>
      <c r="AB85" s="213" t="e">
        <f>#REF!</f>
        <v>#REF!</v>
      </c>
      <c r="AC85" s="3" t="e">
        <f>#REF!</f>
        <v>#REF!</v>
      </c>
    </row>
    <row r="86" spans="1:29" ht="45" customHeight="1">
      <c r="A86" s="3">
        <f t="shared" si="1"/>
        <v>82</v>
      </c>
      <c r="B86" s="3" t="e">
        <f>#REF!</f>
        <v>#REF!</v>
      </c>
      <c r="C86" s="213" t="e">
        <f>#REF!</f>
        <v>#REF!</v>
      </c>
      <c r="D86" s="4" t="e">
        <f>#REF!</f>
        <v>#REF!</v>
      </c>
      <c r="E86" s="4" t="e">
        <f>#REF!</f>
        <v>#REF!</v>
      </c>
      <c r="F86" s="4" t="e">
        <f>#REF!</f>
        <v>#REF!</v>
      </c>
      <c r="G86" s="4" t="e">
        <f>#REF!</f>
        <v>#REF!</v>
      </c>
      <c r="H86" s="4" t="e">
        <f>#REF!</f>
        <v>#REF!</v>
      </c>
      <c r="I86" s="4" t="e">
        <f>#REF!</f>
        <v>#REF!</v>
      </c>
      <c r="J86" s="4" t="e">
        <f>#REF!</f>
        <v>#REF!</v>
      </c>
      <c r="K86" s="4" t="e">
        <f>#REF!</f>
        <v>#REF!</v>
      </c>
      <c r="L86" s="4" t="e">
        <f>#REF!</f>
        <v>#REF!</v>
      </c>
      <c r="M86" s="4" t="e">
        <f>#REF!</f>
        <v>#REF!</v>
      </c>
      <c r="N86" s="4" t="e">
        <f>#REF!</f>
        <v>#REF!</v>
      </c>
      <c r="O86" s="4" t="e">
        <f>#REF!</f>
        <v>#REF!</v>
      </c>
      <c r="P86" s="4" t="e">
        <f>#REF!</f>
        <v>#REF!</v>
      </c>
      <c r="Q86" s="4" t="e">
        <f>#REF!</f>
        <v>#REF!</v>
      </c>
      <c r="R86" s="4" t="e">
        <f>#REF!</f>
        <v>#REF!</v>
      </c>
      <c r="S86" s="4" t="e">
        <f>#REF!</f>
        <v>#REF!</v>
      </c>
      <c r="T86" s="4" t="e">
        <f>#REF!</f>
        <v>#REF!</v>
      </c>
      <c r="U86" s="4" t="e">
        <f>#REF!</f>
        <v>#REF!</v>
      </c>
      <c r="V86" s="4" t="e">
        <f>#REF!</f>
        <v>#REF!</v>
      </c>
      <c r="W86" s="4" t="e">
        <f>#REF!</f>
        <v>#REF!</v>
      </c>
      <c r="X86" s="4" t="e">
        <f>#REF!</f>
        <v>#REF!</v>
      </c>
      <c r="Y86" s="4" t="e">
        <f>#REF!</f>
        <v>#REF!</v>
      </c>
      <c r="Z86" s="4" t="e">
        <f>#REF!</f>
        <v>#REF!</v>
      </c>
      <c r="AA86" s="4" t="e">
        <f>#REF!</f>
        <v>#REF!</v>
      </c>
      <c r="AB86" s="213" t="e">
        <f>#REF!</f>
        <v>#REF!</v>
      </c>
      <c r="AC86" s="3" t="e">
        <f>#REF!</f>
        <v>#REF!</v>
      </c>
    </row>
    <row r="87" spans="1:29" ht="13.8">
      <c r="A87" s="3">
        <f t="shared" si="1"/>
        <v>83</v>
      </c>
      <c r="B87" s="3" t="e">
        <f>#REF!</f>
        <v>#REF!</v>
      </c>
      <c r="C87" s="213" t="e">
        <f>#REF!</f>
        <v>#REF!</v>
      </c>
      <c r="D87" s="4" t="e">
        <f>#REF!</f>
        <v>#REF!</v>
      </c>
      <c r="E87" s="4" t="e">
        <f>#REF!</f>
        <v>#REF!</v>
      </c>
      <c r="F87" s="4" t="e">
        <f>#REF!</f>
        <v>#REF!</v>
      </c>
      <c r="G87" s="4" t="e">
        <f>#REF!</f>
        <v>#REF!</v>
      </c>
      <c r="H87" s="4" t="e">
        <f>#REF!</f>
        <v>#REF!</v>
      </c>
      <c r="I87" s="4" t="e">
        <f>#REF!</f>
        <v>#REF!</v>
      </c>
      <c r="J87" s="4" t="e">
        <f>#REF!</f>
        <v>#REF!</v>
      </c>
      <c r="K87" s="4" t="e">
        <f>#REF!</f>
        <v>#REF!</v>
      </c>
      <c r="L87" s="4" t="e">
        <f>#REF!</f>
        <v>#REF!</v>
      </c>
      <c r="M87" s="4" t="e">
        <f>#REF!</f>
        <v>#REF!</v>
      </c>
      <c r="N87" s="4" t="e">
        <f>#REF!</f>
        <v>#REF!</v>
      </c>
      <c r="O87" s="4" t="e">
        <f>#REF!</f>
        <v>#REF!</v>
      </c>
      <c r="P87" s="4" t="e">
        <f>#REF!</f>
        <v>#REF!</v>
      </c>
      <c r="Q87" s="4" t="e">
        <f>#REF!</f>
        <v>#REF!</v>
      </c>
      <c r="R87" s="4" t="e">
        <f>#REF!</f>
        <v>#REF!</v>
      </c>
      <c r="S87" s="4" t="e">
        <f>#REF!</f>
        <v>#REF!</v>
      </c>
      <c r="T87" s="4" t="e">
        <f>#REF!</f>
        <v>#REF!</v>
      </c>
      <c r="U87" s="4" t="e">
        <f>#REF!</f>
        <v>#REF!</v>
      </c>
      <c r="V87" s="4" t="e">
        <f>#REF!</f>
        <v>#REF!</v>
      </c>
      <c r="W87" s="4" t="e">
        <f>#REF!</f>
        <v>#REF!</v>
      </c>
      <c r="X87" s="4" t="e">
        <f>#REF!</f>
        <v>#REF!</v>
      </c>
      <c r="Y87" s="4" t="e">
        <f>#REF!</f>
        <v>#REF!</v>
      </c>
      <c r="Z87" s="4" t="e">
        <f>#REF!</f>
        <v>#REF!</v>
      </c>
      <c r="AA87" s="4" t="e">
        <f>#REF!</f>
        <v>#REF!</v>
      </c>
      <c r="AB87" s="213" t="e">
        <f>#REF!</f>
        <v>#REF!</v>
      </c>
      <c r="AC87" s="3" t="e">
        <f>#REF!</f>
        <v>#REF!</v>
      </c>
    </row>
    <row r="88" spans="1:29" ht="45" customHeight="1">
      <c r="A88" s="3">
        <f t="shared" si="1"/>
        <v>84</v>
      </c>
      <c r="B88" s="3" t="e">
        <f>#REF!</f>
        <v>#REF!</v>
      </c>
      <c r="C88" s="213" t="e">
        <f>#REF!</f>
        <v>#REF!</v>
      </c>
      <c r="D88" s="4" t="e">
        <f>#REF!</f>
        <v>#REF!</v>
      </c>
      <c r="E88" s="4" t="e">
        <f>#REF!</f>
        <v>#REF!</v>
      </c>
      <c r="F88" s="4" t="e">
        <f>#REF!</f>
        <v>#REF!</v>
      </c>
      <c r="G88" s="4" t="e">
        <f>#REF!</f>
        <v>#REF!</v>
      </c>
      <c r="H88" s="4" t="e">
        <f>#REF!</f>
        <v>#REF!</v>
      </c>
      <c r="I88" s="4" t="e">
        <f>#REF!</f>
        <v>#REF!</v>
      </c>
      <c r="J88" s="4" t="e">
        <f>#REF!</f>
        <v>#REF!</v>
      </c>
      <c r="K88" s="4" t="e">
        <f>#REF!</f>
        <v>#REF!</v>
      </c>
      <c r="L88" s="4" t="e">
        <f>#REF!</f>
        <v>#REF!</v>
      </c>
      <c r="M88" s="4" t="e">
        <f>#REF!</f>
        <v>#REF!</v>
      </c>
      <c r="N88" s="4" t="e">
        <f>#REF!</f>
        <v>#REF!</v>
      </c>
      <c r="O88" s="4" t="e">
        <f>#REF!</f>
        <v>#REF!</v>
      </c>
      <c r="P88" s="4" t="e">
        <f>#REF!</f>
        <v>#REF!</v>
      </c>
      <c r="Q88" s="4" t="e">
        <f>#REF!</f>
        <v>#REF!</v>
      </c>
      <c r="R88" s="4" t="e">
        <f>#REF!</f>
        <v>#REF!</v>
      </c>
      <c r="S88" s="4" t="e">
        <f>#REF!</f>
        <v>#REF!</v>
      </c>
      <c r="T88" s="4" t="e">
        <f>#REF!</f>
        <v>#REF!</v>
      </c>
      <c r="U88" s="4" t="e">
        <f>#REF!</f>
        <v>#REF!</v>
      </c>
      <c r="V88" s="4" t="e">
        <f>#REF!</f>
        <v>#REF!</v>
      </c>
      <c r="W88" s="4" t="e">
        <f>#REF!</f>
        <v>#REF!</v>
      </c>
      <c r="X88" s="4" t="e">
        <f>#REF!</f>
        <v>#REF!</v>
      </c>
      <c r="Y88" s="4" t="e">
        <f>#REF!</f>
        <v>#REF!</v>
      </c>
      <c r="Z88" s="4" t="e">
        <f>#REF!</f>
        <v>#REF!</v>
      </c>
      <c r="AA88" s="4" t="e">
        <f>#REF!</f>
        <v>#REF!</v>
      </c>
      <c r="AB88" s="213" t="e">
        <f>#REF!</f>
        <v>#REF!</v>
      </c>
      <c r="AC88" s="3" t="e">
        <f>#REF!</f>
        <v>#REF!</v>
      </c>
    </row>
    <row r="89" spans="1:29" ht="45" customHeight="1">
      <c r="A89" s="3">
        <f t="shared" si="1"/>
        <v>85</v>
      </c>
      <c r="B89" s="3" t="e">
        <f>#REF!</f>
        <v>#REF!</v>
      </c>
      <c r="C89" s="213" t="e">
        <f>#REF!</f>
        <v>#REF!</v>
      </c>
      <c r="D89" s="4" t="e">
        <f>#REF!</f>
        <v>#REF!</v>
      </c>
      <c r="E89" s="4" t="e">
        <f>#REF!</f>
        <v>#REF!</v>
      </c>
      <c r="F89" s="4" t="e">
        <f>#REF!</f>
        <v>#REF!</v>
      </c>
      <c r="G89" s="4" t="e">
        <f>#REF!</f>
        <v>#REF!</v>
      </c>
      <c r="H89" s="4" t="e">
        <f>#REF!</f>
        <v>#REF!</v>
      </c>
      <c r="I89" s="4" t="e">
        <f>#REF!</f>
        <v>#REF!</v>
      </c>
      <c r="J89" s="4" t="e">
        <f>#REF!</f>
        <v>#REF!</v>
      </c>
      <c r="K89" s="4" t="e">
        <f>#REF!</f>
        <v>#REF!</v>
      </c>
      <c r="L89" s="4" t="e">
        <f>#REF!</f>
        <v>#REF!</v>
      </c>
      <c r="M89" s="4" t="e">
        <f>#REF!</f>
        <v>#REF!</v>
      </c>
      <c r="N89" s="4" t="e">
        <f>#REF!</f>
        <v>#REF!</v>
      </c>
      <c r="O89" s="4" t="e">
        <f>#REF!</f>
        <v>#REF!</v>
      </c>
      <c r="P89" s="4" t="e">
        <f>#REF!</f>
        <v>#REF!</v>
      </c>
      <c r="Q89" s="4" t="e">
        <f>#REF!</f>
        <v>#REF!</v>
      </c>
      <c r="R89" s="4" t="e">
        <f>#REF!</f>
        <v>#REF!</v>
      </c>
      <c r="S89" s="4" t="e">
        <f>#REF!</f>
        <v>#REF!</v>
      </c>
      <c r="T89" s="4" t="e">
        <f>#REF!</f>
        <v>#REF!</v>
      </c>
      <c r="U89" s="4" t="e">
        <f>#REF!</f>
        <v>#REF!</v>
      </c>
      <c r="V89" s="4" t="e">
        <f>#REF!</f>
        <v>#REF!</v>
      </c>
      <c r="W89" s="4" t="e">
        <f>#REF!</f>
        <v>#REF!</v>
      </c>
      <c r="X89" s="4" t="e">
        <f>#REF!</f>
        <v>#REF!</v>
      </c>
      <c r="Y89" s="4" t="e">
        <f>#REF!</f>
        <v>#REF!</v>
      </c>
      <c r="Z89" s="4" t="e">
        <f>#REF!</f>
        <v>#REF!</v>
      </c>
      <c r="AA89" s="4" t="e">
        <f>#REF!</f>
        <v>#REF!</v>
      </c>
      <c r="AB89" s="213" t="e">
        <f>#REF!</f>
        <v>#REF!</v>
      </c>
      <c r="AC89" s="3" t="e">
        <f>#REF!</f>
        <v>#REF!</v>
      </c>
    </row>
    <row r="90" spans="1:29" ht="13.8">
      <c r="A90" s="3">
        <f t="shared" si="1"/>
        <v>86</v>
      </c>
      <c r="B90" s="3" t="e">
        <f>#REF!</f>
        <v>#REF!</v>
      </c>
      <c r="C90" s="213" t="e">
        <f>#REF!</f>
        <v>#REF!</v>
      </c>
      <c r="D90" s="4" t="e">
        <f>#REF!</f>
        <v>#REF!</v>
      </c>
      <c r="E90" s="4" t="e">
        <f>#REF!</f>
        <v>#REF!</v>
      </c>
      <c r="F90" s="4" t="e">
        <f>#REF!</f>
        <v>#REF!</v>
      </c>
      <c r="G90" s="4" t="e">
        <f>#REF!</f>
        <v>#REF!</v>
      </c>
      <c r="H90" s="4" t="e">
        <f>#REF!</f>
        <v>#REF!</v>
      </c>
      <c r="I90" s="4" t="e">
        <f>#REF!</f>
        <v>#REF!</v>
      </c>
      <c r="J90" s="4" t="e">
        <f>#REF!</f>
        <v>#REF!</v>
      </c>
      <c r="K90" s="4" t="e">
        <f>#REF!</f>
        <v>#REF!</v>
      </c>
      <c r="L90" s="4" t="e">
        <f>#REF!</f>
        <v>#REF!</v>
      </c>
      <c r="M90" s="4" t="e">
        <f>#REF!</f>
        <v>#REF!</v>
      </c>
      <c r="N90" s="4" t="e">
        <f>#REF!</f>
        <v>#REF!</v>
      </c>
      <c r="O90" s="4" t="e">
        <f>#REF!</f>
        <v>#REF!</v>
      </c>
      <c r="P90" s="4" t="e">
        <f>#REF!</f>
        <v>#REF!</v>
      </c>
      <c r="Q90" s="4" t="e">
        <f>#REF!</f>
        <v>#REF!</v>
      </c>
      <c r="R90" s="4" t="e">
        <f>#REF!</f>
        <v>#REF!</v>
      </c>
      <c r="S90" s="4" t="e">
        <f>#REF!</f>
        <v>#REF!</v>
      </c>
      <c r="T90" s="4" t="e">
        <f>#REF!</f>
        <v>#REF!</v>
      </c>
      <c r="U90" s="4" t="e">
        <f>#REF!</f>
        <v>#REF!</v>
      </c>
      <c r="V90" s="4" t="e">
        <f>#REF!</f>
        <v>#REF!</v>
      </c>
      <c r="W90" s="4" t="e">
        <f>#REF!</f>
        <v>#REF!</v>
      </c>
      <c r="X90" s="4" t="e">
        <f>#REF!</f>
        <v>#REF!</v>
      </c>
      <c r="Y90" s="4" t="e">
        <f>#REF!</f>
        <v>#REF!</v>
      </c>
      <c r="Z90" s="4" t="e">
        <f>#REF!</f>
        <v>#REF!</v>
      </c>
      <c r="AA90" s="4" t="e">
        <f>#REF!</f>
        <v>#REF!</v>
      </c>
      <c r="AB90" s="213" t="e">
        <f>#REF!</f>
        <v>#REF!</v>
      </c>
      <c r="AC90" s="3" t="e">
        <f>#REF!</f>
        <v>#REF!</v>
      </c>
    </row>
    <row r="91" spans="1:29" ht="45" customHeight="1">
      <c r="A91" s="3">
        <f t="shared" si="1"/>
        <v>87</v>
      </c>
      <c r="B91" s="3" t="e">
        <f>#REF!</f>
        <v>#REF!</v>
      </c>
      <c r="C91" s="213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4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213" t="e">
        <f>#REF!</f>
        <v>#REF!</v>
      </c>
      <c r="AC91" s="3" t="e">
        <f>#REF!</f>
        <v>#REF!</v>
      </c>
    </row>
    <row r="92" spans="1:29" ht="45" customHeight="1">
      <c r="A92" s="3">
        <f t="shared" si="1"/>
        <v>88</v>
      </c>
      <c r="B92" s="3" t="e">
        <f>#REF!</f>
        <v>#REF!</v>
      </c>
      <c r="C92" s="213" t="e">
        <f>#REF!</f>
        <v>#REF!</v>
      </c>
      <c r="D92" s="4" t="e">
        <f>#REF!</f>
        <v>#REF!</v>
      </c>
      <c r="E92" s="4" t="e">
        <f>#REF!</f>
        <v>#REF!</v>
      </c>
      <c r="F92" s="4" t="e">
        <f>#REF!</f>
        <v>#REF!</v>
      </c>
      <c r="G92" s="4" t="e">
        <f>#REF!</f>
        <v>#REF!</v>
      </c>
      <c r="H92" s="4" t="e">
        <f>#REF!</f>
        <v>#REF!</v>
      </c>
      <c r="I92" s="4" t="e">
        <f>#REF!</f>
        <v>#REF!</v>
      </c>
      <c r="J92" s="4" t="e">
        <f>#REF!</f>
        <v>#REF!</v>
      </c>
      <c r="K92" s="4" t="e">
        <f>#REF!</f>
        <v>#REF!</v>
      </c>
      <c r="L92" s="4" t="e">
        <f>#REF!</f>
        <v>#REF!</v>
      </c>
      <c r="M92" s="4" t="e">
        <f>#REF!</f>
        <v>#REF!</v>
      </c>
      <c r="N92" s="4" t="e">
        <f>#REF!</f>
        <v>#REF!</v>
      </c>
      <c r="O92" s="4" t="e">
        <f>#REF!</f>
        <v>#REF!</v>
      </c>
      <c r="P92" s="4" t="e">
        <f>#REF!</f>
        <v>#REF!</v>
      </c>
      <c r="Q92" s="4" t="e">
        <f>#REF!</f>
        <v>#REF!</v>
      </c>
      <c r="R92" s="4" t="e">
        <f>#REF!</f>
        <v>#REF!</v>
      </c>
      <c r="S92" s="4" t="e">
        <f>#REF!</f>
        <v>#REF!</v>
      </c>
      <c r="T92" s="4" t="e">
        <f>#REF!</f>
        <v>#REF!</v>
      </c>
      <c r="U92" s="4" t="e">
        <f>#REF!</f>
        <v>#REF!</v>
      </c>
      <c r="V92" s="4" t="e">
        <f>#REF!</f>
        <v>#REF!</v>
      </c>
      <c r="W92" s="4" t="e">
        <f>#REF!</f>
        <v>#REF!</v>
      </c>
      <c r="X92" s="4" t="e">
        <f>#REF!</f>
        <v>#REF!</v>
      </c>
      <c r="Y92" s="4" t="e">
        <f>#REF!</f>
        <v>#REF!</v>
      </c>
      <c r="Z92" s="4" t="e">
        <f>#REF!</f>
        <v>#REF!</v>
      </c>
      <c r="AA92" s="4" t="e">
        <f>#REF!</f>
        <v>#REF!</v>
      </c>
      <c r="AB92" s="213" t="e">
        <f>#REF!</f>
        <v>#REF!</v>
      </c>
      <c r="AC92" s="3" t="e">
        <f>#REF!</f>
        <v>#REF!</v>
      </c>
    </row>
    <row r="93" spans="1:29" ht="45" customHeight="1">
      <c r="A93" s="3">
        <f t="shared" si="1"/>
        <v>89</v>
      </c>
      <c r="B93" s="3" t="e">
        <f>#REF!</f>
        <v>#REF!</v>
      </c>
      <c r="C93" s="213" t="e">
        <f>#REF!</f>
        <v>#REF!</v>
      </c>
      <c r="D93" s="4" t="e">
        <f>#REF!</f>
        <v>#REF!</v>
      </c>
      <c r="E93" s="4" t="e">
        <f>#REF!</f>
        <v>#REF!</v>
      </c>
      <c r="F93" s="4" t="e">
        <f>#REF!</f>
        <v>#REF!</v>
      </c>
      <c r="G93" s="4" t="e">
        <f>#REF!</f>
        <v>#REF!</v>
      </c>
      <c r="H93" s="4" t="e">
        <f>#REF!</f>
        <v>#REF!</v>
      </c>
      <c r="I93" s="4" t="e">
        <f>#REF!</f>
        <v>#REF!</v>
      </c>
      <c r="J93" s="4" t="e">
        <f>#REF!</f>
        <v>#REF!</v>
      </c>
      <c r="K93" s="4" t="e">
        <f>#REF!</f>
        <v>#REF!</v>
      </c>
      <c r="L93" s="4" t="e">
        <f>#REF!</f>
        <v>#REF!</v>
      </c>
      <c r="M93" s="4" t="e">
        <f>#REF!</f>
        <v>#REF!</v>
      </c>
      <c r="N93" s="4" t="e">
        <f>#REF!</f>
        <v>#REF!</v>
      </c>
      <c r="O93" s="4" t="e">
        <f>#REF!</f>
        <v>#REF!</v>
      </c>
      <c r="P93" s="4" t="e">
        <f>#REF!</f>
        <v>#REF!</v>
      </c>
      <c r="Q93" s="4" t="e">
        <f>#REF!</f>
        <v>#REF!</v>
      </c>
      <c r="R93" s="4" t="e">
        <f>#REF!</f>
        <v>#REF!</v>
      </c>
      <c r="S93" s="4" t="e">
        <f>#REF!</f>
        <v>#REF!</v>
      </c>
      <c r="T93" s="4" t="e">
        <f>#REF!</f>
        <v>#REF!</v>
      </c>
      <c r="U93" s="4" t="e">
        <f>#REF!</f>
        <v>#REF!</v>
      </c>
      <c r="V93" s="4" t="e">
        <f>#REF!</f>
        <v>#REF!</v>
      </c>
      <c r="W93" s="4" t="e">
        <f>#REF!</f>
        <v>#REF!</v>
      </c>
      <c r="X93" s="4" t="e">
        <f>#REF!</f>
        <v>#REF!</v>
      </c>
      <c r="Y93" s="4" t="e">
        <f>#REF!</f>
        <v>#REF!</v>
      </c>
      <c r="Z93" s="4" t="e">
        <f>#REF!</f>
        <v>#REF!</v>
      </c>
      <c r="AA93" s="4" t="e">
        <f>#REF!</f>
        <v>#REF!</v>
      </c>
      <c r="AB93" s="213" t="e">
        <f>#REF!</f>
        <v>#REF!</v>
      </c>
      <c r="AC93" s="3" t="e">
        <f>#REF!</f>
        <v>#REF!</v>
      </c>
    </row>
    <row r="94" spans="1:29" ht="45" customHeight="1">
      <c r="A94" s="3">
        <f t="shared" si="1"/>
        <v>90</v>
      </c>
      <c r="B94" s="3" t="e">
        <f>#REF!</f>
        <v>#REF!</v>
      </c>
      <c r="C94" s="213" t="e">
        <f>#REF!</f>
        <v>#REF!</v>
      </c>
      <c r="D94" s="4" t="e">
        <f>#REF!</f>
        <v>#REF!</v>
      </c>
      <c r="E94" s="4" t="e">
        <f>#REF!</f>
        <v>#REF!</v>
      </c>
      <c r="F94" s="4" t="e">
        <f>#REF!</f>
        <v>#REF!</v>
      </c>
      <c r="G94" s="4" t="e">
        <f>#REF!</f>
        <v>#REF!</v>
      </c>
      <c r="H94" s="4" t="e">
        <f>#REF!</f>
        <v>#REF!</v>
      </c>
      <c r="I94" s="4" t="e">
        <f>#REF!</f>
        <v>#REF!</v>
      </c>
      <c r="J94" s="4" t="e">
        <f>#REF!</f>
        <v>#REF!</v>
      </c>
      <c r="K94" s="4" t="e">
        <f>#REF!</f>
        <v>#REF!</v>
      </c>
      <c r="L94" s="4" t="e">
        <f>#REF!</f>
        <v>#REF!</v>
      </c>
      <c r="M94" s="4" t="e">
        <f>#REF!</f>
        <v>#REF!</v>
      </c>
      <c r="N94" s="4" t="e">
        <f>#REF!</f>
        <v>#REF!</v>
      </c>
      <c r="O94" s="4" t="e">
        <f>#REF!</f>
        <v>#REF!</v>
      </c>
      <c r="P94" s="4" t="e">
        <f>#REF!</f>
        <v>#REF!</v>
      </c>
      <c r="Q94" s="4" t="e">
        <f>#REF!</f>
        <v>#REF!</v>
      </c>
      <c r="R94" s="4" t="e">
        <f>#REF!</f>
        <v>#REF!</v>
      </c>
      <c r="S94" s="4" t="e">
        <f>#REF!</f>
        <v>#REF!</v>
      </c>
      <c r="T94" s="4" t="e">
        <f>#REF!</f>
        <v>#REF!</v>
      </c>
      <c r="U94" s="4" t="e">
        <f>#REF!</f>
        <v>#REF!</v>
      </c>
      <c r="V94" s="4" t="e">
        <f>#REF!</f>
        <v>#REF!</v>
      </c>
      <c r="W94" s="4" t="e">
        <f>#REF!</f>
        <v>#REF!</v>
      </c>
      <c r="X94" s="4" t="e">
        <f>#REF!</f>
        <v>#REF!</v>
      </c>
      <c r="Y94" s="4" t="e">
        <f>#REF!</f>
        <v>#REF!</v>
      </c>
      <c r="Z94" s="4" t="e">
        <f>#REF!</f>
        <v>#REF!</v>
      </c>
      <c r="AA94" s="4" t="e">
        <f>#REF!</f>
        <v>#REF!</v>
      </c>
      <c r="AB94" s="213" t="e">
        <f>#REF!</f>
        <v>#REF!</v>
      </c>
      <c r="AC94" s="3" t="e">
        <f>#REF!</f>
        <v>#REF!</v>
      </c>
    </row>
    <row r="95" spans="1:29" ht="45" customHeight="1">
      <c r="A95" s="3">
        <f t="shared" si="1"/>
        <v>91</v>
      </c>
      <c r="B95" s="3" t="e">
        <f>#REF!</f>
        <v>#REF!</v>
      </c>
      <c r="C95" s="213" t="e">
        <f>#REF!</f>
        <v>#REF!</v>
      </c>
      <c r="D95" s="4" t="e">
        <f>#REF!</f>
        <v>#REF!</v>
      </c>
      <c r="E95" s="4" t="e">
        <f>#REF!</f>
        <v>#REF!</v>
      </c>
      <c r="F95" s="4" t="e">
        <f>#REF!</f>
        <v>#REF!</v>
      </c>
      <c r="G95" s="4" t="e">
        <f>#REF!</f>
        <v>#REF!</v>
      </c>
      <c r="H95" s="4" t="e">
        <f>#REF!</f>
        <v>#REF!</v>
      </c>
      <c r="I95" s="4" t="e">
        <f>#REF!</f>
        <v>#REF!</v>
      </c>
      <c r="J95" s="4" t="e">
        <f>#REF!</f>
        <v>#REF!</v>
      </c>
      <c r="K95" s="4" t="e">
        <f>#REF!</f>
        <v>#REF!</v>
      </c>
      <c r="L95" s="4" t="e">
        <f>#REF!</f>
        <v>#REF!</v>
      </c>
      <c r="M95" s="4" t="e">
        <f>#REF!</f>
        <v>#REF!</v>
      </c>
      <c r="N95" s="4" t="e">
        <f>#REF!</f>
        <v>#REF!</v>
      </c>
      <c r="O95" s="4" t="e">
        <f>#REF!</f>
        <v>#REF!</v>
      </c>
      <c r="P95" s="4" t="e">
        <f>#REF!</f>
        <v>#REF!</v>
      </c>
      <c r="Q95" s="4" t="e">
        <f>#REF!</f>
        <v>#REF!</v>
      </c>
      <c r="R95" s="4" t="e">
        <f>#REF!</f>
        <v>#REF!</v>
      </c>
      <c r="S95" s="4" t="e">
        <f>#REF!</f>
        <v>#REF!</v>
      </c>
      <c r="T95" s="4" t="e">
        <f>#REF!</f>
        <v>#REF!</v>
      </c>
      <c r="U95" s="4" t="e">
        <f>#REF!</f>
        <v>#REF!</v>
      </c>
      <c r="V95" s="4" t="e">
        <f>#REF!</f>
        <v>#REF!</v>
      </c>
      <c r="W95" s="4" t="e">
        <f>#REF!</f>
        <v>#REF!</v>
      </c>
      <c r="X95" s="4" t="e">
        <f>#REF!</f>
        <v>#REF!</v>
      </c>
      <c r="Y95" s="4" t="e">
        <f>#REF!</f>
        <v>#REF!</v>
      </c>
      <c r="Z95" s="4" t="e">
        <f>#REF!</f>
        <v>#REF!</v>
      </c>
      <c r="AA95" s="4" t="e">
        <f>#REF!</f>
        <v>#REF!</v>
      </c>
      <c r="AB95" s="213" t="e">
        <f>#REF!</f>
        <v>#REF!</v>
      </c>
      <c r="AC95" s="3" t="e">
        <f>#REF!</f>
        <v>#REF!</v>
      </c>
    </row>
    <row r="96" spans="1:29" ht="45" customHeight="1">
      <c r="A96" s="3">
        <f t="shared" si="1"/>
        <v>92</v>
      </c>
      <c r="B96" s="3" t="e">
        <f>#REF!</f>
        <v>#REF!</v>
      </c>
      <c r="C96" s="213" t="e">
        <f>#REF!</f>
        <v>#REF!</v>
      </c>
      <c r="D96" s="4" t="e">
        <f>#REF!</f>
        <v>#REF!</v>
      </c>
      <c r="E96" s="4" t="e">
        <f>#REF!</f>
        <v>#REF!</v>
      </c>
      <c r="F96" s="4" t="e">
        <f>#REF!</f>
        <v>#REF!</v>
      </c>
      <c r="G96" s="4" t="e">
        <f>#REF!</f>
        <v>#REF!</v>
      </c>
      <c r="H96" s="4" t="e">
        <f>#REF!</f>
        <v>#REF!</v>
      </c>
      <c r="I96" s="4" t="e">
        <f>#REF!</f>
        <v>#REF!</v>
      </c>
      <c r="J96" s="4" t="e">
        <f>#REF!</f>
        <v>#REF!</v>
      </c>
      <c r="K96" s="4" t="e">
        <f>#REF!</f>
        <v>#REF!</v>
      </c>
      <c r="L96" s="4" t="e">
        <f>#REF!</f>
        <v>#REF!</v>
      </c>
      <c r="M96" s="4" t="e">
        <f>#REF!</f>
        <v>#REF!</v>
      </c>
      <c r="N96" s="4" t="e">
        <f>#REF!</f>
        <v>#REF!</v>
      </c>
      <c r="O96" s="4" t="e">
        <f>#REF!</f>
        <v>#REF!</v>
      </c>
      <c r="P96" s="4" t="e">
        <f>#REF!</f>
        <v>#REF!</v>
      </c>
      <c r="Q96" s="4" t="e">
        <f>#REF!</f>
        <v>#REF!</v>
      </c>
      <c r="R96" s="4" t="e">
        <f>#REF!</f>
        <v>#REF!</v>
      </c>
      <c r="S96" s="4" t="e">
        <f>#REF!</f>
        <v>#REF!</v>
      </c>
      <c r="T96" s="4" t="e">
        <f>#REF!</f>
        <v>#REF!</v>
      </c>
      <c r="U96" s="4" t="e">
        <f>#REF!</f>
        <v>#REF!</v>
      </c>
      <c r="V96" s="4" t="e">
        <f>#REF!</f>
        <v>#REF!</v>
      </c>
      <c r="W96" s="4" t="e">
        <f>#REF!</f>
        <v>#REF!</v>
      </c>
      <c r="X96" s="4" t="e">
        <f>#REF!</f>
        <v>#REF!</v>
      </c>
      <c r="Y96" s="4" t="e">
        <f>#REF!</f>
        <v>#REF!</v>
      </c>
      <c r="Z96" s="4" t="e">
        <f>#REF!</f>
        <v>#REF!</v>
      </c>
      <c r="AA96" s="4" t="e">
        <f>#REF!</f>
        <v>#REF!</v>
      </c>
      <c r="AB96" s="213" t="e">
        <f>#REF!</f>
        <v>#REF!</v>
      </c>
      <c r="AC96" s="3" t="e">
        <f>#REF!</f>
        <v>#REF!</v>
      </c>
    </row>
    <row r="97" spans="1:29" ht="45" customHeight="1">
      <c r="A97" s="3">
        <f t="shared" si="1"/>
        <v>93</v>
      </c>
      <c r="B97" s="3" t="e">
        <f>#REF!</f>
        <v>#REF!</v>
      </c>
      <c r="C97" s="213" t="e">
        <f>#REF!</f>
        <v>#REF!</v>
      </c>
      <c r="D97" s="4" t="e">
        <f>#REF!</f>
        <v>#REF!</v>
      </c>
      <c r="E97" s="4" t="e">
        <f>#REF!</f>
        <v>#REF!</v>
      </c>
      <c r="F97" s="4" t="e">
        <f>#REF!</f>
        <v>#REF!</v>
      </c>
      <c r="G97" s="4" t="e">
        <f>#REF!</f>
        <v>#REF!</v>
      </c>
      <c r="H97" s="4" t="e">
        <f>#REF!</f>
        <v>#REF!</v>
      </c>
      <c r="I97" s="4" t="e">
        <f>#REF!</f>
        <v>#REF!</v>
      </c>
      <c r="J97" s="4" t="e">
        <f>#REF!</f>
        <v>#REF!</v>
      </c>
      <c r="K97" s="4" t="e">
        <f>#REF!</f>
        <v>#REF!</v>
      </c>
      <c r="L97" s="4" t="e">
        <f>#REF!</f>
        <v>#REF!</v>
      </c>
      <c r="M97" s="4" t="e">
        <f>#REF!</f>
        <v>#REF!</v>
      </c>
      <c r="N97" s="4" t="e">
        <f>#REF!</f>
        <v>#REF!</v>
      </c>
      <c r="O97" s="4" t="e">
        <f>#REF!</f>
        <v>#REF!</v>
      </c>
      <c r="P97" s="4" t="e">
        <f>#REF!</f>
        <v>#REF!</v>
      </c>
      <c r="Q97" s="4" t="e">
        <f>#REF!</f>
        <v>#REF!</v>
      </c>
      <c r="R97" s="4" t="e">
        <f>#REF!</f>
        <v>#REF!</v>
      </c>
      <c r="S97" s="4" t="e">
        <f>#REF!</f>
        <v>#REF!</v>
      </c>
      <c r="T97" s="4" t="e">
        <f>#REF!</f>
        <v>#REF!</v>
      </c>
      <c r="U97" s="4" t="e">
        <f>#REF!</f>
        <v>#REF!</v>
      </c>
      <c r="V97" s="4" t="e">
        <f>#REF!</f>
        <v>#REF!</v>
      </c>
      <c r="W97" s="4" t="e">
        <f>#REF!</f>
        <v>#REF!</v>
      </c>
      <c r="X97" s="4" t="e">
        <f>#REF!</f>
        <v>#REF!</v>
      </c>
      <c r="Y97" s="4" t="e">
        <f>#REF!</f>
        <v>#REF!</v>
      </c>
      <c r="Z97" s="4" t="e">
        <f>#REF!</f>
        <v>#REF!</v>
      </c>
      <c r="AA97" s="4" t="e">
        <f>#REF!</f>
        <v>#REF!</v>
      </c>
      <c r="AB97" s="213" t="e">
        <f>#REF!</f>
        <v>#REF!</v>
      </c>
      <c r="AC97" s="3" t="e">
        <f>#REF!</f>
        <v>#REF!</v>
      </c>
    </row>
    <row r="98" spans="1:29" ht="45" customHeight="1">
      <c r="A98" s="3">
        <f t="shared" si="1"/>
        <v>94</v>
      </c>
      <c r="B98" s="3" t="e">
        <f>#REF!</f>
        <v>#REF!</v>
      </c>
      <c r="C98" s="213" t="e">
        <f>#REF!</f>
        <v>#REF!</v>
      </c>
      <c r="D98" s="4" t="e">
        <f>#REF!</f>
        <v>#REF!</v>
      </c>
      <c r="E98" s="4" t="e">
        <f>#REF!</f>
        <v>#REF!</v>
      </c>
      <c r="F98" s="4" t="e">
        <f>#REF!</f>
        <v>#REF!</v>
      </c>
      <c r="G98" s="4" t="e">
        <f>#REF!</f>
        <v>#REF!</v>
      </c>
      <c r="H98" s="4" t="e">
        <f>#REF!</f>
        <v>#REF!</v>
      </c>
      <c r="I98" s="4" t="e">
        <f>#REF!</f>
        <v>#REF!</v>
      </c>
      <c r="J98" s="4" t="e">
        <f>#REF!</f>
        <v>#REF!</v>
      </c>
      <c r="K98" s="4" t="e">
        <f>#REF!</f>
        <v>#REF!</v>
      </c>
      <c r="L98" s="4" t="e">
        <f>#REF!</f>
        <v>#REF!</v>
      </c>
      <c r="M98" s="4" t="e">
        <f>#REF!</f>
        <v>#REF!</v>
      </c>
      <c r="N98" s="4" t="e">
        <f>#REF!</f>
        <v>#REF!</v>
      </c>
      <c r="O98" s="4" t="e">
        <f>#REF!</f>
        <v>#REF!</v>
      </c>
      <c r="P98" s="4" t="e">
        <f>#REF!</f>
        <v>#REF!</v>
      </c>
      <c r="Q98" s="4" t="e">
        <f>#REF!</f>
        <v>#REF!</v>
      </c>
      <c r="R98" s="4" t="e">
        <f>#REF!</f>
        <v>#REF!</v>
      </c>
      <c r="S98" s="4" t="e">
        <f>#REF!</f>
        <v>#REF!</v>
      </c>
      <c r="T98" s="4" t="e">
        <f>#REF!</f>
        <v>#REF!</v>
      </c>
      <c r="U98" s="4" t="e">
        <f>#REF!</f>
        <v>#REF!</v>
      </c>
      <c r="V98" s="4" t="e">
        <f>#REF!</f>
        <v>#REF!</v>
      </c>
      <c r="W98" s="4" t="e">
        <f>#REF!</f>
        <v>#REF!</v>
      </c>
      <c r="X98" s="4" t="e">
        <f>#REF!</f>
        <v>#REF!</v>
      </c>
      <c r="Y98" s="4" t="e">
        <f>#REF!</f>
        <v>#REF!</v>
      </c>
      <c r="Z98" s="4" t="e">
        <f>#REF!</f>
        <v>#REF!</v>
      </c>
      <c r="AA98" s="4" t="e">
        <f>#REF!</f>
        <v>#REF!</v>
      </c>
      <c r="AB98" s="213" t="e">
        <f>#REF!</f>
        <v>#REF!</v>
      </c>
      <c r="AC98" s="3" t="e">
        <f>#REF!</f>
        <v>#REF!</v>
      </c>
    </row>
    <row r="99" spans="1:29" ht="45" customHeight="1">
      <c r="A99" s="3">
        <f t="shared" si="1"/>
        <v>95</v>
      </c>
      <c r="B99" s="3" t="e">
        <f>#REF!</f>
        <v>#REF!</v>
      </c>
      <c r="C99" s="213" t="e">
        <f>#REF!</f>
        <v>#REF!</v>
      </c>
      <c r="D99" s="4" t="e">
        <f>#REF!</f>
        <v>#REF!</v>
      </c>
      <c r="E99" s="4" t="e">
        <f>#REF!</f>
        <v>#REF!</v>
      </c>
      <c r="F99" s="4" t="e">
        <f>#REF!</f>
        <v>#REF!</v>
      </c>
      <c r="G99" s="4" t="e">
        <f>#REF!</f>
        <v>#REF!</v>
      </c>
      <c r="H99" s="4" t="e">
        <f>#REF!</f>
        <v>#REF!</v>
      </c>
      <c r="I99" s="4" t="e">
        <f>#REF!</f>
        <v>#REF!</v>
      </c>
      <c r="J99" s="4" t="e">
        <f>#REF!</f>
        <v>#REF!</v>
      </c>
      <c r="K99" s="4" t="e">
        <f>#REF!</f>
        <v>#REF!</v>
      </c>
      <c r="L99" s="4" t="e">
        <f>#REF!</f>
        <v>#REF!</v>
      </c>
      <c r="M99" s="4" t="e">
        <f>#REF!</f>
        <v>#REF!</v>
      </c>
      <c r="N99" s="4" t="e">
        <f>#REF!</f>
        <v>#REF!</v>
      </c>
      <c r="O99" s="4" t="e">
        <f>#REF!</f>
        <v>#REF!</v>
      </c>
      <c r="P99" s="4" t="e">
        <f>#REF!</f>
        <v>#REF!</v>
      </c>
      <c r="Q99" s="4" t="e">
        <f>#REF!</f>
        <v>#REF!</v>
      </c>
      <c r="R99" s="4" t="e">
        <f>#REF!</f>
        <v>#REF!</v>
      </c>
      <c r="S99" s="4" t="e">
        <f>#REF!</f>
        <v>#REF!</v>
      </c>
      <c r="T99" s="4" t="e">
        <f>#REF!</f>
        <v>#REF!</v>
      </c>
      <c r="U99" s="4" t="e">
        <f>#REF!</f>
        <v>#REF!</v>
      </c>
      <c r="V99" s="4" t="e">
        <f>#REF!</f>
        <v>#REF!</v>
      </c>
      <c r="W99" s="4" t="e">
        <f>#REF!</f>
        <v>#REF!</v>
      </c>
      <c r="X99" s="4" t="e">
        <f>#REF!</f>
        <v>#REF!</v>
      </c>
      <c r="Y99" s="4" t="e">
        <f>#REF!</f>
        <v>#REF!</v>
      </c>
      <c r="Z99" s="4" t="e">
        <f>#REF!</f>
        <v>#REF!</v>
      </c>
      <c r="AA99" s="4" t="e">
        <f>#REF!</f>
        <v>#REF!</v>
      </c>
      <c r="AB99" s="213" t="e">
        <f>#REF!</f>
        <v>#REF!</v>
      </c>
      <c r="AC99" s="3" t="e">
        <f>#REF!</f>
        <v>#REF!</v>
      </c>
    </row>
    <row r="100" spans="1:29" ht="45" customHeight="1">
      <c r="A100" s="3">
        <f t="shared" si="1"/>
        <v>96</v>
      </c>
      <c r="B100" s="3" t="e">
        <f>#REF!</f>
        <v>#REF!</v>
      </c>
      <c r="C100" s="213" t="e">
        <f>#REF!</f>
        <v>#REF!</v>
      </c>
      <c r="D100" s="4" t="e">
        <f>#REF!</f>
        <v>#REF!</v>
      </c>
      <c r="E100" s="4" t="e">
        <f>#REF!</f>
        <v>#REF!</v>
      </c>
      <c r="F100" s="4" t="e">
        <f>#REF!</f>
        <v>#REF!</v>
      </c>
      <c r="G100" s="4" t="e">
        <f>#REF!</f>
        <v>#REF!</v>
      </c>
      <c r="H100" s="4" t="e">
        <f>#REF!</f>
        <v>#REF!</v>
      </c>
      <c r="I100" s="4" t="e">
        <f>#REF!</f>
        <v>#REF!</v>
      </c>
      <c r="J100" s="4" t="e">
        <f>#REF!</f>
        <v>#REF!</v>
      </c>
      <c r="K100" s="4" t="e">
        <f>#REF!</f>
        <v>#REF!</v>
      </c>
      <c r="L100" s="4" t="e">
        <f>#REF!</f>
        <v>#REF!</v>
      </c>
      <c r="M100" s="4" t="e">
        <f>#REF!</f>
        <v>#REF!</v>
      </c>
      <c r="N100" s="4" t="e">
        <f>#REF!</f>
        <v>#REF!</v>
      </c>
      <c r="O100" s="4" t="e">
        <f>#REF!</f>
        <v>#REF!</v>
      </c>
      <c r="P100" s="4" t="e">
        <f>#REF!</f>
        <v>#REF!</v>
      </c>
      <c r="Q100" s="4" t="e">
        <f>#REF!</f>
        <v>#REF!</v>
      </c>
      <c r="R100" s="4" t="e">
        <f>#REF!</f>
        <v>#REF!</v>
      </c>
      <c r="S100" s="4" t="e">
        <f>#REF!</f>
        <v>#REF!</v>
      </c>
      <c r="T100" s="4" t="e">
        <f>#REF!</f>
        <v>#REF!</v>
      </c>
      <c r="U100" s="4" t="e">
        <f>#REF!</f>
        <v>#REF!</v>
      </c>
      <c r="V100" s="4" t="e">
        <f>#REF!</f>
        <v>#REF!</v>
      </c>
      <c r="W100" s="4" t="e">
        <f>#REF!</f>
        <v>#REF!</v>
      </c>
      <c r="X100" s="4" t="e">
        <f>#REF!</f>
        <v>#REF!</v>
      </c>
      <c r="Y100" s="4" t="e">
        <f>#REF!</f>
        <v>#REF!</v>
      </c>
      <c r="Z100" s="4" t="e">
        <f>#REF!</f>
        <v>#REF!</v>
      </c>
      <c r="AA100" s="4" t="e">
        <f>#REF!</f>
        <v>#REF!</v>
      </c>
      <c r="AB100" s="213" t="e">
        <f>#REF!</f>
        <v>#REF!</v>
      </c>
      <c r="AC100" s="3" t="e">
        <f>#REF!</f>
        <v>#REF!</v>
      </c>
    </row>
    <row r="101" spans="1:29" ht="45" customHeight="1">
      <c r="A101" s="3">
        <f t="shared" si="1"/>
        <v>97</v>
      </c>
      <c r="B101" s="3" t="e">
        <f>#REF!</f>
        <v>#REF!</v>
      </c>
      <c r="C101" s="213" t="e">
        <f>#REF!</f>
        <v>#REF!</v>
      </c>
      <c r="D101" s="4" t="e">
        <f>#REF!</f>
        <v>#REF!</v>
      </c>
      <c r="E101" s="4" t="e">
        <f>#REF!</f>
        <v>#REF!</v>
      </c>
      <c r="F101" s="4" t="e">
        <f>#REF!</f>
        <v>#REF!</v>
      </c>
      <c r="G101" s="4" t="e">
        <f>#REF!</f>
        <v>#REF!</v>
      </c>
      <c r="H101" s="4" t="e">
        <f>#REF!</f>
        <v>#REF!</v>
      </c>
      <c r="I101" s="4" t="e">
        <f>#REF!</f>
        <v>#REF!</v>
      </c>
      <c r="J101" s="4" t="e">
        <f>#REF!</f>
        <v>#REF!</v>
      </c>
      <c r="K101" s="4" t="e">
        <f>#REF!</f>
        <v>#REF!</v>
      </c>
      <c r="L101" s="4" t="e">
        <f>#REF!</f>
        <v>#REF!</v>
      </c>
      <c r="M101" s="4" t="e">
        <f>#REF!</f>
        <v>#REF!</v>
      </c>
      <c r="N101" s="4" t="e">
        <f>#REF!</f>
        <v>#REF!</v>
      </c>
      <c r="O101" s="4" t="e">
        <f>#REF!</f>
        <v>#REF!</v>
      </c>
      <c r="P101" s="4" t="e">
        <f>#REF!</f>
        <v>#REF!</v>
      </c>
      <c r="Q101" s="4" t="e">
        <f>#REF!</f>
        <v>#REF!</v>
      </c>
      <c r="R101" s="4" t="e">
        <f>#REF!</f>
        <v>#REF!</v>
      </c>
      <c r="S101" s="4" t="e">
        <f>#REF!</f>
        <v>#REF!</v>
      </c>
      <c r="T101" s="4" t="e">
        <f>#REF!</f>
        <v>#REF!</v>
      </c>
      <c r="U101" s="4" t="e">
        <f>#REF!</f>
        <v>#REF!</v>
      </c>
      <c r="V101" s="4" t="e">
        <f>#REF!</f>
        <v>#REF!</v>
      </c>
      <c r="W101" s="4" t="e">
        <f>#REF!</f>
        <v>#REF!</v>
      </c>
      <c r="X101" s="4" t="e">
        <f>#REF!</f>
        <v>#REF!</v>
      </c>
      <c r="Y101" s="4" t="e">
        <f>#REF!</f>
        <v>#REF!</v>
      </c>
      <c r="Z101" s="4" t="e">
        <f>#REF!</f>
        <v>#REF!</v>
      </c>
      <c r="AA101" s="4" t="e">
        <f>#REF!</f>
        <v>#REF!</v>
      </c>
      <c r="AB101" s="213" t="e">
        <f>#REF!</f>
        <v>#REF!</v>
      </c>
      <c r="AC101" s="3" t="e">
        <f>#REF!</f>
        <v>#REF!</v>
      </c>
    </row>
    <row r="102" spans="1:29" ht="45" customHeight="1">
      <c r="A102" s="3">
        <f t="shared" si="1"/>
        <v>98</v>
      </c>
      <c r="B102" s="3" t="e">
        <f>#REF!</f>
        <v>#REF!</v>
      </c>
      <c r="C102" s="213" t="e">
        <f>#REF!</f>
        <v>#REF!</v>
      </c>
      <c r="D102" s="4" t="e">
        <f>#REF!</f>
        <v>#REF!</v>
      </c>
      <c r="E102" s="4" t="e">
        <f>#REF!</f>
        <v>#REF!</v>
      </c>
      <c r="F102" s="4" t="e">
        <f>#REF!</f>
        <v>#REF!</v>
      </c>
      <c r="G102" s="4" t="e">
        <f>#REF!</f>
        <v>#REF!</v>
      </c>
      <c r="H102" s="4" t="e">
        <f>#REF!</f>
        <v>#REF!</v>
      </c>
      <c r="I102" s="4" t="e">
        <f>#REF!</f>
        <v>#REF!</v>
      </c>
      <c r="J102" s="4" t="e">
        <f>#REF!</f>
        <v>#REF!</v>
      </c>
      <c r="K102" s="4" t="e">
        <f>#REF!</f>
        <v>#REF!</v>
      </c>
      <c r="L102" s="4" t="e">
        <f>#REF!</f>
        <v>#REF!</v>
      </c>
      <c r="M102" s="4" t="e">
        <f>#REF!</f>
        <v>#REF!</v>
      </c>
      <c r="N102" s="4" t="e">
        <f>#REF!</f>
        <v>#REF!</v>
      </c>
      <c r="O102" s="4" t="e">
        <f>#REF!</f>
        <v>#REF!</v>
      </c>
      <c r="P102" s="4" t="e">
        <f>#REF!</f>
        <v>#REF!</v>
      </c>
      <c r="Q102" s="4" t="e">
        <f>#REF!</f>
        <v>#REF!</v>
      </c>
      <c r="R102" s="4" t="e">
        <f>#REF!</f>
        <v>#REF!</v>
      </c>
      <c r="S102" s="4" t="e">
        <f>#REF!</f>
        <v>#REF!</v>
      </c>
      <c r="T102" s="4" t="e">
        <f>#REF!</f>
        <v>#REF!</v>
      </c>
      <c r="U102" s="4" t="e">
        <f>#REF!</f>
        <v>#REF!</v>
      </c>
      <c r="V102" s="4" t="e">
        <f>#REF!</f>
        <v>#REF!</v>
      </c>
      <c r="W102" s="4" t="e">
        <f>#REF!</f>
        <v>#REF!</v>
      </c>
      <c r="X102" s="4" t="e">
        <f>#REF!</f>
        <v>#REF!</v>
      </c>
      <c r="Y102" s="4" t="e">
        <f>#REF!</f>
        <v>#REF!</v>
      </c>
      <c r="Z102" s="4" t="e">
        <f>#REF!</f>
        <v>#REF!</v>
      </c>
      <c r="AA102" s="4" t="e">
        <f>#REF!</f>
        <v>#REF!</v>
      </c>
      <c r="AB102" s="213" t="e">
        <f>#REF!</f>
        <v>#REF!</v>
      </c>
      <c r="AC102" s="3" t="e">
        <f>#REF!</f>
        <v>#REF!</v>
      </c>
    </row>
    <row r="103" spans="1:29" ht="45" customHeight="1">
      <c r="A103" s="3">
        <f t="shared" si="1"/>
        <v>99</v>
      </c>
      <c r="B103" s="3" t="e">
        <f>#REF!</f>
        <v>#REF!</v>
      </c>
      <c r="C103" s="213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4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213" t="e">
        <f>#REF!</f>
        <v>#REF!</v>
      </c>
      <c r="AC103" s="3" t="e">
        <f>#REF!</f>
        <v>#REF!</v>
      </c>
    </row>
    <row r="104" spans="1:29" ht="45" customHeight="1">
      <c r="A104" s="3">
        <f t="shared" si="1"/>
        <v>100</v>
      </c>
      <c r="B104" s="3" t="e">
        <f>#REF!</f>
        <v>#REF!</v>
      </c>
      <c r="C104" s="213" t="e">
        <f>#REF!</f>
        <v>#REF!</v>
      </c>
      <c r="D104" s="4" t="e">
        <f>#REF!</f>
        <v>#REF!</v>
      </c>
      <c r="E104" s="4" t="e">
        <f>#REF!</f>
        <v>#REF!</v>
      </c>
      <c r="F104" s="4" t="e">
        <f>#REF!</f>
        <v>#REF!</v>
      </c>
      <c r="G104" s="4" t="e">
        <f>#REF!</f>
        <v>#REF!</v>
      </c>
      <c r="H104" s="4" t="e">
        <f>#REF!</f>
        <v>#REF!</v>
      </c>
      <c r="I104" s="4" t="e">
        <f>#REF!</f>
        <v>#REF!</v>
      </c>
      <c r="J104" s="4" t="e">
        <f>#REF!</f>
        <v>#REF!</v>
      </c>
      <c r="K104" s="4" t="e">
        <f>#REF!</f>
        <v>#REF!</v>
      </c>
      <c r="L104" s="4" t="e">
        <f>#REF!</f>
        <v>#REF!</v>
      </c>
      <c r="M104" s="4" t="e">
        <f>#REF!</f>
        <v>#REF!</v>
      </c>
      <c r="N104" s="4" t="e">
        <f>#REF!</f>
        <v>#REF!</v>
      </c>
      <c r="O104" s="4" t="e">
        <f>#REF!</f>
        <v>#REF!</v>
      </c>
      <c r="P104" s="4" t="e">
        <f>#REF!</f>
        <v>#REF!</v>
      </c>
      <c r="Q104" s="4" t="e">
        <f>#REF!</f>
        <v>#REF!</v>
      </c>
      <c r="R104" s="4" t="e">
        <f>#REF!</f>
        <v>#REF!</v>
      </c>
      <c r="S104" s="4" t="e">
        <f>#REF!</f>
        <v>#REF!</v>
      </c>
      <c r="T104" s="4" t="e">
        <f>#REF!</f>
        <v>#REF!</v>
      </c>
      <c r="U104" s="4" t="e">
        <f>#REF!</f>
        <v>#REF!</v>
      </c>
      <c r="V104" s="4" t="e">
        <f>#REF!</f>
        <v>#REF!</v>
      </c>
      <c r="W104" s="4" t="e">
        <f>#REF!</f>
        <v>#REF!</v>
      </c>
      <c r="X104" s="4" t="e">
        <f>#REF!</f>
        <v>#REF!</v>
      </c>
      <c r="Y104" s="4" t="e">
        <f>#REF!</f>
        <v>#REF!</v>
      </c>
      <c r="Z104" s="4" t="e">
        <f>#REF!</f>
        <v>#REF!</v>
      </c>
      <c r="AA104" s="4" t="e">
        <f>#REF!</f>
        <v>#REF!</v>
      </c>
      <c r="AB104" s="213" t="e">
        <f>#REF!</f>
        <v>#REF!</v>
      </c>
      <c r="AC104" s="3" t="e">
        <f>#REF!</f>
        <v>#REF!</v>
      </c>
    </row>
    <row r="105" spans="1:29" ht="45" customHeight="1">
      <c r="A105" s="3">
        <f t="shared" si="1"/>
        <v>101</v>
      </c>
      <c r="B105" s="3" t="e">
        <f>#REF!</f>
        <v>#REF!</v>
      </c>
      <c r="C105" s="213" t="e">
        <f>#REF!</f>
        <v>#REF!</v>
      </c>
      <c r="D105" s="4" t="e">
        <f>#REF!</f>
        <v>#REF!</v>
      </c>
      <c r="E105" s="4" t="e">
        <f>#REF!</f>
        <v>#REF!</v>
      </c>
      <c r="F105" s="4" t="e">
        <f>#REF!</f>
        <v>#REF!</v>
      </c>
      <c r="G105" s="4" t="e">
        <f>#REF!</f>
        <v>#REF!</v>
      </c>
      <c r="H105" s="4" t="e">
        <f>#REF!</f>
        <v>#REF!</v>
      </c>
      <c r="I105" s="4" t="e">
        <f>#REF!</f>
        <v>#REF!</v>
      </c>
      <c r="J105" s="4" t="e">
        <f>#REF!</f>
        <v>#REF!</v>
      </c>
      <c r="K105" s="4" t="e">
        <f>#REF!</f>
        <v>#REF!</v>
      </c>
      <c r="L105" s="4" t="e">
        <f>#REF!</f>
        <v>#REF!</v>
      </c>
      <c r="M105" s="4" t="e">
        <f>#REF!</f>
        <v>#REF!</v>
      </c>
      <c r="N105" s="4" t="e">
        <f>#REF!</f>
        <v>#REF!</v>
      </c>
      <c r="O105" s="4" t="e">
        <f>#REF!</f>
        <v>#REF!</v>
      </c>
      <c r="P105" s="4" t="e">
        <f>#REF!</f>
        <v>#REF!</v>
      </c>
      <c r="Q105" s="4" t="e">
        <f>#REF!</f>
        <v>#REF!</v>
      </c>
      <c r="R105" s="4" t="e">
        <f>#REF!</f>
        <v>#REF!</v>
      </c>
      <c r="S105" s="4" t="e">
        <f>#REF!</f>
        <v>#REF!</v>
      </c>
      <c r="T105" s="4" t="e">
        <f>#REF!</f>
        <v>#REF!</v>
      </c>
      <c r="U105" s="4" t="e">
        <f>#REF!</f>
        <v>#REF!</v>
      </c>
      <c r="V105" s="4" t="e">
        <f>#REF!</f>
        <v>#REF!</v>
      </c>
      <c r="W105" s="4" t="e">
        <f>#REF!</f>
        <v>#REF!</v>
      </c>
      <c r="X105" s="4" t="e">
        <f>#REF!</f>
        <v>#REF!</v>
      </c>
      <c r="Y105" s="4" t="e">
        <f>#REF!</f>
        <v>#REF!</v>
      </c>
      <c r="Z105" s="4" t="e">
        <f>#REF!</f>
        <v>#REF!</v>
      </c>
      <c r="AA105" s="4" t="e">
        <f>#REF!</f>
        <v>#REF!</v>
      </c>
      <c r="AB105" s="213" t="e">
        <f>#REF!</f>
        <v>#REF!</v>
      </c>
      <c r="AC105" s="3" t="e">
        <f>#REF!</f>
        <v>#REF!</v>
      </c>
    </row>
    <row r="106" spans="1:29" ht="45" customHeight="1">
      <c r="A106" s="3">
        <f t="shared" si="1"/>
        <v>102</v>
      </c>
      <c r="B106" s="3" t="e">
        <f>#REF!</f>
        <v>#REF!</v>
      </c>
      <c r="C106" s="213" t="e">
        <f>#REF!</f>
        <v>#REF!</v>
      </c>
      <c r="D106" s="4" t="e">
        <f>#REF!</f>
        <v>#REF!</v>
      </c>
      <c r="E106" s="4" t="e">
        <f>#REF!</f>
        <v>#REF!</v>
      </c>
      <c r="F106" s="4" t="e">
        <f>#REF!</f>
        <v>#REF!</v>
      </c>
      <c r="G106" s="4" t="e">
        <f>#REF!</f>
        <v>#REF!</v>
      </c>
      <c r="H106" s="4" t="e">
        <f>#REF!</f>
        <v>#REF!</v>
      </c>
      <c r="I106" s="4" t="e">
        <f>#REF!</f>
        <v>#REF!</v>
      </c>
      <c r="J106" s="4" t="e">
        <f>#REF!</f>
        <v>#REF!</v>
      </c>
      <c r="K106" s="4" t="e">
        <f>#REF!</f>
        <v>#REF!</v>
      </c>
      <c r="L106" s="4" t="e">
        <f>#REF!</f>
        <v>#REF!</v>
      </c>
      <c r="M106" s="4" t="e">
        <f>#REF!</f>
        <v>#REF!</v>
      </c>
      <c r="N106" s="4" t="e">
        <f>#REF!</f>
        <v>#REF!</v>
      </c>
      <c r="O106" s="4" t="e">
        <f>#REF!</f>
        <v>#REF!</v>
      </c>
      <c r="P106" s="4" t="e">
        <f>#REF!</f>
        <v>#REF!</v>
      </c>
      <c r="Q106" s="4" t="e">
        <f>#REF!</f>
        <v>#REF!</v>
      </c>
      <c r="R106" s="4" t="e">
        <f>#REF!</f>
        <v>#REF!</v>
      </c>
      <c r="S106" s="4" t="e">
        <f>#REF!</f>
        <v>#REF!</v>
      </c>
      <c r="T106" s="4" t="e">
        <f>#REF!</f>
        <v>#REF!</v>
      </c>
      <c r="U106" s="4" t="e">
        <f>#REF!</f>
        <v>#REF!</v>
      </c>
      <c r="V106" s="4" t="e">
        <f>#REF!</f>
        <v>#REF!</v>
      </c>
      <c r="W106" s="4" t="e">
        <f>#REF!</f>
        <v>#REF!</v>
      </c>
      <c r="X106" s="4" t="e">
        <f>#REF!</f>
        <v>#REF!</v>
      </c>
      <c r="Y106" s="4" t="e">
        <f>#REF!</f>
        <v>#REF!</v>
      </c>
      <c r="Z106" s="4" t="e">
        <f>#REF!</f>
        <v>#REF!</v>
      </c>
      <c r="AA106" s="4" t="e">
        <f>#REF!</f>
        <v>#REF!</v>
      </c>
      <c r="AB106" s="213" t="e">
        <f>#REF!</f>
        <v>#REF!</v>
      </c>
      <c r="AC106" s="3" t="e">
        <f>#REF!</f>
        <v>#REF!</v>
      </c>
    </row>
    <row r="107" spans="1:29" ht="45" customHeight="1">
      <c r="A107" s="3">
        <f t="shared" si="1"/>
        <v>103</v>
      </c>
      <c r="B107" s="3" t="e">
        <f>#REF!</f>
        <v>#REF!</v>
      </c>
      <c r="C107" s="213" t="e">
        <f>#REF!</f>
        <v>#REF!</v>
      </c>
      <c r="D107" s="4" t="e">
        <f>#REF!</f>
        <v>#REF!</v>
      </c>
      <c r="E107" s="4" t="e">
        <f>#REF!</f>
        <v>#REF!</v>
      </c>
      <c r="F107" s="4" t="e">
        <f>#REF!</f>
        <v>#REF!</v>
      </c>
      <c r="G107" s="4" t="e">
        <f>#REF!</f>
        <v>#REF!</v>
      </c>
      <c r="H107" s="4" t="e">
        <f>#REF!</f>
        <v>#REF!</v>
      </c>
      <c r="I107" s="4" t="e">
        <f>#REF!</f>
        <v>#REF!</v>
      </c>
      <c r="J107" s="4" t="e">
        <f>#REF!</f>
        <v>#REF!</v>
      </c>
      <c r="K107" s="4" t="e">
        <f>#REF!</f>
        <v>#REF!</v>
      </c>
      <c r="L107" s="4" t="e">
        <f>#REF!</f>
        <v>#REF!</v>
      </c>
      <c r="M107" s="4" t="e">
        <f>#REF!</f>
        <v>#REF!</v>
      </c>
      <c r="N107" s="4" t="e">
        <f>#REF!</f>
        <v>#REF!</v>
      </c>
      <c r="O107" s="4" t="e">
        <f>#REF!</f>
        <v>#REF!</v>
      </c>
      <c r="P107" s="4" t="e">
        <f>#REF!</f>
        <v>#REF!</v>
      </c>
      <c r="Q107" s="4" t="e">
        <f>#REF!</f>
        <v>#REF!</v>
      </c>
      <c r="R107" s="4" t="e">
        <f>#REF!</f>
        <v>#REF!</v>
      </c>
      <c r="S107" s="4" t="e">
        <f>#REF!</f>
        <v>#REF!</v>
      </c>
      <c r="T107" s="4" t="e">
        <f>#REF!</f>
        <v>#REF!</v>
      </c>
      <c r="U107" s="4" t="e">
        <f>#REF!</f>
        <v>#REF!</v>
      </c>
      <c r="V107" s="4" t="e">
        <f>#REF!</f>
        <v>#REF!</v>
      </c>
      <c r="W107" s="4" t="e">
        <f>#REF!</f>
        <v>#REF!</v>
      </c>
      <c r="X107" s="4" t="e">
        <f>#REF!</f>
        <v>#REF!</v>
      </c>
      <c r="Y107" s="4" t="e">
        <f>#REF!</f>
        <v>#REF!</v>
      </c>
      <c r="Z107" s="4" t="e">
        <f>#REF!</f>
        <v>#REF!</v>
      </c>
      <c r="AA107" s="4" t="e">
        <f>#REF!</f>
        <v>#REF!</v>
      </c>
      <c r="AB107" s="213" t="e">
        <f>#REF!</f>
        <v>#REF!</v>
      </c>
      <c r="AC107" s="3" t="e">
        <f>#REF!</f>
        <v>#REF!</v>
      </c>
    </row>
    <row r="108" spans="1:29" ht="45" customHeight="1">
      <c r="A108" s="3">
        <f t="shared" si="1"/>
        <v>104</v>
      </c>
      <c r="B108" s="3" t="e">
        <f>#REF!</f>
        <v>#REF!</v>
      </c>
      <c r="C108" s="213" t="e">
        <f>#REF!</f>
        <v>#REF!</v>
      </c>
      <c r="D108" s="4" t="e">
        <f>#REF!</f>
        <v>#REF!</v>
      </c>
      <c r="E108" s="4" t="e">
        <f>#REF!</f>
        <v>#REF!</v>
      </c>
      <c r="F108" s="4" t="e">
        <f>#REF!</f>
        <v>#REF!</v>
      </c>
      <c r="G108" s="4" t="e">
        <f>#REF!</f>
        <v>#REF!</v>
      </c>
      <c r="H108" s="4" t="e">
        <f>#REF!</f>
        <v>#REF!</v>
      </c>
      <c r="I108" s="4" t="e">
        <f>#REF!</f>
        <v>#REF!</v>
      </c>
      <c r="J108" s="4" t="e">
        <f>#REF!</f>
        <v>#REF!</v>
      </c>
      <c r="K108" s="4" t="e">
        <f>#REF!</f>
        <v>#REF!</v>
      </c>
      <c r="L108" s="4" t="e">
        <f>#REF!</f>
        <v>#REF!</v>
      </c>
      <c r="M108" s="4" t="e">
        <f>#REF!</f>
        <v>#REF!</v>
      </c>
      <c r="N108" s="4" t="e">
        <f>#REF!</f>
        <v>#REF!</v>
      </c>
      <c r="O108" s="4" t="e">
        <f>#REF!</f>
        <v>#REF!</v>
      </c>
      <c r="P108" s="4" t="e">
        <f>#REF!</f>
        <v>#REF!</v>
      </c>
      <c r="Q108" s="4" t="e">
        <f>#REF!</f>
        <v>#REF!</v>
      </c>
      <c r="R108" s="4" t="e">
        <f>#REF!</f>
        <v>#REF!</v>
      </c>
      <c r="S108" s="4" t="e">
        <f>#REF!</f>
        <v>#REF!</v>
      </c>
      <c r="T108" s="4" t="e">
        <f>#REF!</f>
        <v>#REF!</v>
      </c>
      <c r="U108" s="4" t="e">
        <f>#REF!</f>
        <v>#REF!</v>
      </c>
      <c r="V108" s="4" t="e">
        <f>#REF!</f>
        <v>#REF!</v>
      </c>
      <c r="W108" s="4" t="e">
        <f>#REF!</f>
        <v>#REF!</v>
      </c>
      <c r="X108" s="4" t="e">
        <f>#REF!</f>
        <v>#REF!</v>
      </c>
      <c r="Y108" s="4" t="e">
        <f>#REF!</f>
        <v>#REF!</v>
      </c>
      <c r="Z108" s="4" t="e">
        <f>#REF!</f>
        <v>#REF!</v>
      </c>
      <c r="AA108" s="4" t="e">
        <f>#REF!</f>
        <v>#REF!</v>
      </c>
      <c r="AB108" s="213" t="e">
        <f>#REF!</f>
        <v>#REF!</v>
      </c>
      <c r="AC108" s="3" t="e">
        <f>#REF!</f>
        <v>#REF!</v>
      </c>
    </row>
    <row r="109" spans="1:29" ht="45" customHeight="1">
      <c r="A109" s="3">
        <f t="shared" si="1"/>
        <v>105</v>
      </c>
      <c r="B109" s="3" t="e">
        <f>#REF!</f>
        <v>#REF!</v>
      </c>
      <c r="C109" s="213" t="e">
        <f>#REF!</f>
        <v>#REF!</v>
      </c>
      <c r="D109" s="4" t="e">
        <f>#REF!</f>
        <v>#REF!</v>
      </c>
      <c r="E109" s="4" t="e">
        <f>#REF!</f>
        <v>#REF!</v>
      </c>
      <c r="F109" s="4" t="e">
        <f>#REF!</f>
        <v>#REF!</v>
      </c>
      <c r="G109" s="4" t="e">
        <f>#REF!</f>
        <v>#REF!</v>
      </c>
      <c r="H109" s="4" t="e">
        <f>#REF!</f>
        <v>#REF!</v>
      </c>
      <c r="I109" s="4" t="e">
        <f>#REF!</f>
        <v>#REF!</v>
      </c>
      <c r="J109" s="4" t="e">
        <f>#REF!</f>
        <v>#REF!</v>
      </c>
      <c r="K109" s="4" t="e">
        <f>#REF!</f>
        <v>#REF!</v>
      </c>
      <c r="L109" s="4" t="e">
        <f>#REF!</f>
        <v>#REF!</v>
      </c>
      <c r="M109" s="4" t="e">
        <f>#REF!</f>
        <v>#REF!</v>
      </c>
      <c r="N109" s="4" t="e">
        <f>#REF!</f>
        <v>#REF!</v>
      </c>
      <c r="O109" s="4" t="e">
        <f>#REF!</f>
        <v>#REF!</v>
      </c>
      <c r="P109" s="4" t="e">
        <f>#REF!</f>
        <v>#REF!</v>
      </c>
      <c r="Q109" s="4" t="e">
        <f>#REF!</f>
        <v>#REF!</v>
      </c>
      <c r="R109" s="4" t="e">
        <f>#REF!</f>
        <v>#REF!</v>
      </c>
      <c r="S109" s="4" t="e">
        <f>#REF!</f>
        <v>#REF!</v>
      </c>
      <c r="T109" s="4" t="e">
        <f>#REF!</f>
        <v>#REF!</v>
      </c>
      <c r="U109" s="4" t="e">
        <f>#REF!</f>
        <v>#REF!</v>
      </c>
      <c r="V109" s="4" t="e">
        <f>#REF!</f>
        <v>#REF!</v>
      </c>
      <c r="W109" s="4" t="e">
        <f>#REF!</f>
        <v>#REF!</v>
      </c>
      <c r="X109" s="4" t="e">
        <f>#REF!</f>
        <v>#REF!</v>
      </c>
      <c r="Y109" s="4" t="e">
        <f>#REF!</f>
        <v>#REF!</v>
      </c>
      <c r="Z109" s="4" t="e">
        <f>#REF!</f>
        <v>#REF!</v>
      </c>
      <c r="AA109" s="4" t="e">
        <f>#REF!</f>
        <v>#REF!</v>
      </c>
      <c r="AB109" s="213" t="e">
        <f>#REF!</f>
        <v>#REF!</v>
      </c>
      <c r="AC109" s="3" t="e">
        <f>#REF!</f>
        <v>#REF!</v>
      </c>
    </row>
    <row r="110" spans="1:29" ht="45" customHeight="1">
      <c r="A110" s="20">
        <f>A109</f>
        <v>105</v>
      </c>
      <c r="B110" s="20"/>
      <c r="C110" s="20" t="s">
        <v>668</v>
      </c>
      <c r="D110" s="50" t="e">
        <f>SUM(D5:D109)</f>
        <v>#REF!</v>
      </c>
      <c r="E110" s="50" t="e">
        <f t="shared" ref="E110:AA110" si="2">SUM(E5:E109)</f>
        <v>#REF!</v>
      </c>
      <c r="F110" s="50" t="e">
        <f t="shared" si="2"/>
        <v>#REF!</v>
      </c>
      <c r="G110" s="50" t="e">
        <f t="shared" si="2"/>
        <v>#REF!</v>
      </c>
      <c r="H110" s="50" t="e">
        <f t="shared" si="2"/>
        <v>#REF!</v>
      </c>
      <c r="I110" s="50" t="e">
        <f t="shared" si="2"/>
        <v>#REF!</v>
      </c>
      <c r="J110" s="50" t="e">
        <f t="shared" si="2"/>
        <v>#REF!</v>
      </c>
      <c r="K110" s="50" t="e">
        <f t="shared" si="2"/>
        <v>#REF!</v>
      </c>
      <c r="L110" s="50" t="e">
        <f t="shared" si="2"/>
        <v>#REF!</v>
      </c>
      <c r="M110" s="50" t="e">
        <f t="shared" si="2"/>
        <v>#REF!</v>
      </c>
      <c r="N110" s="50" t="e">
        <f t="shared" si="2"/>
        <v>#REF!</v>
      </c>
      <c r="O110" s="50" t="e">
        <f t="shared" si="2"/>
        <v>#REF!</v>
      </c>
      <c r="P110" s="50" t="e">
        <f t="shared" si="2"/>
        <v>#REF!</v>
      </c>
      <c r="Q110" s="50" t="e">
        <f t="shared" si="2"/>
        <v>#REF!</v>
      </c>
      <c r="R110" s="50" t="e">
        <f t="shared" si="2"/>
        <v>#REF!</v>
      </c>
      <c r="S110" s="50" t="e">
        <f t="shared" si="2"/>
        <v>#REF!</v>
      </c>
      <c r="T110" s="50" t="e">
        <f t="shared" si="2"/>
        <v>#REF!</v>
      </c>
      <c r="U110" s="50" t="e">
        <f t="shared" si="2"/>
        <v>#REF!</v>
      </c>
      <c r="V110" s="50" t="e">
        <f t="shared" si="2"/>
        <v>#REF!</v>
      </c>
      <c r="W110" s="50" t="e">
        <f t="shared" si="2"/>
        <v>#REF!</v>
      </c>
      <c r="X110" s="50" t="e">
        <f t="shared" si="2"/>
        <v>#REF!</v>
      </c>
      <c r="Y110" s="50" t="e">
        <f t="shared" si="2"/>
        <v>#REF!</v>
      </c>
      <c r="Z110" s="50" t="e">
        <f t="shared" si="2"/>
        <v>#REF!</v>
      </c>
      <c r="AA110" s="50" t="e">
        <f t="shared" si="2"/>
        <v>#REF!</v>
      </c>
      <c r="AB110" s="20"/>
      <c r="AC110" s="20"/>
    </row>
    <row r="111" spans="1:29" ht="13.95" customHeight="1">
      <c r="A111" s="386"/>
      <c r="B111" s="361"/>
      <c r="C111" s="361"/>
      <c r="D111" s="10"/>
      <c r="N111" s="340"/>
      <c r="O111" s="358"/>
      <c r="Q111" s="358"/>
    </row>
  </sheetData>
  <conditionalFormatting sqref="AB4">
    <cfRule type="cellIs" dxfId="411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5"/>
  <sheetViews>
    <sheetView showZeros="0" rightToLeft="1" zoomScale="110" zoomScaleNormal="110" workbookViewId="0">
      <pane xSplit="4" ySplit="4" topLeftCell="E120" activePane="bottomRight" state="frozen"/>
      <selection activeCell="F25" sqref="F25"/>
      <selection pane="topRight" activeCell="F25" sqref="F25"/>
      <selection pane="bottomLeft" activeCell="F25" sqref="F25"/>
      <selection pane="bottomRight" sqref="A1:AC123"/>
    </sheetView>
  </sheetViews>
  <sheetFormatPr defaultColWidth="8.88671875" defaultRowHeight="13.2"/>
  <cols>
    <col min="1" max="1" width="5.109375" style="157" customWidth="1"/>
    <col min="2" max="2" width="6" style="157" bestFit="1" customWidth="1"/>
    <col min="3" max="3" width="21.44140625" style="157" customWidth="1"/>
    <col min="4" max="4" width="10.33203125" style="157" customWidth="1"/>
    <col min="5" max="5" width="11.109375" style="157" hidden="1" customWidth="1"/>
    <col min="6" max="6" width="9.6640625" style="157" hidden="1" customWidth="1"/>
    <col min="7" max="8" width="11.109375" style="157" hidden="1" customWidth="1"/>
    <col min="9" max="10" width="10.109375" style="157" hidden="1" customWidth="1"/>
    <col min="11" max="11" width="10.44140625" style="157" hidden="1" customWidth="1"/>
    <col min="12" max="12" width="10.109375" style="157" customWidth="1"/>
    <col min="13" max="13" width="9.33203125" style="157" customWidth="1"/>
    <col min="14" max="14" width="10.33203125" style="157" customWidth="1"/>
    <col min="15" max="15" width="10.44140625" style="157" customWidth="1"/>
    <col min="16" max="16" width="10.109375" style="157" hidden="1" customWidth="1"/>
    <col min="17" max="17" width="9.88671875" style="157" hidden="1" customWidth="1"/>
    <col min="18" max="18" width="8.88671875" style="157" hidden="1" customWidth="1"/>
    <col min="19" max="19" width="10.6640625" style="157" hidden="1" customWidth="1"/>
    <col min="20" max="20" width="9.33203125" style="157" customWidth="1"/>
    <col min="21" max="21" width="10.109375" style="157" customWidth="1"/>
    <col min="22" max="22" width="9.44140625" style="157" customWidth="1"/>
    <col min="23" max="23" width="10.109375" style="157" customWidth="1"/>
    <col min="24" max="24" width="6.33203125" style="157" hidden="1" customWidth="1"/>
    <col min="25" max="25" width="9.109375" style="157" hidden="1" customWidth="1"/>
    <col min="26" max="26" width="9.5546875" style="157" hidden="1" customWidth="1"/>
    <col min="27" max="27" width="9.33203125" style="157" customWidth="1"/>
    <col min="28" max="28" width="32.109375" style="157" hidden="1" customWidth="1"/>
    <col min="29" max="29" width="6.88671875" style="157" customWidth="1"/>
    <col min="30" max="30" width="21.44140625" customWidth="1"/>
    <col min="31" max="31" width="20.5546875" customWidth="1"/>
    <col min="32" max="32" width="28.109375" customWidth="1"/>
    <col min="33" max="33" width="30" customWidth="1"/>
    <col min="34" max="34" width="7.44140625" customWidth="1"/>
    <col min="35" max="35" width="4.5546875" customWidth="1"/>
    <col min="36" max="36" width="16.33203125" customWidth="1"/>
    <col min="37" max="38" width="21.33203125" customWidth="1"/>
    <col min="39" max="40" width="11.33203125" customWidth="1"/>
    <col min="41" max="41" width="22.44140625" customWidth="1"/>
    <col min="42" max="42" width="12.44140625" customWidth="1"/>
    <col min="43" max="43" width="14.88671875" customWidth="1"/>
  </cols>
  <sheetData>
    <row r="1" spans="1:29" ht="13.8">
      <c r="A1" s="10"/>
      <c r="B1" s="291"/>
      <c r="C1" s="29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0"/>
    </row>
    <row r="2" spans="1:29" ht="18">
      <c r="A2" s="49" t="s">
        <v>598</v>
      </c>
      <c r="B2" s="49"/>
      <c r="C2" s="29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</row>
    <row r="3" spans="1:29" ht="21">
      <c r="B3" s="320"/>
      <c r="C3" s="320"/>
      <c r="D3" s="11"/>
      <c r="E3" s="11"/>
      <c r="F3" s="11"/>
      <c r="G3" s="11"/>
      <c r="H3" s="11"/>
      <c r="I3" s="11"/>
      <c r="J3" s="11"/>
      <c r="K3" s="11"/>
      <c r="L3" s="11"/>
      <c r="M3" s="321"/>
      <c r="N3" s="11"/>
      <c r="O3" s="11"/>
      <c r="P3" s="11"/>
      <c r="Q3" s="11"/>
      <c r="R3" s="11"/>
      <c r="S3" s="11"/>
      <c r="T3" s="11"/>
      <c r="U3" s="10"/>
      <c r="V3" s="10"/>
      <c r="W3" s="10"/>
      <c r="X3" s="10"/>
      <c r="Y3" s="10"/>
      <c r="Z3" s="10"/>
      <c r="AA3" s="10"/>
      <c r="AB3" s="14"/>
      <c r="AC3" s="10"/>
    </row>
    <row r="4" spans="1:29" ht="82.8">
      <c r="A4" s="290" t="s">
        <v>0</v>
      </c>
      <c r="B4" s="290" t="s">
        <v>1</v>
      </c>
      <c r="C4" s="290" t="s">
        <v>2</v>
      </c>
      <c r="D4" s="290" t="s">
        <v>3</v>
      </c>
      <c r="E4" s="290" t="s">
        <v>4</v>
      </c>
      <c r="F4" s="290" t="s">
        <v>5</v>
      </c>
      <c r="G4" s="290" t="s">
        <v>6</v>
      </c>
      <c r="H4" s="290" t="s">
        <v>7</v>
      </c>
      <c r="I4" s="290" t="s">
        <v>9</v>
      </c>
      <c r="J4" s="290" t="s">
        <v>125</v>
      </c>
      <c r="K4" s="290" t="s">
        <v>10</v>
      </c>
      <c r="L4" s="290" t="s">
        <v>11</v>
      </c>
      <c r="M4" s="290" t="s">
        <v>707</v>
      </c>
      <c r="N4" s="290" t="s">
        <v>708</v>
      </c>
      <c r="O4" s="2" t="s">
        <v>709</v>
      </c>
      <c r="P4" s="289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290" t="s">
        <v>13</v>
      </c>
      <c r="W4" s="290" t="s">
        <v>14</v>
      </c>
      <c r="X4" s="290" t="s">
        <v>15</v>
      </c>
      <c r="Y4" s="290" t="s">
        <v>214</v>
      </c>
      <c r="Z4" s="290" t="s">
        <v>502</v>
      </c>
      <c r="AA4" s="290" t="s">
        <v>75</v>
      </c>
      <c r="AB4" s="385" t="s">
        <v>242</v>
      </c>
      <c r="AC4" s="290" t="s">
        <v>16</v>
      </c>
    </row>
    <row r="5" spans="1:29" ht="40.200000000000003" customHeight="1">
      <c r="A5" s="3">
        <v>1</v>
      </c>
      <c r="B5" s="3" t="e">
        <f>#REF!</f>
        <v>#REF!</v>
      </c>
      <c r="C5" s="213" t="e">
        <f>#REF!</f>
        <v>#REF!</v>
      </c>
      <c r="D5" s="4" t="e">
        <f>#REF!</f>
        <v>#REF!</v>
      </c>
      <c r="E5" s="4" t="e">
        <f>#REF!</f>
        <v>#REF!</v>
      </c>
      <c r="F5" s="4" t="e">
        <f>#REF!</f>
        <v>#REF!</v>
      </c>
      <c r="G5" s="4" t="e">
        <f>#REF!</f>
        <v>#REF!</v>
      </c>
      <c r="H5" s="4" t="e">
        <f>#REF!</f>
        <v>#REF!</v>
      </c>
      <c r="I5" s="4" t="e">
        <f>#REF!</f>
        <v>#REF!</v>
      </c>
      <c r="J5" s="4" t="e">
        <f>#REF!</f>
        <v>#REF!</v>
      </c>
      <c r="K5" s="4" t="e">
        <f>#REF!</f>
        <v>#REF!</v>
      </c>
      <c r="L5" s="4" t="e">
        <f>#REF!</f>
        <v>#REF!</v>
      </c>
      <c r="M5" s="4" t="e">
        <f>#REF!</f>
        <v>#REF!</v>
      </c>
      <c r="N5" s="4" t="e">
        <f>#REF!</f>
        <v>#REF!</v>
      </c>
      <c r="O5" s="4" t="e">
        <f>#REF!</f>
        <v>#REF!</v>
      </c>
      <c r="P5" s="4" t="e">
        <f>#REF!</f>
        <v>#REF!</v>
      </c>
      <c r="Q5" s="4" t="e">
        <f>#REF!</f>
        <v>#REF!</v>
      </c>
      <c r="R5" s="4" t="e">
        <f>#REF!</f>
        <v>#REF!</v>
      </c>
      <c r="S5" s="4" t="e">
        <f>#REF!</f>
        <v>#REF!</v>
      </c>
      <c r="T5" s="4" t="e">
        <f>#REF!</f>
        <v>#REF!</v>
      </c>
      <c r="U5" s="4" t="e">
        <f>#REF!</f>
        <v>#REF!</v>
      </c>
      <c r="V5" s="4" t="e">
        <f>#REF!</f>
        <v>#REF!</v>
      </c>
      <c r="W5" s="4" t="e">
        <f>#REF!</f>
        <v>#REF!</v>
      </c>
      <c r="X5" s="4" t="e">
        <f>#REF!</f>
        <v>#REF!</v>
      </c>
      <c r="Y5" s="4" t="e">
        <f>#REF!</f>
        <v>#REF!</v>
      </c>
      <c r="Z5" s="4" t="e">
        <f>#REF!</f>
        <v>#REF!</v>
      </c>
      <c r="AA5" s="4" t="e">
        <f>#REF!</f>
        <v>#REF!</v>
      </c>
      <c r="AB5" s="213" t="e">
        <f>#REF!</f>
        <v>#REF!</v>
      </c>
      <c r="AC5" s="3" t="e">
        <f>#REF!</f>
        <v>#REF!</v>
      </c>
    </row>
    <row r="6" spans="1:29" s="409" customFormat="1" ht="40.200000000000003" customHeight="1">
      <c r="A6" s="7"/>
      <c r="B6" s="7"/>
      <c r="C6" s="13" t="s">
        <v>535</v>
      </c>
      <c r="D6" s="8" t="e">
        <f>SUM(D5)</f>
        <v>#REF!</v>
      </c>
      <c r="E6" s="8" t="e">
        <f t="shared" ref="E6:AA6" si="0">SUM(E5)</f>
        <v>#REF!</v>
      </c>
      <c r="F6" s="8" t="e">
        <f t="shared" si="0"/>
        <v>#REF!</v>
      </c>
      <c r="G6" s="8" t="e">
        <f t="shared" si="0"/>
        <v>#REF!</v>
      </c>
      <c r="H6" s="8" t="e">
        <f t="shared" si="0"/>
        <v>#REF!</v>
      </c>
      <c r="I6" s="8" t="e">
        <f t="shared" si="0"/>
        <v>#REF!</v>
      </c>
      <c r="J6" s="8" t="e">
        <f t="shared" si="0"/>
        <v>#REF!</v>
      </c>
      <c r="K6" s="8" t="e">
        <f t="shared" si="0"/>
        <v>#REF!</v>
      </c>
      <c r="L6" s="8" t="e">
        <f t="shared" si="0"/>
        <v>#REF!</v>
      </c>
      <c r="M6" s="8" t="e">
        <f t="shared" si="0"/>
        <v>#REF!</v>
      </c>
      <c r="N6" s="8" t="e">
        <f t="shared" si="0"/>
        <v>#REF!</v>
      </c>
      <c r="O6" s="8" t="e">
        <f t="shared" si="0"/>
        <v>#REF!</v>
      </c>
      <c r="P6" s="8" t="e">
        <f t="shared" si="0"/>
        <v>#REF!</v>
      </c>
      <c r="Q6" s="8" t="e">
        <f t="shared" si="0"/>
        <v>#REF!</v>
      </c>
      <c r="R6" s="8" t="e">
        <f t="shared" si="0"/>
        <v>#REF!</v>
      </c>
      <c r="S6" s="8" t="e">
        <f t="shared" si="0"/>
        <v>#REF!</v>
      </c>
      <c r="T6" s="8" t="e">
        <f t="shared" si="0"/>
        <v>#REF!</v>
      </c>
      <c r="U6" s="8" t="e">
        <f t="shared" si="0"/>
        <v>#REF!</v>
      </c>
      <c r="V6" s="8" t="e">
        <f t="shared" si="0"/>
        <v>#REF!</v>
      </c>
      <c r="W6" s="8" t="e">
        <f t="shared" si="0"/>
        <v>#REF!</v>
      </c>
      <c r="X6" s="8" t="e">
        <f t="shared" si="0"/>
        <v>#REF!</v>
      </c>
      <c r="Y6" s="8" t="e">
        <f t="shared" si="0"/>
        <v>#REF!</v>
      </c>
      <c r="Z6" s="8" t="e">
        <f t="shared" si="0"/>
        <v>#REF!</v>
      </c>
      <c r="AA6" s="8" t="e">
        <f t="shared" si="0"/>
        <v>#REF!</v>
      </c>
      <c r="AB6" s="13"/>
      <c r="AC6" s="7"/>
    </row>
    <row r="7" spans="1:29" ht="40.200000000000003" customHeight="1">
      <c r="A7" s="3">
        <f>A5+1</f>
        <v>2</v>
      </c>
      <c r="B7" s="3" t="e">
        <f>#REF!</f>
        <v>#REF!</v>
      </c>
      <c r="C7" s="213" t="e">
        <f>#REF!</f>
        <v>#REF!</v>
      </c>
      <c r="D7" s="4" t="e">
        <f>#REF!</f>
        <v>#REF!</v>
      </c>
      <c r="E7" s="4" t="e">
        <f>#REF!</f>
        <v>#REF!</v>
      </c>
      <c r="F7" s="4" t="e">
        <f>#REF!</f>
        <v>#REF!</v>
      </c>
      <c r="G7" s="4" t="e">
        <f>#REF!</f>
        <v>#REF!</v>
      </c>
      <c r="H7" s="4" t="e">
        <f>#REF!</f>
        <v>#REF!</v>
      </c>
      <c r="I7" s="4" t="e">
        <f>#REF!</f>
        <v>#REF!</v>
      </c>
      <c r="J7" s="4" t="e">
        <f>#REF!</f>
        <v>#REF!</v>
      </c>
      <c r="K7" s="4" t="e">
        <f>#REF!</f>
        <v>#REF!</v>
      </c>
      <c r="L7" s="4" t="e">
        <f>#REF!</f>
        <v>#REF!</v>
      </c>
      <c r="M7" s="4" t="e">
        <f>#REF!</f>
        <v>#REF!</v>
      </c>
      <c r="N7" s="4" t="e">
        <f>#REF!</f>
        <v>#REF!</v>
      </c>
      <c r="O7" s="4" t="e">
        <f>#REF!</f>
        <v>#REF!</v>
      </c>
      <c r="P7" s="4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4" t="e">
        <f>#REF!</f>
        <v>#REF!</v>
      </c>
      <c r="V7" s="4" t="e">
        <f>#REF!</f>
        <v>#REF!</v>
      </c>
      <c r="W7" s="4" t="e">
        <f>#REF!</f>
        <v>#REF!</v>
      </c>
      <c r="X7" s="4" t="e">
        <f>#REF!</f>
        <v>#REF!</v>
      </c>
      <c r="Y7" s="4" t="e">
        <f>#REF!</f>
        <v>#REF!</v>
      </c>
      <c r="Z7" s="4" t="e">
        <f>#REF!</f>
        <v>#REF!</v>
      </c>
      <c r="AA7" s="4" t="e">
        <f>#REF!</f>
        <v>#REF!</v>
      </c>
      <c r="AB7" s="213" t="e">
        <f>#REF!</f>
        <v>#REF!</v>
      </c>
      <c r="AC7" s="3" t="e">
        <f>#REF!</f>
        <v>#REF!</v>
      </c>
    </row>
    <row r="8" spans="1:29" ht="40.200000000000003" customHeight="1">
      <c r="A8" s="3">
        <f>A7+1</f>
        <v>3</v>
      </c>
      <c r="B8" s="3" t="e">
        <f>#REF!</f>
        <v>#REF!</v>
      </c>
      <c r="C8" s="213" t="e">
        <f>#REF!</f>
        <v>#REF!</v>
      </c>
      <c r="D8" s="4" t="e">
        <f>#REF!</f>
        <v>#REF!</v>
      </c>
      <c r="E8" s="4" t="e">
        <f>#REF!</f>
        <v>#REF!</v>
      </c>
      <c r="F8" s="4" t="e">
        <f>#REF!</f>
        <v>#REF!</v>
      </c>
      <c r="G8" s="4" t="e">
        <f>#REF!</f>
        <v>#REF!</v>
      </c>
      <c r="H8" s="4" t="e">
        <f>#REF!</f>
        <v>#REF!</v>
      </c>
      <c r="I8" s="4" t="e">
        <f>#REF!</f>
        <v>#REF!</v>
      </c>
      <c r="J8" s="4" t="e">
        <f>#REF!</f>
        <v>#REF!</v>
      </c>
      <c r="K8" s="4" t="e">
        <f>#REF!</f>
        <v>#REF!</v>
      </c>
      <c r="L8" s="4" t="e">
        <f>#REF!</f>
        <v>#REF!</v>
      </c>
      <c r="M8" s="4" t="e">
        <f>#REF!</f>
        <v>#REF!</v>
      </c>
      <c r="N8" s="4" t="e">
        <f>#REF!</f>
        <v>#REF!</v>
      </c>
      <c r="O8" s="4" t="e">
        <f>#REF!</f>
        <v>#REF!</v>
      </c>
      <c r="P8" s="4" t="e">
        <f>#REF!</f>
        <v>#REF!</v>
      </c>
      <c r="Q8" s="4" t="e">
        <f>#REF!</f>
        <v>#REF!</v>
      </c>
      <c r="R8" s="4" t="e">
        <f>#REF!</f>
        <v>#REF!</v>
      </c>
      <c r="S8" s="4" t="e">
        <f>#REF!</f>
        <v>#REF!</v>
      </c>
      <c r="T8" s="4" t="e">
        <f>#REF!</f>
        <v>#REF!</v>
      </c>
      <c r="U8" s="4" t="e">
        <f>#REF!</f>
        <v>#REF!</v>
      </c>
      <c r="V8" s="4" t="e">
        <f>#REF!</f>
        <v>#REF!</v>
      </c>
      <c r="W8" s="4" t="e">
        <f>#REF!</f>
        <v>#REF!</v>
      </c>
      <c r="X8" s="4" t="e">
        <f>#REF!</f>
        <v>#REF!</v>
      </c>
      <c r="Y8" s="4" t="e">
        <f>#REF!</f>
        <v>#REF!</v>
      </c>
      <c r="Z8" s="4" t="e">
        <f>#REF!</f>
        <v>#REF!</v>
      </c>
      <c r="AA8" s="4" t="e">
        <f>#REF!</f>
        <v>#REF!</v>
      </c>
      <c r="AB8" s="213" t="e">
        <f>#REF!</f>
        <v>#REF!</v>
      </c>
      <c r="AC8" s="3" t="e">
        <f>#REF!</f>
        <v>#REF!</v>
      </c>
    </row>
    <row r="9" spans="1:29" ht="40.200000000000003" customHeight="1">
      <c r="A9" s="3">
        <f>A8+1</f>
        <v>4</v>
      </c>
      <c r="B9" s="3" t="e">
        <f>#REF!</f>
        <v>#REF!</v>
      </c>
      <c r="C9" s="213" t="e">
        <f>#REF!</f>
        <v>#REF!</v>
      </c>
      <c r="D9" s="4" t="e">
        <f>#REF!</f>
        <v>#REF!</v>
      </c>
      <c r="E9" s="4" t="e">
        <f>#REF!</f>
        <v>#REF!</v>
      </c>
      <c r="F9" s="4" t="e">
        <f>#REF!</f>
        <v>#REF!</v>
      </c>
      <c r="G9" s="4" t="e">
        <f>#REF!</f>
        <v>#REF!</v>
      </c>
      <c r="H9" s="4" t="e">
        <f>#REF!</f>
        <v>#REF!</v>
      </c>
      <c r="I9" s="4" t="e">
        <f>#REF!</f>
        <v>#REF!</v>
      </c>
      <c r="J9" s="4" t="e">
        <f>#REF!</f>
        <v>#REF!</v>
      </c>
      <c r="K9" s="4" t="e">
        <f>#REF!</f>
        <v>#REF!</v>
      </c>
      <c r="L9" s="4" t="e">
        <f>#REF!</f>
        <v>#REF!</v>
      </c>
      <c r="M9" s="4" t="e">
        <f>#REF!</f>
        <v>#REF!</v>
      </c>
      <c r="N9" s="4" t="e">
        <f>#REF!</f>
        <v>#REF!</v>
      </c>
      <c r="O9" s="4" t="e">
        <f>#REF!</f>
        <v>#REF!</v>
      </c>
      <c r="P9" s="4" t="e">
        <f>#REF!</f>
        <v>#REF!</v>
      </c>
      <c r="Q9" s="4" t="e">
        <f>#REF!</f>
        <v>#REF!</v>
      </c>
      <c r="R9" s="4" t="e">
        <f>#REF!</f>
        <v>#REF!</v>
      </c>
      <c r="S9" s="4" t="e">
        <f>#REF!</f>
        <v>#REF!</v>
      </c>
      <c r="T9" s="4" t="e">
        <f>#REF!</f>
        <v>#REF!</v>
      </c>
      <c r="U9" s="4" t="e">
        <f>#REF!</f>
        <v>#REF!</v>
      </c>
      <c r="V9" s="4" t="e">
        <f>#REF!</f>
        <v>#REF!</v>
      </c>
      <c r="W9" s="4" t="e">
        <f>#REF!</f>
        <v>#REF!</v>
      </c>
      <c r="X9" s="4" t="e">
        <f>#REF!</f>
        <v>#REF!</v>
      </c>
      <c r="Y9" s="4" t="e">
        <f>#REF!</f>
        <v>#REF!</v>
      </c>
      <c r="Z9" s="4" t="e">
        <f>#REF!</f>
        <v>#REF!</v>
      </c>
      <c r="AA9" s="4" t="e">
        <f>#REF!</f>
        <v>#REF!</v>
      </c>
      <c r="AB9" s="213" t="e">
        <f>#REF!</f>
        <v>#REF!</v>
      </c>
      <c r="AC9" s="3" t="e">
        <f>#REF!</f>
        <v>#REF!</v>
      </c>
    </row>
    <row r="10" spans="1:29" ht="40.200000000000003" customHeight="1">
      <c r="A10" s="3">
        <f>A9+1</f>
        <v>5</v>
      </c>
      <c r="B10" s="3" t="e">
        <f>#REF!</f>
        <v>#REF!</v>
      </c>
      <c r="C10" s="213" t="e">
        <f>#REF!</f>
        <v>#REF!</v>
      </c>
      <c r="D10" s="4" t="e">
        <f>#REF!</f>
        <v>#REF!</v>
      </c>
      <c r="E10" s="4" t="e">
        <f>#REF!</f>
        <v>#REF!</v>
      </c>
      <c r="F10" s="4" t="e">
        <f>#REF!</f>
        <v>#REF!</v>
      </c>
      <c r="G10" s="4" t="e">
        <f>#REF!</f>
        <v>#REF!</v>
      </c>
      <c r="H10" s="4" t="e">
        <f>#REF!</f>
        <v>#REF!</v>
      </c>
      <c r="I10" s="4" t="e">
        <f>#REF!</f>
        <v>#REF!</v>
      </c>
      <c r="J10" s="4" t="e">
        <f>#REF!</f>
        <v>#REF!</v>
      </c>
      <c r="K10" s="4" t="e">
        <f>#REF!</f>
        <v>#REF!</v>
      </c>
      <c r="L10" s="4" t="e">
        <f>#REF!</f>
        <v>#REF!</v>
      </c>
      <c r="M10" s="4" t="e">
        <f>#REF!</f>
        <v>#REF!</v>
      </c>
      <c r="N10" s="4" t="e">
        <f>#REF!</f>
        <v>#REF!</v>
      </c>
      <c r="O10" s="4" t="e">
        <f>#REF!</f>
        <v>#REF!</v>
      </c>
      <c r="P10" s="4" t="e">
        <f>#REF!</f>
        <v>#REF!</v>
      </c>
      <c r="Q10" s="4" t="e">
        <f>#REF!</f>
        <v>#REF!</v>
      </c>
      <c r="R10" s="4" t="e">
        <f>#REF!</f>
        <v>#REF!</v>
      </c>
      <c r="S10" s="4" t="e">
        <f>#REF!</f>
        <v>#REF!</v>
      </c>
      <c r="T10" s="4" t="e">
        <f>#REF!</f>
        <v>#REF!</v>
      </c>
      <c r="U10" s="4" t="e">
        <f>#REF!</f>
        <v>#REF!</v>
      </c>
      <c r="V10" s="4" t="e">
        <f>#REF!</f>
        <v>#REF!</v>
      </c>
      <c r="W10" s="4" t="e">
        <f>#REF!</f>
        <v>#REF!</v>
      </c>
      <c r="X10" s="4" t="e">
        <f>#REF!</f>
        <v>#REF!</v>
      </c>
      <c r="Y10" s="4" t="e">
        <f>#REF!</f>
        <v>#REF!</v>
      </c>
      <c r="Z10" s="4" t="e">
        <f>#REF!</f>
        <v>#REF!</v>
      </c>
      <c r="AA10" s="4" t="e">
        <f>#REF!</f>
        <v>#REF!</v>
      </c>
      <c r="AB10" s="213" t="e">
        <f>#REF!</f>
        <v>#REF!</v>
      </c>
      <c r="AC10" s="3" t="e">
        <f>#REF!</f>
        <v>#REF!</v>
      </c>
    </row>
    <row r="11" spans="1:29" ht="40.200000000000003" customHeight="1">
      <c r="A11" s="3">
        <f t="shared" ref="A11:A79" si="1">A10+1</f>
        <v>6</v>
      </c>
      <c r="B11" s="3" t="e">
        <f>#REF!</f>
        <v>#REF!</v>
      </c>
      <c r="C11" s="213" t="e">
        <f>#REF!</f>
        <v>#REF!</v>
      </c>
      <c r="D11" s="4" t="e">
        <f>#REF!</f>
        <v>#REF!</v>
      </c>
      <c r="E11" s="4" t="e">
        <f>#REF!</f>
        <v>#REF!</v>
      </c>
      <c r="F11" s="4" t="e">
        <f>#REF!</f>
        <v>#REF!</v>
      </c>
      <c r="G11" s="4" t="e">
        <f>#REF!</f>
        <v>#REF!</v>
      </c>
      <c r="H11" s="4" t="e">
        <f>#REF!</f>
        <v>#REF!</v>
      </c>
      <c r="I11" s="4" t="e">
        <f>#REF!</f>
        <v>#REF!</v>
      </c>
      <c r="J11" s="4" t="e">
        <f>#REF!</f>
        <v>#REF!</v>
      </c>
      <c r="K11" s="4" t="e">
        <f>#REF!</f>
        <v>#REF!</v>
      </c>
      <c r="L11" s="4" t="e">
        <f>#REF!</f>
        <v>#REF!</v>
      </c>
      <c r="M11" s="4" t="e">
        <f>#REF!</f>
        <v>#REF!</v>
      </c>
      <c r="N11" s="4" t="e">
        <f>#REF!</f>
        <v>#REF!</v>
      </c>
      <c r="O11" s="4" t="e">
        <f>#REF!</f>
        <v>#REF!</v>
      </c>
      <c r="P11" s="4" t="e">
        <f>#REF!</f>
        <v>#REF!</v>
      </c>
      <c r="Q11" s="4" t="e">
        <f>#REF!</f>
        <v>#REF!</v>
      </c>
      <c r="R11" s="4" t="e">
        <f>#REF!</f>
        <v>#REF!</v>
      </c>
      <c r="S11" s="4" t="e">
        <f>#REF!</f>
        <v>#REF!</v>
      </c>
      <c r="T11" s="4" t="e">
        <f>#REF!</f>
        <v>#REF!</v>
      </c>
      <c r="U11" s="4" t="e">
        <f>#REF!</f>
        <v>#REF!</v>
      </c>
      <c r="V11" s="4" t="e">
        <f>#REF!</f>
        <v>#REF!</v>
      </c>
      <c r="W11" s="4" t="e">
        <f>#REF!</f>
        <v>#REF!</v>
      </c>
      <c r="X11" s="4" t="e">
        <f>#REF!</f>
        <v>#REF!</v>
      </c>
      <c r="Y11" s="4" t="e">
        <f>#REF!</f>
        <v>#REF!</v>
      </c>
      <c r="Z11" s="4" t="e">
        <f>#REF!</f>
        <v>#REF!</v>
      </c>
      <c r="AA11" s="4" t="e">
        <f>#REF!</f>
        <v>#REF!</v>
      </c>
      <c r="AB11" s="213" t="e">
        <f>#REF!</f>
        <v>#REF!</v>
      </c>
      <c r="AC11" s="3" t="e">
        <f>#REF!</f>
        <v>#REF!</v>
      </c>
    </row>
    <row r="12" spans="1:29" ht="40.200000000000003" customHeight="1">
      <c r="A12" s="3">
        <f t="shared" si="1"/>
        <v>7</v>
      </c>
      <c r="B12" s="3" t="e">
        <f>#REF!</f>
        <v>#REF!</v>
      </c>
      <c r="C12" s="213" t="e">
        <f>#REF!</f>
        <v>#REF!</v>
      </c>
      <c r="D12" s="4" t="e">
        <f>#REF!</f>
        <v>#REF!</v>
      </c>
      <c r="E12" s="4" t="e">
        <f>#REF!</f>
        <v>#REF!</v>
      </c>
      <c r="F12" s="4" t="e">
        <f>#REF!</f>
        <v>#REF!</v>
      </c>
      <c r="G12" s="4" t="e">
        <f>#REF!</f>
        <v>#REF!</v>
      </c>
      <c r="H12" s="4" t="e">
        <f>#REF!</f>
        <v>#REF!</v>
      </c>
      <c r="I12" s="4" t="e">
        <f>#REF!</f>
        <v>#REF!</v>
      </c>
      <c r="J12" s="4" t="e">
        <f>#REF!</f>
        <v>#REF!</v>
      </c>
      <c r="K12" s="4" t="e">
        <f>#REF!</f>
        <v>#REF!</v>
      </c>
      <c r="L12" s="4" t="e">
        <f>#REF!</f>
        <v>#REF!</v>
      </c>
      <c r="M12" s="4" t="e">
        <f>#REF!</f>
        <v>#REF!</v>
      </c>
      <c r="N12" s="4" t="e">
        <f>#REF!</f>
        <v>#REF!</v>
      </c>
      <c r="O12" s="4" t="e">
        <f>#REF!</f>
        <v>#REF!</v>
      </c>
      <c r="P12" s="4" t="e">
        <f>#REF!</f>
        <v>#REF!</v>
      </c>
      <c r="Q12" s="4" t="e">
        <f>#REF!</f>
        <v>#REF!</v>
      </c>
      <c r="R12" s="4" t="e">
        <f>#REF!</f>
        <v>#REF!</v>
      </c>
      <c r="S12" s="4" t="e">
        <f>#REF!</f>
        <v>#REF!</v>
      </c>
      <c r="T12" s="4" t="e">
        <f>#REF!</f>
        <v>#REF!</v>
      </c>
      <c r="U12" s="4" t="e">
        <f>#REF!</f>
        <v>#REF!</v>
      </c>
      <c r="V12" s="4" t="e">
        <f>#REF!</f>
        <v>#REF!</v>
      </c>
      <c r="W12" s="4" t="e">
        <f>#REF!</f>
        <v>#REF!</v>
      </c>
      <c r="X12" s="4" t="e">
        <f>#REF!</f>
        <v>#REF!</v>
      </c>
      <c r="Y12" s="4" t="e">
        <f>#REF!</f>
        <v>#REF!</v>
      </c>
      <c r="Z12" s="4" t="e">
        <f>#REF!</f>
        <v>#REF!</v>
      </c>
      <c r="AA12" s="4" t="e">
        <f>#REF!</f>
        <v>#REF!</v>
      </c>
      <c r="AB12" s="213" t="e">
        <f>#REF!</f>
        <v>#REF!</v>
      </c>
      <c r="AC12" s="3" t="e">
        <f>#REF!</f>
        <v>#REF!</v>
      </c>
    </row>
    <row r="13" spans="1:29" ht="40.200000000000003" customHeight="1">
      <c r="A13" s="3">
        <f t="shared" si="1"/>
        <v>8</v>
      </c>
      <c r="B13" s="3" t="e">
        <f>#REF!</f>
        <v>#REF!</v>
      </c>
      <c r="C13" s="213" t="e">
        <f>#REF!</f>
        <v>#REF!</v>
      </c>
      <c r="D13" s="4" t="e">
        <f>#REF!</f>
        <v>#REF!</v>
      </c>
      <c r="E13" s="4" t="e">
        <f>#REF!</f>
        <v>#REF!</v>
      </c>
      <c r="F13" s="4" t="e">
        <f>#REF!</f>
        <v>#REF!</v>
      </c>
      <c r="G13" s="4" t="e">
        <f>#REF!</f>
        <v>#REF!</v>
      </c>
      <c r="H13" s="4" t="e">
        <f>#REF!</f>
        <v>#REF!</v>
      </c>
      <c r="I13" s="4" t="e">
        <f>#REF!</f>
        <v>#REF!</v>
      </c>
      <c r="J13" s="4" t="e">
        <f>#REF!</f>
        <v>#REF!</v>
      </c>
      <c r="K13" s="4" t="e">
        <f>#REF!</f>
        <v>#REF!</v>
      </c>
      <c r="L13" s="4" t="e">
        <f>#REF!</f>
        <v>#REF!</v>
      </c>
      <c r="M13" s="4" t="e">
        <f>#REF!</f>
        <v>#REF!</v>
      </c>
      <c r="N13" s="4" t="e">
        <f>#REF!</f>
        <v>#REF!</v>
      </c>
      <c r="O13" s="4" t="e">
        <f>#REF!</f>
        <v>#REF!</v>
      </c>
      <c r="P13" s="4" t="e">
        <f>#REF!</f>
        <v>#REF!</v>
      </c>
      <c r="Q13" s="4" t="e">
        <f>#REF!</f>
        <v>#REF!</v>
      </c>
      <c r="R13" s="4" t="e">
        <f>#REF!</f>
        <v>#REF!</v>
      </c>
      <c r="S13" s="4" t="e">
        <f>#REF!</f>
        <v>#REF!</v>
      </c>
      <c r="T13" s="4" t="e">
        <f>#REF!</f>
        <v>#REF!</v>
      </c>
      <c r="U13" s="4" t="e">
        <f>#REF!</f>
        <v>#REF!</v>
      </c>
      <c r="V13" s="4" t="e">
        <f>#REF!</f>
        <v>#REF!</v>
      </c>
      <c r="W13" s="4" t="e">
        <f>#REF!</f>
        <v>#REF!</v>
      </c>
      <c r="X13" s="4" t="e">
        <f>#REF!</f>
        <v>#REF!</v>
      </c>
      <c r="Y13" s="4" t="e">
        <f>#REF!</f>
        <v>#REF!</v>
      </c>
      <c r="Z13" s="4" t="e">
        <f>#REF!</f>
        <v>#REF!</v>
      </c>
      <c r="AA13" s="4" t="e">
        <f>#REF!</f>
        <v>#REF!</v>
      </c>
      <c r="AB13" s="213" t="e">
        <f>#REF!</f>
        <v>#REF!</v>
      </c>
      <c r="AC13" s="3" t="e">
        <f>#REF!</f>
        <v>#REF!</v>
      </c>
    </row>
    <row r="14" spans="1:29" s="409" customFormat="1" ht="40.200000000000003" customHeight="1">
      <c r="A14" s="7"/>
      <c r="B14" s="7"/>
      <c r="C14" s="13" t="s">
        <v>536</v>
      </c>
      <c r="D14" s="8" t="e">
        <f>SUM(D7:D13)</f>
        <v>#REF!</v>
      </c>
      <c r="E14" s="8" t="e">
        <f t="shared" ref="E14:AA14" si="2">SUM(E7:E13)</f>
        <v>#REF!</v>
      </c>
      <c r="F14" s="8" t="e">
        <f t="shared" si="2"/>
        <v>#REF!</v>
      </c>
      <c r="G14" s="8" t="e">
        <f t="shared" si="2"/>
        <v>#REF!</v>
      </c>
      <c r="H14" s="8" t="e">
        <f t="shared" si="2"/>
        <v>#REF!</v>
      </c>
      <c r="I14" s="8" t="e">
        <f t="shared" si="2"/>
        <v>#REF!</v>
      </c>
      <c r="J14" s="8" t="e">
        <f t="shared" si="2"/>
        <v>#REF!</v>
      </c>
      <c r="K14" s="8" t="e">
        <f t="shared" si="2"/>
        <v>#REF!</v>
      </c>
      <c r="L14" s="8" t="e">
        <f t="shared" si="2"/>
        <v>#REF!</v>
      </c>
      <c r="M14" s="8" t="e">
        <f t="shared" si="2"/>
        <v>#REF!</v>
      </c>
      <c r="N14" s="8" t="e">
        <f t="shared" si="2"/>
        <v>#REF!</v>
      </c>
      <c r="O14" s="8" t="e">
        <f t="shared" si="2"/>
        <v>#REF!</v>
      </c>
      <c r="P14" s="8" t="e">
        <f t="shared" si="2"/>
        <v>#REF!</v>
      </c>
      <c r="Q14" s="8" t="e">
        <f t="shared" si="2"/>
        <v>#REF!</v>
      </c>
      <c r="R14" s="8" t="e">
        <f t="shared" si="2"/>
        <v>#REF!</v>
      </c>
      <c r="S14" s="8" t="e">
        <f t="shared" si="2"/>
        <v>#REF!</v>
      </c>
      <c r="T14" s="8" t="e">
        <f t="shared" si="2"/>
        <v>#REF!</v>
      </c>
      <c r="U14" s="8" t="e">
        <f t="shared" si="2"/>
        <v>#REF!</v>
      </c>
      <c r="V14" s="8" t="e">
        <f t="shared" si="2"/>
        <v>#REF!</v>
      </c>
      <c r="W14" s="8" t="e">
        <f t="shared" si="2"/>
        <v>#REF!</v>
      </c>
      <c r="X14" s="8" t="e">
        <f t="shared" si="2"/>
        <v>#REF!</v>
      </c>
      <c r="Y14" s="8" t="e">
        <f t="shared" si="2"/>
        <v>#REF!</v>
      </c>
      <c r="Z14" s="8" t="e">
        <f t="shared" si="2"/>
        <v>#REF!</v>
      </c>
      <c r="AA14" s="8" t="e">
        <f t="shared" si="2"/>
        <v>#REF!</v>
      </c>
      <c r="AB14" s="13"/>
      <c r="AC14" s="7"/>
    </row>
    <row r="15" spans="1:29" ht="40.200000000000003" customHeight="1">
      <c r="A15" s="3">
        <f>A13+1</f>
        <v>9</v>
      </c>
      <c r="B15" s="3" t="e">
        <f>#REF!</f>
        <v>#REF!</v>
      </c>
      <c r="C15" s="213" t="e">
        <f>#REF!</f>
        <v>#REF!</v>
      </c>
      <c r="D15" s="4" t="e">
        <f>#REF!</f>
        <v>#REF!</v>
      </c>
      <c r="E15" s="4" t="e">
        <f>#REF!</f>
        <v>#REF!</v>
      </c>
      <c r="F15" s="4" t="e">
        <f>#REF!</f>
        <v>#REF!</v>
      </c>
      <c r="G15" s="4" t="e">
        <f>#REF!</f>
        <v>#REF!</v>
      </c>
      <c r="H15" s="4" t="e">
        <f>#REF!</f>
        <v>#REF!</v>
      </c>
      <c r="I15" s="4" t="e">
        <f>#REF!</f>
        <v>#REF!</v>
      </c>
      <c r="J15" s="4" t="e">
        <f>#REF!</f>
        <v>#REF!</v>
      </c>
      <c r="K15" s="4" t="e">
        <f>#REF!</f>
        <v>#REF!</v>
      </c>
      <c r="L15" s="4" t="e">
        <f>#REF!</f>
        <v>#REF!</v>
      </c>
      <c r="M15" s="4" t="e">
        <f>#REF!</f>
        <v>#REF!</v>
      </c>
      <c r="N15" s="4" t="e">
        <f>#REF!</f>
        <v>#REF!</v>
      </c>
      <c r="O15" s="4" t="e">
        <f>#REF!</f>
        <v>#REF!</v>
      </c>
      <c r="P15" s="4" t="e">
        <f>#REF!</f>
        <v>#REF!</v>
      </c>
      <c r="Q15" s="4" t="e">
        <f>#REF!</f>
        <v>#REF!</v>
      </c>
      <c r="R15" s="4" t="e">
        <f>#REF!</f>
        <v>#REF!</v>
      </c>
      <c r="S15" s="4" t="e">
        <f>#REF!</f>
        <v>#REF!</v>
      </c>
      <c r="T15" s="4" t="e">
        <f>#REF!</f>
        <v>#REF!</v>
      </c>
      <c r="U15" s="4" t="e">
        <f>#REF!</f>
        <v>#REF!</v>
      </c>
      <c r="V15" s="4" t="e">
        <f>#REF!</f>
        <v>#REF!</v>
      </c>
      <c r="W15" s="4" t="e">
        <f>#REF!</f>
        <v>#REF!</v>
      </c>
      <c r="X15" s="4" t="e">
        <f>#REF!</f>
        <v>#REF!</v>
      </c>
      <c r="Y15" s="4" t="e">
        <f>#REF!</f>
        <v>#REF!</v>
      </c>
      <c r="Z15" s="4" t="e">
        <f>#REF!</f>
        <v>#REF!</v>
      </c>
      <c r="AA15" s="4" t="e">
        <f>#REF!</f>
        <v>#REF!</v>
      </c>
      <c r="AB15" s="213" t="e">
        <f>#REF!</f>
        <v>#REF!</v>
      </c>
      <c r="AC15" s="3" t="e">
        <f>#REF!</f>
        <v>#REF!</v>
      </c>
    </row>
    <row r="16" spans="1:29" s="409" customFormat="1" ht="40.200000000000003" customHeight="1">
      <c r="A16" s="7"/>
      <c r="B16" s="7"/>
      <c r="C16" s="13" t="s">
        <v>525</v>
      </c>
      <c r="D16" s="8" t="e">
        <f>SUM(D15)</f>
        <v>#REF!</v>
      </c>
      <c r="E16" s="8" t="e">
        <f t="shared" ref="E16:AA16" si="3">SUM(E15)</f>
        <v>#REF!</v>
      </c>
      <c r="F16" s="8" t="e">
        <f t="shared" si="3"/>
        <v>#REF!</v>
      </c>
      <c r="G16" s="8" t="e">
        <f t="shared" si="3"/>
        <v>#REF!</v>
      </c>
      <c r="H16" s="8" t="e">
        <f t="shared" si="3"/>
        <v>#REF!</v>
      </c>
      <c r="I16" s="8" t="e">
        <f t="shared" si="3"/>
        <v>#REF!</v>
      </c>
      <c r="J16" s="8" t="e">
        <f t="shared" si="3"/>
        <v>#REF!</v>
      </c>
      <c r="K16" s="8" t="e">
        <f t="shared" si="3"/>
        <v>#REF!</v>
      </c>
      <c r="L16" s="8" t="e">
        <f t="shared" si="3"/>
        <v>#REF!</v>
      </c>
      <c r="M16" s="8" t="e">
        <f t="shared" si="3"/>
        <v>#REF!</v>
      </c>
      <c r="N16" s="8" t="e">
        <f t="shared" si="3"/>
        <v>#REF!</v>
      </c>
      <c r="O16" s="8" t="e">
        <f t="shared" si="3"/>
        <v>#REF!</v>
      </c>
      <c r="P16" s="8" t="e">
        <f t="shared" si="3"/>
        <v>#REF!</v>
      </c>
      <c r="Q16" s="8" t="e">
        <f t="shared" si="3"/>
        <v>#REF!</v>
      </c>
      <c r="R16" s="8" t="e">
        <f t="shared" si="3"/>
        <v>#REF!</v>
      </c>
      <c r="S16" s="8" t="e">
        <f t="shared" si="3"/>
        <v>#REF!</v>
      </c>
      <c r="T16" s="8" t="e">
        <f t="shared" si="3"/>
        <v>#REF!</v>
      </c>
      <c r="U16" s="8" t="e">
        <f t="shared" si="3"/>
        <v>#REF!</v>
      </c>
      <c r="V16" s="8" t="e">
        <f t="shared" si="3"/>
        <v>#REF!</v>
      </c>
      <c r="W16" s="8" t="e">
        <f t="shared" si="3"/>
        <v>#REF!</v>
      </c>
      <c r="X16" s="8" t="e">
        <f t="shared" si="3"/>
        <v>#REF!</v>
      </c>
      <c r="Y16" s="8" t="e">
        <f t="shared" si="3"/>
        <v>#REF!</v>
      </c>
      <c r="Z16" s="8" t="e">
        <f t="shared" si="3"/>
        <v>#REF!</v>
      </c>
      <c r="AA16" s="8" t="e">
        <f t="shared" si="3"/>
        <v>#REF!</v>
      </c>
      <c r="AB16" s="13"/>
      <c r="AC16" s="7"/>
    </row>
    <row r="17" spans="1:29" ht="40.200000000000003" customHeight="1">
      <c r="A17" s="3">
        <f>A15+1</f>
        <v>10</v>
      </c>
      <c r="B17" s="3" t="e">
        <f>#REF!</f>
        <v>#REF!</v>
      </c>
      <c r="C17" s="213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4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213" t="e">
        <f>#REF!</f>
        <v>#REF!</v>
      </c>
      <c r="AC17" s="3" t="e">
        <f>#REF!</f>
        <v>#REF!</v>
      </c>
    </row>
    <row r="18" spans="1:29" ht="40.200000000000003" customHeight="1">
      <c r="A18" s="3">
        <f t="shared" si="1"/>
        <v>11</v>
      </c>
      <c r="B18" s="3" t="e">
        <f>#REF!</f>
        <v>#REF!</v>
      </c>
      <c r="C18" s="213" t="e">
        <f>#REF!</f>
        <v>#REF!</v>
      </c>
      <c r="D18" s="4" t="e">
        <f>#REF!</f>
        <v>#REF!</v>
      </c>
      <c r="E18" s="4" t="e">
        <f>#REF!</f>
        <v>#REF!</v>
      </c>
      <c r="F18" s="4" t="e">
        <f>#REF!</f>
        <v>#REF!</v>
      </c>
      <c r="G18" s="4" t="e">
        <f>#REF!</f>
        <v>#REF!</v>
      </c>
      <c r="H18" s="4" t="e">
        <f>#REF!</f>
        <v>#REF!</v>
      </c>
      <c r="I18" s="4" t="e">
        <f>#REF!</f>
        <v>#REF!</v>
      </c>
      <c r="J18" s="4" t="e">
        <f>#REF!</f>
        <v>#REF!</v>
      </c>
      <c r="K18" s="4" t="e">
        <f>#REF!</f>
        <v>#REF!</v>
      </c>
      <c r="L18" s="4" t="e">
        <f>#REF!</f>
        <v>#REF!</v>
      </c>
      <c r="M18" s="4" t="e">
        <f>#REF!</f>
        <v>#REF!</v>
      </c>
      <c r="N18" s="4" t="e">
        <f>#REF!</f>
        <v>#REF!</v>
      </c>
      <c r="O18" s="4" t="e">
        <f>#REF!</f>
        <v>#REF!</v>
      </c>
      <c r="P18" s="4" t="e">
        <f>#REF!</f>
        <v>#REF!</v>
      </c>
      <c r="Q18" s="4" t="e">
        <f>#REF!</f>
        <v>#REF!</v>
      </c>
      <c r="R18" s="4" t="e">
        <f>#REF!</f>
        <v>#REF!</v>
      </c>
      <c r="S18" s="4" t="e">
        <f>#REF!</f>
        <v>#REF!</v>
      </c>
      <c r="T18" s="4" t="e">
        <f>#REF!</f>
        <v>#REF!</v>
      </c>
      <c r="U18" s="4" t="e">
        <f>#REF!</f>
        <v>#REF!</v>
      </c>
      <c r="V18" s="4" t="e">
        <f>#REF!</f>
        <v>#REF!</v>
      </c>
      <c r="W18" s="4" t="e">
        <f>#REF!</f>
        <v>#REF!</v>
      </c>
      <c r="X18" s="4" t="e">
        <f>#REF!</f>
        <v>#REF!</v>
      </c>
      <c r="Y18" s="4" t="e">
        <f>#REF!</f>
        <v>#REF!</v>
      </c>
      <c r="Z18" s="4" t="e">
        <f>#REF!</f>
        <v>#REF!</v>
      </c>
      <c r="AA18" s="4" t="e">
        <f>#REF!</f>
        <v>#REF!</v>
      </c>
      <c r="AB18" s="213" t="e">
        <f>#REF!</f>
        <v>#REF!</v>
      </c>
      <c r="AC18" s="3" t="e">
        <f>#REF!</f>
        <v>#REF!</v>
      </c>
    </row>
    <row r="19" spans="1:29" ht="40.200000000000003" customHeight="1">
      <c r="A19" s="3">
        <f t="shared" si="1"/>
        <v>12</v>
      </c>
      <c r="B19" s="3" t="e">
        <f>#REF!</f>
        <v>#REF!</v>
      </c>
      <c r="C19" s="213" t="e">
        <f>#REF!</f>
        <v>#REF!</v>
      </c>
      <c r="D19" s="4" t="e">
        <f>#REF!</f>
        <v>#REF!</v>
      </c>
      <c r="E19" s="4" t="e">
        <f>#REF!</f>
        <v>#REF!</v>
      </c>
      <c r="F19" s="4" t="e">
        <f>#REF!</f>
        <v>#REF!</v>
      </c>
      <c r="G19" s="4" t="e">
        <f>#REF!</f>
        <v>#REF!</v>
      </c>
      <c r="H19" s="4" t="e">
        <f>#REF!</f>
        <v>#REF!</v>
      </c>
      <c r="I19" s="4" t="e">
        <f>#REF!</f>
        <v>#REF!</v>
      </c>
      <c r="J19" s="4" t="e">
        <f>#REF!</f>
        <v>#REF!</v>
      </c>
      <c r="K19" s="4" t="e">
        <f>#REF!</f>
        <v>#REF!</v>
      </c>
      <c r="L19" s="4" t="e">
        <f>#REF!</f>
        <v>#REF!</v>
      </c>
      <c r="M19" s="4" t="e">
        <f>#REF!</f>
        <v>#REF!</v>
      </c>
      <c r="N19" s="4" t="e">
        <f>#REF!</f>
        <v>#REF!</v>
      </c>
      <c r="O19" s="4" t="e">
        <f>#REF!</f>
        <v>#REF!</v>
      </c>
      <c r="P19" s="4" t="e">
        <f>#REF!</f>
        <v>#REF!</v>
      </c>
      <c r="Q19" s="4" t="e">
        <f>#REF!</f>
        <v>#REF!</v>
      </c>
      <c r="R19" s="4" t="e">
        <f>#REF!</f>
        <v>#REF!</v>
      </c>
      <c r="S19" s="4" t="e">
        <f>#REF!</f>
        <v>#REF!</v>
      </c>
      <c r="T19" s="4" t="e">
        <f>#REF!</f>
        <v>#REF!</v>
      </c>
      <c r="U19" s="4" t="e">
        <f>#REF!</f>
        <v>#REF!</v>
      </c>
      <c r="V19" s="4" t="e">
        <f>#REF!</f>
        <v>#REF!</v>
      </c>
      <c r="W19" s="4" t="e">
        <f>#REF!</f>
        <v>#REF!</v>
      </c>
      <c r="X19" s="4" t="e">
        <f>#REF!</f>
        <v>#REF!</v>
      </c>
      <c r="Y19" s="4" t="e">
        <f>#REF!</f>
        <v>#REF!</v>
      </c>
      <c r="Z19" s="4" t="e">
        <f>#REF!</f>
        <v>#REF!</v>
      </c>
      <c r="AA19" s="4" t="e">
        <f>#REF!</f>
        <v>#REF!</v>
      </c>
      <c r="AB19" s="213" t="e">
        <f>#REF!</f>
        <v>#REF!</v>
      </c>
      <c r="AC19" s="3" t="e">
        <f>#REF!</f>
        <v>#REF!</v>
      </c>
    </row>
    <row r="20" spans="1:29" ht="40.200000000000003" customHeight="1">
      <c r="A20" s="3">
        <f t="shared" si="1"/>
        <v>13</v>
      </c>
      <c r="B20" s="3" t="e">
        <f>#REF!</f>
        <v>#REF!</v>
      </c>
      <c r="C20" s="213" t="e">
        <f>#REF!</f>
        <v>#REF!</v>
      </c>
      <c r="D20" s="4" t="e">
        <f>#REF!</f>
        <v>#REF!</v>
      </c>
      <c r="E20" s="4" t="e">
        <f>#REF!</f>
        <v>#REF!</v>
      </c>
      <c r="F20" s="4" t="e">
        <f>#REF!</f>
        <v>#REF!</v>
      </c>
      <c r="G20" s="4" t="e">
        <f>#REF!</f>
        <v>#REF!</v>
      </c>
      <c r="H20" s="4" t="e">
        <f>#REF!</f>
        <v>#REF!</v>
      </c>
      <c r="I20" s="4" t="e">
        <f>#REF!</f>
        <v>#REF!</v>
      </c>
      <c r="J20" s="4" t="e">
        <f>#REF!</f>
        <v>#REF!</v>
      </c>
      <c r="K20" s="4" t="e">
        <f>#REF!</f>
        <v>#REF!</v>
      </c>
      <c r="L20" s="4" t="e">
        <f>#REF!</f>
        <v>#REF!</v>
      </c>
      <c r="M20" s="4" t="e">
        <f>#REF!</f>
        <v>#REF!</v>
      </c>
      <c r="N20" s="4" t="e">
        <f>#REF!</f>
        <v>#REF!</v>
      </c>
      <c r="O20" s="4" t="e">
        <f>#REF!</f>
        <v>#REF!</v>
      </c>
      <c r="P20" s="4" t="e">
        <f>#REF!</f>
        <v>#REF!</v>
      </c>
      <c r="Q20" s="4" t="e">
        <f>#REF!</f>
        <v>#REF!</v>
      </c>
      <c r="R20" s="4" t="e">
        <f>#REF!</f>
        <v>#REF!</v>
      </c>
      <c r="S20" s="4" t="e">
        <f>#REF!</f>
        <v>#REF!</v>
      </c>
      <c r="T20" s="4" t="e">
        <f>#REF!</f>
        <v>#REF!</v>
      </c>
      <c r="U20" s="4" t="e">
        <f>#REF!</f>
        <v>#REF!</v>
      </c>
      <c r="V20" s="4" t="e">
        <f>#REF!</f>
        <v>#REF!</v>
      </c>
      <c r="W20" s="4" t="e">
        <f>#REF!</f>
        <v>#REF!</v>
      </c>
      <c r="X20" s="4" t="e">
        <f>#REF!</f>
        <v>#REF!</v>
      </c>
      <c r="Y20" s="4" t="e">
        <f>#REF!</f>
        <v>#REF!</v>
      </c>
      <c r="Z20" s="4" t="e">
        <f>#REF!</f>
        <v>#REF!</v>
      </c>
      <c r="AA20" s="4" t="e">
        <f>#REF!</f>
        <v>#REF!</v>
      </c>
      <c r="AB20" s="213" t="e">
        <f>#REF!</f>
        <v>#REF!</v>
      </c>
      <c r="AC20" s="3" t="e">
        <f>#REF!</f>
        <v>#REF!</v>
      </c>
    </row>
    <row r="21" spans="1:29" ht="40.200000000000003" customHeight="1">
      <c r="A21" s="3">
        <f t="shared" si="1"/>
        <v>14</v>
      </c>
      <c r="B21" s="3" t="e">
        <f>#REF!</f>
        <v>#REF!</v>
      </c>
      <c r="C21" s="213" t="e">
        <f>#REF!</f>
        <v>#REF!</v>
      </c>
      <c r="D21" s="4" t="e">
        <f>#REF!</f>
        <v>#REF!</v>
      </c>
      <c r="E21" s="4" t="e">
        <f>#REF!</f>
        <v>#REF!</v>
      </c>
      <c r="F21" s="4" t="e">
        <f>#REF!</f>
        <v>#REF!</v>
      </c>
      <c r="G21" s="4" t="e">
        <f>#REF!</f>
        <v>#REF!</v>
      </c>
      <c r="H21" s="4" t="e">
        <f>#REF!</f>
        <v>#REF!</v>
      </c>
      <c r="I21" s="4" t="e">
        <f>#REF!</f>
        <v>#REF!</v>
      </c>
      <c r="J21" s="4" t="e">
        <f>#REF!</f>
        <v>#REF!</v>
      </c>
      <c r="K21" s="4" t="e">
        <f>#REF!</f>
        <v>#REF!</v>
      </c>
      <c r="L21" s="4" t="e">
        <f>#REF!</f>
        <v>#REF!</v>
      </c>
      <c r="M21" s="4" t="e">
        <f>#REF!</f>
        <v>#REF!</v>
      </c>
      <c r="N21" s="4" t="e">
        <f>#REF!</f>
        <v>#REF!</v>
      </c>
      <c r="O21" s="4" t="e">
        <f>#REF!</f>
        <v>#REF!</v>
      </c>
      <c r="P21" s="4" t="e">
        <f>#REF!</f>
        <v>#REF!</v>
      </c>
      <c r="Q21" s="4" t="e">
        <f>#REF!</f>
        <v>#REF!</v>
      </c>
      <c r="R21" s="4" t="e">
        <f>#REF!</f>
        <v>#REF!</v>
      </c>
      <c r="S21" s="4" t="e">
        <f>#REF!</f>
        <v>#REF!</v>
      </c>
      <c r="T21" s="4" t="e">
        <f>#REF!</f>
        <v>#REF!</v>
      </c>
      <c r="U21" s="4" t="e">
        <f>#REF!</f>
        <v>#REF!</v>
      </c>
      <c r="V21" s="4" t="e">
        <f>#REF!</f>
        <v>#REF!</v>
      </c>
      <c r="W21" s="4" t="e">
        <f>#REF!</f>
        <v>#REF!</v>
      </c>
      <c r="X21" s="4" t="e">
        <f>#REF!</f>
        <v>#REF!</v>
      </c>
      <c r="Y21" s="4" t="e">
        <f>#REF!</f>
        <v>#REF!</v>
      </c>
      <c r="Z21" s="4" t="e">
        <f>#REF!</f>
        <v>#REF!</v>
      </c>
      <c r="AA21" s="4" t="e">
        <f>#REF!</f>
        <v>#REF!</v>
      </c>
      <c r="AB21" s="213" t="e">
        <f>#REF!</f>
        <v>#REF!</v>
      </c>
      <c r="AC21" s="3" t="e">
        <f>#REF!</f>
        <v>#REF!</v>
      </c>
    </row>
    <row r="22" spans="1:29" ht="40.200000000000003" customHeight="1">
      <c r="A22" s="3">
        <f t="shared" si="1"/>
        <v>15</v>
      </c>
      <c r="B22" s="3" t="e">
        <f>#REF!</f>
        <v>#REF!</v>
      </c>
      <c r="C22" s="213" t="e">
        <f>#REF!</f>
        <v>#REF!</v>
      </c>
      <c r="D22" s="4" t="e">
        <f>#REF!</f>
        <v>#REF!</v>
      </c>
      <c r="E22" s="4" t="e">
        <f>#REF!</f>
        <v>#REF!</v>
      </c>
      <c r="F22" s="4" t="e">
        <f>#REF!</f>
        <v>#REF!</v>
      </c>
      <c r="G22" s="4" t="e">
        <f>#REF!</f>
        <v>#REF!</v>
      </c>
      <c r="H22" s="4" t="e">
        <f>#REF!</f>
        <v>#REF!</v>
      </c>
      <c r="I22" s="4" t="e">
        <f>#REF!</f>
        <v>#REF!</v>
      </c>
      <c r="J22" s="4" t="e">
        <f>#REF!</f>
        <v>#REF!</v>
      </c>
      <c r="K22" s="4" t="e">
        <f>#REF!</f>
        <v>#REF!</v>
      </c>
      <c r="L22" s="4" t="e">
        <f>#REF!</f>
        <v>#REF!</v>
      </c>
      <c r="M22" s="4" t="e">
        <f>#REF!</f>
        <v>#REF!</v>
      </c>
      <c r="N22" s="4" t="e">
        <f>#REF!</f>
        <v>#REF!</v>
      </c>
      <c r="O22" s="4" t="e">
        <f>#REF!</f>
        <v>#REF!</v>
      </c>
      <c r="P22" s="4" t="e">
        <f>#REF!</f>
        <v>#REF!</v>
      </c>
      <c r="Q22" s="4" t="e">
        <f>#REF!</f>
        <v>#REF!</v>
      </c>
      <c r="R22" s="4" t="e">
        <f>#REF!</f>
        <v>#REF!</v>
      </c>
      <c r="S22" s="4" t="e">
        <f>#REF!</f>
        <v>#REF!</v>
      </c>
      <c r="T22" s="4" t="e">
        <f>#REF!</f>
        <v>#REF!</v>
      </c>
      <c r="U22" s="4" t="e">
        <f>#REF!</f>
        <v>#REF!</v>
      </c>
      <c r="V22" s="4" t="e">
        <f>#REF!</f>
        <v>#REF!</v>
      </c>
      <c r="W22" s="4" t="e">
        <f>#REF!</f>
        <v>#REF!</v>
      </c>
      <c r="X22" s="4" t="e">
        <f>#REF!</f>
        <v>#REF!</v>
      </c>
      <c r="Y22" s="4" t="e">
        <f>#REF!</f>
        <v>#REF!</v>
      </c>
      <c r="Z22" s="4" t="e">
        <f>#REF!</f>
        <v>#REF!</v>
      </c>
      <c r="AA22" s="4" t="e">
        <f>#REF!</f>
        <v>#REF!</v>
      </c>
      <c r="AB22" s="213" t="e">
        <f>#REF!</f>
        <v>#REF!</v>
      </c>
      <c r="AC22" s="3" t="e">
        <f>#REF!</f>
        <v>#REF!</v>
      </c>
    </row>
    <row r="23" spans="1:29" ht="40.200000000000003" customHeight="1">
      <c r="A23" s="3">
        <f t="shared" si="1"/>
        <v>16</v>
      </c>
      <c r="B23" s="3" t="e">
        <f>#REF!</f>
        <v>#REF!</v>
      </c>
      <c r="C23" s="213" t="e">
        <f>#REF!</f>
        <v>#REF!</v>
      </c>
      <c r="D23" s="4" t="e">
        <f>#REF!</f>
        <v>#REF!</v>
      </c>
      <c r="E23" s="4" t="e">
        <f>#REF!</f>
        <v>#REF!</v>
      </c>
      <c r="F23" s="4" t="e">
        <f>#REF!</f>
        <v>#REF!</v>
      </c>
      <c r="G23" s="4" t="e">
        <f>#REF!</f>
        <v>#REF!</v>
      </c>
      <c r="H23" s="4" t="e">
        <f>#REF!</f>
        <v>#REF!</v>
      </c>
      <c r="I23" s="4" t="e">
        <f>#REF!</f>
        <v>#REF!</v>
      </c>
      <c r="J23" s="4" t="e">
        <f>#REF!</f>
        <v>#REF!</v>
      </c>
      <c r="K23" s="4" t="e">
        <f>#REF!</f>
        <v>#REF!</v>
      </c>
      <c r="L23" s="4" t="e">
        <f>#REF!</f>
        <v>#REF!</v>
      </c>
      <c r="M23" s="4" t="e">
        <f>#REF!</f>
        <v>#REF!</v>
      </c>
      <c r="N23" s="4" t="e">
        <f>#REF!</f>
        <v>#REF!</v>
      </c>
      <c r="O23" s="4" t="e">
        <f>#REF!</f>
        <v>#REF!</v>
      </c>
      <c r="P23" s="4" t="e">
        <f>#REF!</f>
        <v>#REF!</v>
      </c>
      <c r="Q23" s="4" t="e">
        <f>#REF!</f>
        <v>#REF!</v>
      </c>
      <c r="R23" s="4" t="e">
        <f>#REF!</f>
        <v>#REF!</v>
      </c>
      <c r="S23" s="4" t="e">
        <f>#REF!</f>
        <v>#REF!</v>
      </c>
      <c r="T23" s="4" t="e">
        <f>#REF!</f>
        <v>#REF!</v>
      </c>
      <c r="U23" s="4" t="e">
        <f>#REF!</f>
        <v>#REF!</v>
      </c>
      <c r="V23" s="4" t="e">
        <f>#REF!</f>
        <v>#REF!</v>
      </c>
      <c r="W23" s="4" t="e">
        <f>#REF!</f>
        <v>#REF!</v>
      </c>
      <c r="X23" s="4" t="e">
        <f>#REF!</f>
        <v>#REF!</v>
      </c>
      <c r="Y23" s="4" t="e">
        <f>#REF!</f>
        <v>#REF!</v>
      </c>
      <c r="Z23" s="4" t="e">
        <f>#REF!</f>
        <v>#REF!</v>
      </c>
      <c r="AA23" s="4" t="e">
        <f>#REF!</f>
        <v>#REF!</v>
      </c>
      <c r="AB23" s="213" t="e">
        <f>#REF!</f>
        <v>#REF!</v>
      </c>
      <c r="AC23" s="3" t="e">
        <f>#REF!</f>
        <v>#REF!</v>
      </c>
    </row>
    <row r="24" spans="1:29" ht="40.200000000000003" customHeight="1">
      <c r="A24" s="3">
        <f t="shared" si="1"/>
        <v>17</v>
      </c>
      <c r="B24" s="3" t="e">
        <f>#REF!</f>
        <v>#REF!</v>
      </c>
      <c r="C24" s="213" t="e">
        <f>#REF!</f>
        <v>#REF!</v>
      </c>
      <c r="D24" s="4" t="e">
        <f>#REF!</f>
        <v>#REF!</v>
      </c>
      <c r="E24" s="4" t="e">
        <f>#REF!</f>
        <v>#REF!</v>
      </c>
      <c r="F24" s="4" t="e">
        <f>#REF!</f>
        <v>#REF!</v>
      </c>
      <c r="G24" s="4" t="e">
        <f>#REF!</f>
        <v>#REF!</v>
      </c>
      <c r="H24" s="4" t="e">
        <f>#REF!</f>
        <v>#REF!</v>
      </c>
      <c r="I24" s="4" t="e">
        <f>#REF!</f>
        <v>#REF!</v>
      </c>
      <c r="J24" s="4" t="e">
        <f>#REF!</f>
        <v>#REF!</v>
      </c>
      <c r="K24" s="4" t="e">
        <f>#REF!</f>
        <v>#REF!</v>
      </c>
      <c r="L24" s="4" t="e">
        <f>#REF!</f>
        <v>#REF!</v>
      </c>
      <c r="M24" s="4" t="e">
        <f>#REF!</f>
        <v>#REF!</v>
      </c>
      <c r="N24" s="4" t="e">
        <f>#REF!</f>
        <v>#REF!</v>
      </c>
      <c r="O24" s="4" t="e">
        <f>#REF!</f>
        <v>#REF!</v>
      </c>
      <c r="P24" s="4" t="e">
        <f>#REF!</f>
        <v>#REF!</v>
      </c>
      <c r="Q24" s="4" t="e">
        <f>#REF!</f>
        <v>#REF!</v>
      </c>
      <c r="R24" s="4" t="e">
        <f>#REF!</f>
        <v>#REF!</v>
      </c>
      <c r="S24" s="4" t="e">
        <f>#REF!</f>
        <v>#REF!</v>
      </c>
      <c r="T24" s="4" t="e">
        <f>#REF!</f>
        <v>#REF!</v>
      </c>
      <c r="U24" s="4" t="e">
        <f>#REF!</f>
        <v>#REF!</v>
      </c>
      <c r="V24" s="4" t="e">
        <f>#REF!</f>
        <v>#REF!</v>
      </c>
      <c r="W24" s="4" t="e">
        <f>#REF!</f>
        <v>#REF!</v>
      </c>
      <c r="X24" s="4" t="e">
        <f>#REF!</f>
        <v>#REF!</v>
      </c>
      <c r="Y24" s="4" t="e">
        <f>#REF!</f>
        <v>#REF!</v>
      </c>
      <c r="Z24" s="4" t="e">
        <f>#REF!</f>
        <v>#REF!</v>
      </c>
      <c r="AA24" s="4" t="e">
        <f>#REF!</f>
        <v>#REF!</v>
      </c>
      <c r="AB24" s="213" t="e">
        <f>#REF!</f>
        <v>#REF!</v>
      </c>
      <c r="AC24" s="3" t="e">
        <f>#REF!</f>
        <v>#REF!</v>
      </c>
    </row>
    <row r="25" spans="1:29" ht="40.200000000000003" customHeight="1">
      <c r="A25" s="3">
        <f t="shared" si="1"/>
        <v>18</v>
      </c>
      <c r="B25" s="3" t="e">
        <f>#REF!</f>
        <v>#REF!</v>
      </c>
      <c r="C25" s="213" t="e">
        <f>#REF!</f>
        <v>#REF!</v>
      </c>
      <c r="D25" s="4" t="e">
        <f>#REF!</f>
        <v>#REF!</v>
      </c>
      <c r="E25" s="4" t="e">
        <f>#REF!</f>
        <v>#REF!</v>
      </c>
      <c r="F25" s="4" t="e">
        <f>#REF!</f>
        <v>#REF!</v>
      </c>
      <c r="G25" s="4" t="e">
        <f>#REF!</f>
        <v>#REF!</v>
      </c>
      <c r="H25" s="4" t="e">
        <f>#REF!</f>
        <v>#REF!</v>
      </c>
      <c r="I25" s="4" t="e">
        <f>#REF!</f>
        <v>#REF!</v>
      </c>
      <c r="J25" s="4" t="e">
        <f>#REF!</f>
        <v>#REF!</v>
      </c>
      <c r="K25" s="4" t="e">
        <f>#REF!</f>
        <v>#REF!</v>
      </c>
      <c r="L25" s="4" t="e">
        <f>#REF!</f>
        <v>#REF!</v>
      </c>
      <c r="M25" s="4" t="e">
        <f>#REF!</f>
        <v>#REF!</v>
      </c>
      <c r="N25" s="4" t="e">
        <f>#REF!</f>
        <v>#REF!</v>
      </c>
      <c r="O25" s="4" t="e">
        <f>#REF!</f>
        <v>#REF!</v>
      </c>
      <c r="P25" s="4" t="e">
        <f>#REF!</f>
        <v>#REF!</v>
      </c>
      <c r="Q25" s="4" t="e">
        <f>#REF!</f>
        <v>#REF!</v>
      </c>
      <c r="R25" s="4" t="e">
        <f>#REF!</f>
        <v>#REF!</v>
      </c>
      <c r="S25" s="4" t="e">
        <f>#REF!</f>
        <v>#REF!</v>
      </c>
      <c r="T25" s="4" t="e">
        <f>#REF!</f>
        <v>#REF!</v>
      </c>
      <c r="U25" s="4" t="e">
        <f>#REF!</f>
        <v>#REF!</v>
      </c>
      <c r="V25" s="4" t="e">
        <f>#REF!</f>
        <v>#REF!</v>
      </c>
      <c r="W25" s="4" t="e">
        <f>#REF!</f>
        <v>#REF!</v>
      </c>
      <c r="X25" s="4" t="e">
        <f>#REF!</f>
        <v>#REF!</v>
      </c>
      <c r="Y25" s="4" t="e">
        <f>#REF!</f>
        <v>#REF!</v>
      </c>
      <c r="Z25" s="4" t="e">
        <f>#REF!</f>
        <v>#REF!</v>
      </c>
      <c r="AA25" s="4" t="e">
        <f>#REF!</f>
        <v>#REF!</v>
      </c>
      <c r="AB25" s="213" t="e">
        <f>#REF!</f>
        <v>#REF!</v>
      </c>
      <c r="AC25" s="3" t="e">
        <f>#REF!</f>
        <v>#REF!</v>
      </c>
    </row>
    <row r="26" spans="1:29" ht="40.200000000000003" customHeight="1">
      <c r="A26" s="3">
        <f t="shared" si="1"/>
        <v>19</v>
      </c>
      <c r="B26" s="3" t="e">
        <f>#REF!</f>
        <v>#REF!</v>
      </c>
      <c r="C26" s="213" t="e">
        <f>#REF!</f>
        <v>#REF!</v>
      </c>
      <c r="D26" s="4" t="e">
        <f>#REF!</f>
        <v>#REF!</v>
      </c>
      <c r="E26" s="4" t="e">
        <f>#REF!</f>
        <v>#REF!</v>
      </c>
      <c r="F26" s="4" t="e">
        <f>#REF!</f>
        <v>#REF!</v>
      </c>
      <c r="G26" s="4" t="e">
        <f>#REF!</f>
        <v>#REF!</v>
      </c>
      <c r="H26" s="4" t="e">
        <f>#REF!</f>
        <v>#REF!</v>
      </c>
      <c r="I26" s="4" t="e">
        <f>#REF!</f>
        <v>#REF!</v>
      </c>
      <c r="J26" s="4" t="e">
        <f>#REF!</f>
        <v>#REF!</v>
      </c>
      <c r="K26" s="4" t="e">
        <f>#REF!</f>
        <v>#REF!</v>
      </c>
      <c r="L26" s="4" t="e">
        <f>#REF!</f>
        <v>#REF!</v>
      </c>
      <c r="M26" s="4" t="e">
        <f>#REF!</f>
        <v>#REF!</v>
      </c>
      <c r="N26" s="4" t="e">
        <f>#REF!</f>
        <v>#REF!</v>
      </c>
      <c r="O26" s="4" t="e">
        <f>#REF!</f>
        <v>#REF!</v>
      </c>
      <c r="P26" s="4" t="e">
        <f>#REF!</f>
        <v>#REF!</v>
      </c>
      <c r="Q26" s="4" t="e">
        <f>#REF!</f>
        <v>#REF!</v>
      </c>
      <c r="R26" s="4" t="e">
        <f>#REF!</f>
        <v>#REF!</v>
      </c>
      <c r="S26" s="4" t="e">
        <f>#REF!</f>
        <v>#REF!</v>
      </c>
      <c r="T26" s="4" t="e">
        <f>#REF!</f>
        <v>#REF!</v>
      </c>
      <c r="U26" s="4" t="e">
        <f>#REF!</f>
        <v>#REF!</v>
      </c>
      <c r="V26" s="4" t="e">
        <f>#REF!</f>
        <v>#REF!</v>
      </c>
      <c r="W26" s="4" t="e">
        <f>#REF!</f>
        <v>#REF!</v>
      </c>
      <c r="X26" s="4" t="e">
        <f>#REF!</f>
        <v>#REF!</v>
      </c>
      <c r="Y26" s="4" t="e">
        <f>#REF!</f>
        <v>#REF!</v>
      </c>
      <c r="Z26" s="4" t="e">
        <f>#REF!</f>
        <v>#REF!</v>
      </c>
      <c r="AA26" s="4" t="e">
        <f>#REF!</f>
        <v>#REF!</v>
      </c>
      <c r="AB26" s="213" t="e">
        <f>#REF!</f>
        <v>#REF!</v>
      </c>
      <c r="AC26" s="3" t="e">
        <f>#REF!</f>
        <v>#REF!</v>
      </c>
    </row>
    <row r="27" spans="1:29" ht="40.200000000000003" customHeight="1">
      <c r="A27" s="3">
        <f t="shared" si="1"/>
        <v>20</v>
      </c>
      <c r="B27" s="3" t="e">
        <f>#REF!</f>
        <v>#REF!</v>
      </c>
      <c r="C27" s="213" t="e">
        <f>#REF!</f>
        <v>#REF!</v>
      </c>
      <c r="D27" s="4" t="e">
        <f>#REF!</f>
        <v>#REF!</v>
      </c>
      <c r="E27" s="4" t="e">
        <f>#REF!</f>
        <v>#REF!</v>
      </c>
      <c r="F27" s="4" t="e">
        <f>#REF!</f>
        <v>#REF!</v>
      </c>
      <c r="G27" s="4" t="e">
        <f>#REF!</f>
        <v>#REF!</v>
      </c>
      <c r="H27" s="4" t="e">
        <f>#REF!</f>
        <v>#REF!</v>
      </c>
      <c r="I27" s="4" t="e">
        <f>#REF!</f>
        <v>#REF!</v>
      </c>
      <c r="J27" s="4" t="e">
        <f>#REF!</f>
        <v>#REF!</v>
      </c>
      <c r="K27" s="4" t="e">
        <f>#REF!</f>
        <v>#REF!</v>
      </c>
      <c r="L27" s="4" t="e">
        <f>#REF!</f>
        <v>#REF!</v>
      </c>
      <c r="M27" s="4" t="e">
        <f>#REF!</f>
        <v>#REF!</v>
      </c>
      <c r="N27" s="4" t="e">
        <f>#REF!</f>
        <v>#REF!</v>
      </c>
      <c r="O27" s="4" t="e">
        <f>#REF!</f>
        <v>#REF!</v>
      </c>
      <c r="P27" s="4" t="e">
        <f>#REF!</f>
        <v>#REF!</v>
      </c>
      <c r="Q27" s="4" t="e">
        <f>#REF!</f>
        <v>#REF!</v>
      </c>
      <c r="R27" s="4" t="e">
        <f>#REF!</f>
        <v>#REF!</v>
      </c>
      <c r="S27" s="4" t="e">
        <f>#REF!</f>
        <v>#REF!</v>
      </c>
      <c r="T27" s="4" t="e">
        <f>#REF!</f>
        <v>#REF!</v>
      </c>
      <c r="U27" s="4" t="e">
        <f>#REF!</f>
        <v>#REF!</v>
      </c>
      <c r="V27" s="4" t="e">
        <f>#REF!</f>
        <v>#REF!</v>
      </c>
      <c r="W27" s="4" t="e">
        <f>#REF!</f>
        <v>#REF!</v>
      </c>
      <c r="X27" s="4" t="e">
        <f>#REF!</f>
        <v>#REF!</v>
      </c>
      <c r="Y27" s="4" t="e">
        <f>#REF!</f>
        <v>#REF!</v>
      </c>
      <c r="Z27" s="4" t="e">
        <f>#REF!</f>
        <v>#REF!</v>
      </c>
      <c r="AA27" s="4" t="e">
        <f>#REF!</f>
        <v>#REF!</v>
      </c>
      <c r="AB27" s="213" t="e">
        <f>#REF!</f>
        <v>#REF!</v>
      </c>
      <c r="AC27" s="3" t="e">
        <f>#REF!</f>
        <v>#REF!</v>
      </c>
    </row>
    <row r="28" spans="1:29" ht="40.200000000000003" customHeight="1">
      <c r="A28" s="3">
        <f t="shared" si="1"/>
        <v>21</v>
      </c>
      <c r="B28" s="3" t="e">
        <f>#REF!</f>
        <v>#REF!</v>
      </c>
      <c r="C28" s="213" t="e">
        <f>#REF!</f>
        <v>#REF!</v>
      </c>
      <c r="D28" s="4" t="e">
        <f>#REF!</f>
        <v>#REF!</v>
      </c>
      <c r="E28" s="4" t="e">
        <f>#REF!</f>
        <v>#REF!</v>
      </c>
      <c r="F28" s="4" t="e">
        <f>#REF!</f>
        <v>#REF!</v>
      </c>
      <c r="G28" s="4" t="e">
        <f>#REF!</f>
        <v>#REF!</v>
      </c>
      <c r="H28" s="4" t="e">
        <f>#REF!</f>
        <v>#REF!</v>
      </c>
      <c r="I28" s="4" t="e">
        <f>#REF!</f>
        <v>#REF!</v>
      </c>
      <c r="J28" s="4" t="e">
        <f>#REF!</f>
        <v>#REF!</v>
      </c>
      <c r="K28" s="4" t="e">
        <f>#REF!</f>
        <v>#REF!</v>
      </c>
      <c r="L28" s="4" t="e">
        <f>#REF!</f>
        <v>#REF!</v>
      </c>
      <c r="M28" s="4" t="e">
        <f>#REF!</f>
        <v>#REF!</v>
      </c>
      <c r="N28" s="4" t="e">
        <f>#REF!</f>
        <v>#REF!</v>
      </c>
      <c r="O28" s="4" t="e">
        <f>#REF!</f>
        <v>#REF!</v>
      </c>
      <c r="P28" s="4" t="e">
        <f>#REF!</f>
        <v>#REF!</v>
      </c>
      <c r="Q28" s="4" t="e">
        <f>#REF!</f>
        <v>#REF!</v>
      </c>
      <c r="R28" s="4" t="e">
        <f>#REF!</f>
        <v>#REF!</v>
      </c>
      <c r="S28" s="4" t="e">
        <f>#REF!</f>
        <v>#REF!</v>
      </c>
      <c r="T28" s="4" t="e">
        <f>#REF!</f>
        <v>#REF!</v>
      </c>
      <c r="U28" s="4" t="e">
        <f>#REF!</f>
        <v>#REF!</v>
      </c>
      <c r="V28" s="4" t="e">
        <f>#REF!</f>
        <v>#REF!</v>
      </c>
      <c r="W28" s="4" t="e">
        <f>#REF!</f>
        <v>#REF!</v>
      </c>
      <c r="X28" s="4" t="e">
        <f>#REF!</f>
        <v>#REF!</v>
      </c>
      <c r="Y28" s="4" t="e">
        <f>#REF!</f>
        <v>#REF!</v>
      </c>
      <c r="Z28" s="4" t="e">
        <f>#REF!</f>
        <v>#REF!</v>
      </c>
      <c r="AA28" s="4" t="e">
        <f>#REF!</f>
        <v>#REF!</v>
      </c>
      <c r="AB28" s="213" t="e">
        <f>#REF!</f>
        <v>#REF!</v>
      </c>
      <c r="AC28" s="3" t="e">
        <f>#REF!</f>
        <v>#REF!</v>
      </c>
    </row>
    <row r="29" spans="1:29" ht="40.200000000000003" customHeight="1">
      <c r="A29" s="3">
        <f t="shared" si="1"/>
        <v>22</v>
      </c>
      <c r="B29" s="3" t="e">
        <f>#REF!</f>
        <v>#REF!</v>
      </c>
      <c r="C29" s="213" t="e">
        <f>#REF!</f>
        <v>#REF!</v>
      </c>
      <c r="D29" s="4" t="e">
        <f>#REF!</f>
        <v>#REF!</v>
      </c>
      <c r="E29" s="4" t="e">
        <f>#REF!</f>
        <v>#REF!</v>
      </c>
      <c r="F29" s="4" t="e">
        <f>#REF!</f>
        <v>#REF!</v>
      </c>
      <c r="G29" s="4" t="e">
        <f>#REF!</f>
        <v>#REF!</v>
      </c>
      <c r="H29" s="4" t="e">
        <f>#REF!</f>
        <v>#REF!</v>
      </c>
      <c r="I29" s="4" t="e">
        <f>#REF!</f>
        <v>#REF!</v>
      </c>
      <c r="J29" s="4" t="e">
        <f>#REF!</f>
        <v>#REF!</v>
      </c>
      <c r="K29" s="4" t="e">
        <f>#REF!</f>
        <v>#REF!</v>
      </c>
      <c r="L29" s="4" t="e">
        <f>#REF!</f>
        <v>#REF!</v>
      </c>
      <c r="M29" s="4" t="e">
        <f>#REF!</f>
        <v>#REF!</v>
      </c>
      <c r="N29" s="4" t="e">
        <f>#REF!</f>
        <v>#REF!</v>
      </c>
      <c r="O29" s="4" t="e">
        <f>#REF!</f>
        <v>#REF!</v>
      </c>
      <c r="P29" s="4" t="e">
        <f>#REF!</f>
        <v>#REF!</v>
      </c>
      <c r="Q29" s="4" t="e">
        <f>#REF!</f>
        <v>#REF!</v>
      </c>
      <c r="R29" s="4" t="e">
        <f>#REF!</f>
        <v>#REF!</v>
      </c>
      <c r="S29" s="4" t="e">
        <f>#REF!</f>
        <v>#REF!</v>
      </c>
      <c r="T29" s="4" t="e">
        <f>#REF!</f>
        <v>#REF!</v>
      </c>
      <c r="U29" s="4" t="e">
        <f>#REF!</f>
        <v>#REF!</v>
      </c>
      <c r="V29" s="4" t="e">
        <f>#REF!</f>
        <v>#REF!</v>
      </c>
      <c r="W29" s="4" t="e">
        <f>#REF!</f>
        <v>#REF!</v>
      </c>
      <c r="X29" s="4" t="e">
        <f>#REF!</f>
        <v>#REF!</v>
      </c>
      <c r="Y29" s="4" t="e">
        <f>#REF!</f>
        <v>#REF!</v>
      </c>
      <c r="Z29" s="4" t="e">
        <f>#REF!</f>
        <v>#REF!</v>
      </c>
      <c r="AA29" s="4" t="e">
        <f>#REF!</f>
        <v>#REF!</v>
      </c>
      <c r="AB29" s="213" t="e">
        <f>#REF!</f>
        <v>#REF!</v>
      </c>
      <c r="AC29" s="3" t="e">
        <f>#REF!</f>
        <v>#REF!</v>
      </c>
    </row>
    <row r="30" spans="1:29" ht="40.200000000000003" customHeight="1">
      <c r="A30" s="3">
        <f t="shared" si="1"/>
        <v>23</v>
      </c>
      <c r="B30" s="3" t="e">
        <f>#REF!</f>
        <v>#REF!</v>
      </c>
      <c r="C30" s="213" t="e">
        <f>#REF!</f>
        <v>#REF!</v>
      </c>
      <c r="D30" s="4" t="e">
        <f>#REF!</f>
        <v>#REF!</v>
      </c>
      <c r="E30" s="4" t="e">
        <f>#REF!</f>
        <v>#REF!</v>
      </c>
      <c r="F30" s="4" t="e">
        <f>#REF!</f>
        <v>#REF!</v>
      </c>
      <c r="G30" s="4" t="e">
        <f>#REF!</f>
        <v>#REF!</v>
      </c>
      <c r="H30" s="4" t="e">
        <f>#REF!</f>
        <v>#REF!</v>
      </c>
      <c r="I30" s="4" t="e">
        <f>#REF!</f>
        <v>#REF!</v>
      </c>
      <c r="J30" s="4" t="e">
        <f>#REF!</f>
        <v>#REF!</v>
      </c>
      <c r="K30" s="4" t="e">
        <f>#REF!</f>
        <v>#REF!</v>
      </c>
      <c r="L30" s="4" t="e">
        <f>#REF!</f>
        <v>#REF!</v>
      </c>
      <c r="M30" s="4" t="e">
        <f>#REF!</f>
        <v>#REF!</v>
      </c>
      <c r="N30" s="4" t="e">
        <f>#REF!</f>
        <v>#REF!</v>
      </c>
      <c r="O30" s="4" t="e">
        <f>#REF!</f>
        <v>#REF!</v>
      </c>
      <c r="P30" s="4" t="e">
        <f>#REF!</f>
        <v>#REF!</v>
      </c>
      <c r="Q30" s="4" t="e">
        <f>#REF!</f>
        <v>#REF!</v>
      </c>
      <c r="R30" s="4" t="e">
        <f>#REF!</f>
        <v>#REF!</v>
      </c>
      <c r="S30" s="4" t="e">
        <f>#REF!</f>
        <v>#REF!</v>
      </c>
      <c r="T30" s="4" t="e">
        <f>#REF!</f>
        <v>#REF!</v>
      </c>
      <c r="U30" s="4" t="e">
        <f>#REF!</f>
        <v>#REF!</v>
      </c>
      <c r="V30" s="4" t="e">
        <f>#REF!</f>
        <v>#REF!</v>
      </c>
      <c r="W30" s="4" t="e">
        <f>#REF!</f>
        <v>#REF!</v>
      </c>
      <c r="X30" s="4" t="e">
        <f>#REF!</f>
        <v>#REF!</v>
      </c>
      <c r="Y30" s="4" t="e">
        <f>#REF!</f>
        <v>#REF!</v>
      </c>
      <c r="Z30" s="4" t="e">
        <f>#REF!</f>
        <v>#REF!</v>
      </c>
      <c r="AA30" s="4" t="e">
        <f>#REF!</f>
        <v>#REF!</v>
      </c>
      <c r="AB30" s="213" t="e">
        <f>#REF!</f>
        <v>#REF!</v>
      </c>
      <c r="AC30" s="3" t="e">
        <f>#REF!</f>
        <v>#REF!</v>
      </c>
    </row>
    <row r="31" spans="1:29" ht="40.200000000000003" customHeight="1">
      <c r="A31" s="3">
        <f t="shared" si="1"/>
        <v>24</v>
      </c>
      <c r="B31" s="3" t="e">
        <f>#REF!</f>
        <v>#REF!</v>
      </c>
      <c r="C31" s="213" t="e">
        <f>#REF!</f>
        <v>#REF!</v>
      </c>
      <c r="D31" s="4" t="e">
        <f>#REF!</f>
        <v>#REF!</v>
      </c>
      <c r="E31" s="4" t="e">
        <f>#REF!</f>
        <v>#REF!</v>
      </c>
      <c r="F31" s="4" t="e">
        <f>#REF!</f>
        <v>#REF!</v>
      </c>
      <c r="G31" s="4" t="e">
        <f>#REF!</f>
        <v>#REF!</v>
      </c>
      <c r="H31" s="4" t="e">
        <f>#REF!</f>
        <v>#REF!</v>
      </c>
      <c r="I31" s="4" t="e">
        <f>#REF!</f>
        <v>#REF!</v>
      </c>
      <c r="J31" s="4" t="e">
        <f>#REF!</f>
        <v>#REF!</v>
      </c>
      <c r="K31" s="4" t="e">
        <f>#REF!</f>
        <v>#REF!</v>
      </c>
      <c r="L31" s="4" t="e">
        <f>#REF!</f>
        <v>#REF!</v>
      </c>
      <c r="M31" s="4" t="e">
        <f>#REF!</f>
        <v>#REF!</v>
      </c>
      <c r="N31" s="4" t="e">
        <f>#REF!</f>
        <v>#REF!</v>
      </c>
      <c r="O31" s="4" t="e">
        <f>#REF!</f>
        <v>#REF!</v>
      </c>
      <c r="P31" s="4" t="e">
        <f>#REF!</f>
        <v>#REF!</v>
      </c>
      <c r="Q31" s="4" t="e">
        <f>#REF!</f>
        <v>#REF!</v>
      </c>
      <c r="R31" s="4" t="e">
        <f>#REF!</f>
        <v>#REF!</v>
      </c>
      <c r="S31" s="4" t="e">
        <f>#REF!</f>
        <v>#REF!</v>
      </c>
      <c r="T31" s="4" t="e">
        <f>#REF!</f>
        <v>#REF!</v>
      </c>
      <c r="U31" s="4" t="e">
        <f>#REF!</f>
        <v>#REF!</v>
      </c>
      <c r="V31" s="4" t="e">
        <f>#REF!</f>
        <v>#REF!</v>
      </c>
      <c r="W31" s="4" t="e">
        <f>#REF!</f>
        <v>#REF!</v>
      </c>
      <c r="X31" s="4" t="e">
        <f>#REF!</f>
        <v>#REF!</v>
      </c>
      <c r="Y31" s="4" t="e">
        <f>#REF!</f>
        <v>#REF!</v>
      </c>
      <c r="Z31" s="4" t="e">
        <f>#REF!</f>
        <v>#REF!</v>
      </c>
      <c r="AA31" s="4" t="e">
        <f>#REF!</f>
        <v>#REF!</v>
      </c>
      <c r="AB31" s="213" t="e">
        <f>#REF!</f>
        <v>#REF!</v>
      </c>
      <c r="AC31" s="3" t="e">
        <f>#REF!</f>
        <v>#REF!</v>
      </c>
    </row>
    <row r="32" spans="1:29" ht="40.200000000000003" customHeight="1">
      <c r="A32" s="3">
        <f t="shared" si="1"/>
        <v>25</v>
      </c>
      <c r="B32" s="3" t="e">
        <f>#REF!</f>
        <v>#REF!</v>
      </c>
      <c r="C32" s="213" t="e">
        <f>#REF!</f>
        <v>#REF!</v>
      </c>
      <c r="D32" s="4" t="e">
        <f>#REF!</f>
        <v>#REF!</v>
      </c>
      <c r="E32" s="4" t="e">
        <f>#REF!</f>
        <v>#REF!</v>
      </c>
      <c r="F32" s="4" t="e">
        <f>#REF!</f>
        <v>#REF!</v>
      </c>
      <c r="G32" s="4" t="e">
        <f>#REF!</f>
        <v>#REF!</v>
      </c>
      <c r="H32" s="4" t="e">
        <f>#REF!</f>
        <v>#REF!</v>
      </c>
      <c r="I32" s="4" t="e">
        <f>#REF!</f>
        <v>#REF!</v>
      </c>
      <c r="J32" s="4" t="e">
        <f>#REF!</f>
        <v>#REF!</v>
      </c>
      <c r="K32" s="4" t="e">
        <f>#REF!</f>
        <v>#REF!</v>
      </c>
      <c r="L32" s="4" t="e">
        <f>#REF!</f>
        <v>#REF!</v>
      </c>
      <c r="M32" s="4" t="e">
        <f>#REF!</f>
        <v>#REF!</v>
      </c>
      <c r="N32" s="4" t="e">
        <f>#REF!</f>
        <v>#REF!</v>
      </c>
      <c r="O32" s="4" t="e">
        <f>#REF!</f>
        <v>#REF!</v>
      </c>
      <c r="P32" s="4" t="e">
        <f>#REF!</f>
        <v>#REF!</v>
      </c>
      <c r="Q32" s="4" t="e">
        <f>#REF!</f>
        <v>#REF!</v>
      </c>
      <c r="R32" s="4" t="e">
        <f>#REF!</f>
        <v>#REF!</v>
      </c>
      <c r="S32" s="4" t="e">
        <f>#REF!</f>
        <v>#REF!</v>
      </c>
      <c r="T32" s="4" t="e">
        <f>#REF!</f>
        <v>#REF!</v>
      </c>
      <c r="U32" s="4" t="e">
        <f>#REF!</f>
        <v>#REF!</v>
      </c>
      <c r="V32" s="4" t="e">
        <f>#REF!</f>
        <v>#REF!</v>
      </c>
      <c r="W32" s="4" t="e">
        <f>#REF!</f>
        <v>#REF!</v>
      </c>
      <c r="X32" s="4" t="e">
        <f>#REF!</f>
        <v>#REF!</v>
      </c>
      <c r="Y32" s="4" t="e">
        <f>#REF!</f>
        <v>#REF!</v>
      </c>
      <c r="Z32" s="4" t="e">
        <f>#REF!</f>
        <v>#REF!</v>
      </c>
      <c r="AA32" s="4" t="e">
        <f>#REF!</f>
        <v>#REF!</v>
      </c>
      <c r="AB32" s="213" t="e">
        <f>#REF!</f>
        <v>#REF!</v>
      </c>
      <c r="AC32" s="3" t="e">
        <f>#REF!</f>
        <v>#REF!</v>
      </c>
    </row>
    <row r="33" spans="1:29" ht="40.200000000000003" customHeight="1">
      <c r="A33" s="3">
        <f t="shared" si="1"/>
        <v>26</v>
      </c>
      <c r="B33" s="3" t="e">
        <f>#REF!</f>
        <v>#REF!</v>
      </c>
      <c r="C33" s="213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4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213" t="e">
        <f>#REF!</f>
        <v>#REF!</v>
      </c>
      <c r="AC33" s="3" t="e">
        <f>#REF!</f>
        <v>#REF!</v>
      </c>
    </row>
    <row r="34" spans="1:29" ht="40.200000000000003" customHeight="1">
      <c r="A34" s="3">
        <f t="shared" si="1"/>
        <v>27</v>
      </c>
      <c r="B34" s="3" t="e">
        <f>#REF!</f>
        <v>#REF!</v>
      </c>
      <c r="C34" s="213" t="e">
        <f>#REF!</f>
        <v>#REF!</v>
      </c>
      <c r="D34" s="4" t="e">
        <f>#REF!</f>
        <v>#REF!</v>
      </c>
      <c r="E34" s="4" t="e">
        <f>#REF!</f>
        <v>#REF!</v>
      </c>
      <c r="F34" s="4" t="e">
        <f>#REF!</f>
        <v>#REF!</v>
      </c>
      <c r="G34" s="4" t="e">
        <f>#REF!</f>
        <v>#REF!</v>
      </c>
      <c r="H34" s="4" t="e">
        <f>#REF!</f>
        <v>#REF!</v>
      </c>
      <c r="I34" s="4" t="e">
        <f>#REF!</f>
        <v>#REF!</v>
      </c>
      <c r="J34" s="4" t="e">
        <f>#REF!</f>
        <v>#REF!</v>
      </c>
      <c r="K34" s="4" t="e">
        <f>#REF!</f>
        <v>#REF!</v>
      </c>
      <c r="L34" s="4" t="e">
        <f>#REF!</f>
        <v>#REF!</v>
      </c>
      <c r="M34" s="4" t="e">
        <f>#REF!</f>
        <v>#REF!</v>
      </c>
      <c r="N34" s="4" t="e">
        <f>#REF!</f>
        <v>#REF!</v>
      </c>
      <c r="O34" s="4" t="e">
        <f>#REF!</f>
        <v>#REF!</v>
      </c>
      <c r="P34" s="4" t="e">
        <f>#REF!</f>
        <v>#REF!</v>
      </c>
      <c r="Q34" s="4" t="e">
        <f>#REF!</f>
        <v>#REF!</v>
      </c>
      <c r="R34" s="4" t="e">
        <f>#REF!</f>
        <v>#REF!</v>
      </c>
      <c r="S34" s="4" t="e">
        <f>#REF!</f>
        <v>#REF!</v>
      </c>
      <c r="T34" s="4" t="e">
        <f>#REF!</f>
        <v>#REF!</v>
      </c>
      <c r="U34" s="4" t="e">
        <f>#REF!</f>
        <v>#REF!</v>
      </c>
      <c r="V34" s="4" t="e">
        <f>#REF!</f>
        <v>#REF!</v>
      </c>
      <c r="W34" s="4" t="e">
        <f>#REF!</f>
        <v>#REF!</v>
      </c>
      <c r="X34" s="4" t="e">
        <f>#REF!</f>
        <v>#REF!</v>
      </c>
      <c r="Y34" s="4" t="e">
        <f>#REF!</f>
        <v>#REF!</v>
      </c>
      <c r="Z34" s="4" t="e">
        <f>#REF!</f>
        <v>#REF!</v>
      </c>
      <c r="AA34" s="4" t="e">
        <f>#REF!</f>
        <v>#REF!</v>
      </c>
      <c r="AB34" s="213" t="e">
        <f>#REF!</f>
        <v>#REF!</v>
      </c>
      <c r="AC34" s="3" t="e">
        <f>#REF!</f>
        <v>#REF!</v>
      </c>
    </row>
    <row r="35" spans="1:29" ht="40.200000000000003" customHeight="1">
      <c r="A35" s="3">
        <f t="shared" si="1"/>
        <v>28</v>
      </c>
      <c r="B35" s="3" t="e">
        <f>#REF!</f>
        <v>#REF!</v>
      </c>
      <c r="C35" s="213" t="e">
        <f>#REF!</f>
        <v>#REF!</v>
      </c>
      <c r="D35" s="4" t="e">
        <f>#REF!</f>
        <v>#REF!</v>
      </c>
      <c r="E35" s="4" t="e">
        <f>#REF!</f>
        <v>#REF!</v>
      </c>
      <c r="F35" s="4" t="e">
        <f>#REF!</f>
        <v>#REF!</v>
      </c>
      <c r="G35" s="4" t="e">
        <f>#REF!</f>
        <v>#REF!</v>
      </c>
      <c r="H35" s="4" t="e">
        <f>#REF!</f>
        <v>#REF!</v>
      </c>
      <c r="I35" s="4" t="e">
        <f>#REF!</f>
        <v>#REF!</v>
      </c>
      <c r="J35" s="4" t="e">
        <f>#REF!</f>
        <v>#REF!</v>
      </c>
      <c r="K35" s="4" t="e">
        <f>#REF!</f>
        <v>#REF!</v>
      </c>
      <c r="L35" s="4" t="e">
        <f>#REF!</f>
        <v>#REF!</v>
      </c>
      <c r="M35" s="4" t="e">
        <f>#REF!</f>
        <v>#REF!</v>
      </c>
      <c r="N35" s="4" t="e">
        <f>#REF!</f>
        <v>#REF!</v>
      </c>
      <c r="O35" s="4" t="e">
        <f>#REF!</f>
        <v>#REF!</v>
      </c>
      <c r="P35" s="4" t="e">
        <f>#REF!</f>
        <v>#REF!</v>
      </c>
      <c r="Q35" s="4" t="e">
        <f>#REF!</f>
        <v>#REF!</v>
      </c>
      <c r="R35" s="4" t="e">
        <f>#REF!</f>
        <v>#REF!</v>
      </c>
      <c r="S35" s="4" t="e">
        <f>#REF!</f>
        <v>#REF!</v>
      </c>
      <c r="T35" s="4" t="e">
        <f>#REF!</f>
        <v>#REF!</v>
      </c>
      <c r="U35" s="4" t="e">
        <f>#REF!</f>
        <v>#REF!</v>
      </c>
      <c r="V35" s="4" t="e">
        <f>#REF!</f>
        <v>#REF!</v>
      </c>
      <c r="W35" s="4" t="e">
        <f>#REF!</f>
        <v>#REF!</v>
      </c>
      <c r="X35" s="4" t="e">
        <f>#REF!</f>
        <v>#REF!</v>
      </c>
      <c r="Y35" s="4" t="e">
        <f>#REF!</f>
        <v>#REF!</v>
      </c>
      <c r="Z35" s="4" t="e">
        <f>#REF!</f>
        <v>#REF!</v>
      </c>
      <c r="AA35" s="4" t="e">
        <f>#REF!</f>
        <v>#REF!</v>
      </c>
      <c r="AB35" s="213" t="e">
        <f>#REF!</f>
        <v>#REF!</v>
      </c>
      <c r="AC35" s="3" t="e">
        <f>#REF!</f>
        <v>#REF!</v>
      </c>
    </row>
    <row r="36" spans="1:29" ht="40.200000000000003" customHeight="1">
      <c r="A36" s="3">
        <f t="shared" si="1"/>
        <v>29</v>
      </c>
      <c r="B36" s="3" t="e">
        <f>#REF!</f>
        <v>#REF!</v>
      </c>
      <c r="C36" s="213" t="e">
        <f>#REF!</f>
        <v>#REF!</v>
      </c>
      <c r="D36" s="4" t="e">
        <f>#REF!</f>
        <v>#REF!</v>
      </c>
      <c r="E36" s="4" t="e">
        <f>#REF!</f>
        <v>#REF!</v>
      </c>
      <c r="F36" s="4" t="e">
        <f>#REF!</f>
        <v>#REF!</v>
      </c>
      <c r="G36" s="4" t="e">
        <f>#REF!</f>
        <v>#REF!</v>
      </c>
      <c r="H36" s="4" t="e">
        <f>#REF!</f>
        <v>#REF!</v>
      </c>
      <c r="I36" s="4" t="e">
        <f>#REF!</f>
        <v>#REF!</v>
      </c>
      <c r="J36" s="4" t="e">
        <f>#REF!</f>
        <v>#REF!</v>
      </c>
      <c r="K36" s="4" t="e">
        <f>#REF!</f>
        <v>#REF!</v>
      </c>
      <c r="L36" s="4" t="e">
        <f>#REF!</f>
        <v>#REF!</v>
      </c>
      <c r="M36" s="4" t="e">
        <f>#REF!</f>
        <v>#REF!</v>
      </c>
      <c r="N36" s="4" t="e">
        <f>#REF!</f>
        <v>#REF!</v>
      </c>
      <c r="O36" s="4" t="e">
        <f>#REF!</f>
        <v>#REF!</v>
      </c>
      <c r="P36" s="4" t="e">
        <f>#REF!</f>
        <v>#REF!</v>
      </c>
      <c r="Q36" s="4" t="e">
        <f>#REF!</f>
        <v>#REF!</v>
      </c>
      <c r="R36" s="4" t="e">
        <f>#REF!</f>
        <v>#REF!</v>
      </c>
      <c r="S36" s="4" t="e">
        <f>#REF!</f>
        <v>#REF!</v>
      </c>
      <c r="T36" s="4" t="e">
        <f>#REF!</f>
        <v>#REF!</v>
      </c>
      <c r="U36" s="4" t="e">
        <f>#REF!</f>
        <v>#REF!</v>
      </c>
      <c r="V36" s="4" t="e">
        <f>#REF!</f>
        <v>#REF!</v>
      </c>
      <c r="W36" s="4" t="e">
        <f>#REF!</f>
        <v>#REF!</v>
      </c>
      <c r="X36" s="4" t="e">
        <f>#REF!</f>
        <v>#REF!</v>
      </c>
      <c r="Y36" s="4" t="e">
        <f>#REF!</f>
        <v>#REF!</v>
      </c>
      <c r="Z36" s="4" t="e">
        <f>#REF!</f>
        <v>#REF!</v>
      </c>
      <c r="AA36" s="4" t="e">
        <f>#REF!</f>
        <v>#REF!</v>
      </c>
      <c r="AB36" s="213" t="e">
        <f>#REF!</f>
        <v>#REF!</v>
      </c>
      <c r="AC36" s="3" t="e">
        <f>#REF!</f>
        <v>#REF!</v>
      </c>
    </row>
    <row r="37" spans="1:29" s="409" customFormat="1" ht="40.200000000000003" customHeight="1">
      <c r="A37" s="7"/>
      <c r="B37" s="7"/>
      <c r="C37" s="13" t="s">
        <v>526</v>
      </c>
      <c r="D37" s="8" t="e">
        <f t="shared" ref="D37:AA37" si="4">SUM(D17:D36)</f>
        <v>#REF!</v>
      </c>
      <c r="E37" s="8" t="e">
        <f t="shared" si="4"/>
        <v>#REF!</v>
      </c>
      <c r="F37" s="8" t="e">
        <f t="shared" si="4"/>
        <v>#REF!</v>
      </c>
      <c r="G37" s="8" t="e">
        <f t="shared" si="4"/>
        <v>#REF!</v>
      </c>
      <c r="H37" s="8" t="e">
        <f t="shared" si="4"/>
        <v>#REF!</v>
      </c>
      <c r="I37" s="8" t="e">
        <f t="shared" si="4"/>
        <v>#REF!</v>
      </c>
      <c r="J37" s="8" t="e">
        <f t="shared" si="4"/>
        <v>#REF!</v>
      </c>
      <c r="K37" s="8" t="e">
        <f t="shared" si="4"/>
        <v>#REF!</v>
      </c>
      <c r="L37" s="8" t="e">
        <f t="shared" si="4"/>
        <v>#REF!</v>
      </c>
      <c r="M37" s="8" t="e">
        <f t="shared" si="4"/>
        <v>#REF!</v>
      </c>
      <c r="N37" s="8" t="e">
        <f t="shared" si="4"/>
        <v>#REF!</v>
      </c>
      <c r="O37" s="8" t="e">
        <f t="shared" si="4"/>
        <v>#REF!</v>
      </c>
      <c r="P37" s="8" t="e">
        <f t="shared" si="4"/>
        <v>#REF!</v>
      </c>
      <c r="Q37" s="8" t="e">
        <f t="shared" si="4"/>
        <v>#REF!</v>
      </c>
      <c r="R37" s="8" t="e">
        <f t="shared" si="4"/>
        <v>#REF!</v>
      </c>
      <c r="S37" s="8" t="e">
        <f t="shared" si="4"/>
        <v>#REF!</v>
      </c>
      <c r="T37" s="8" t="e">
        <f t="shared" si="4"/>
        <v>#REF!</v>
      </c>
      <c r="U37" s="8" t="e">
        <f t="shared" si="4"/>
        <v>#REF!</v>
      </c>
      <c r="V37" s="8" t="e">
        <f t="shared" si="4"/>
        <v>#REF!</v>
      </c>
      <c r="W37" s="8" t="e">
        <f t="shared" si="4"/>
        <v>#REF!</v>
      </c>
      <c r="X37" s="8" t="e">
        <f t="shared" si="4"/>
        <v>#REF!</v>
      </c>
      <c r="Y37" s="8" t="e">
        <f t="shared" si="4"/>
        <v>#REF!</v>
      </c>
      <c r="Z37" s="8" t="e">
        <f t="shared" si="4"/>
        <v>#REF!</v>
      </c>
      <c r="AA37" s="8" t="e">
        <f t="shared" si="4"/>
        <v>#REF!</v>
      </c>
      <c r="AB37" s="13"/>
      <c r="AC37" s="7"/>
    </row>
    <row r="38" spans="1:29" ht="40.200000000000003" customHeight="1">
      <c r="A38" s="3">
        <f>A36+1</f>
        <v>30</v>
      </c>
      <c r="B38" s="3" t="e">
        <f>#REF!</f>
        <v>#REF!</v>
      </c>
      <c r="C38" s="213" t="e">
        <f>#REF!</f>
        <v>#REF!</v>
      </c>
      <c r="D38" s="4" t="e">
        <f>#REF!</f>
        <v>#REF!</v>
      </c>
      <c r="E38" s="4" t="e">
        <f>#REF!</f>
        <v>#REF!</v>
      </c>
      <c r="F38" s="4" t="e">
        <f>#REF!</f>
        <v>#REF!</v>
      </c>
      <c r="G38" s="4" t="e">
        <f>#REF!</f>
        <v>#REF!</v>
      </c>
      <c r="H38" s="4" t="e">
        <f>#REF!</f>
        <v>#REF!</v>
      </c>
      <c r="I38" s="4" t="e">
        <f>#REF!</f>
        <v>#REF!</v>
      </c>
      <c r="J38" s="4" t="e">
        <f>#REF!</f>
        <v>#REF!</v>
      </c>
      <c r="K38" s="4" t="e">
        <f>#REF!</f>
        <v>#REF!</v>
      </c>
      <c r="L38" s="4" t="e">
        <f>#REF!</f>
        <v>#REF!</v>
      </c>
      <c r="M38" s="4" t="e">
        <f>#REF!</f>
        <v>#REF!</v>
      </c>
      <c r="N38" s="4" t="e">
        <f>#REF!</f>
        <v>#REF!</v>
      </c>
      <c r="O38" s="4" t="e">
        <f>#REF!</f>
        <v>#REF!</v>
      </c>
      <c r="P38" s="4" t="e">
        <f>#REF!</f>
        <v>#REF!</v>
      </c>
      <c r="Q38" s="4" t="e">
        <f>#REF!</f>
        <v>#REF!</v>
      </c>
      <c r="R38" s="4" t="e">
        <f>#REF!</f>
        <v>#REF!</v>
      </c>
      <c r="S38" s="4" t="e">
        <f>#REF!</f>
        <v>#REF!</v>
      </c>
      <c r="T38" s="4" t="e">
        <f>#REF!</f>
        <v>#REF!</v>
      </c>
      <c r="U38" s="4" t="e">
        <f>#REF!</f>
        <v>#REF!</v>
      </c>
      <c r="V38" s="4" t="e">
        <f>#REF!</f>
        <v>#REF!</v>
      </c>
      <c r="W38" s="4" t="e">
        <f>#REF!</f>
        <v>#REF!</v>
      </c>
      <c r="X38" s="4" t="e">
        <f>#REF!</f>
        <v>#REF!</v>
      </c>
      <c r="Y38" s="4" t="e">
        <f>#REF!</f>
        <v>#REF!</v>
      </c>
      <c r="Z38" s="4" t="e">
        <f>#REF!</f>
        <v>#REF!</v>
      </c>
      <c r="AA38" s="4" t="e">
        <f>#REF!</f>
        <v>#REF!</v>
      </c>
      <c r="AB38" s="213" t="e">
        <f>#REF!</f>
        <v>#REF!</v>
      </c>
      <c r="AC38" s="3" t="e">
        <f>#REF!</f>
        <v>#REF!</v>
      </c>
    </row>
    <row r="39" spans="1:29" ht="40.200000000000003" customHeight="1">
      <c r="A39" s="3">
        <f t="shared" si="1"/>
        <v>31</v>
      </c>
      <c r="B39" s="3" t="e">
        <f>#REF!</f>
        <v>#REF!</v>
      </c>
      <c r="C39" s="213" t="e">
        <f>#REF!</f>
        <v>#REF!</v>
      </c>
      <c r="D39" s="4" t="e">
        <f>#REF!</f>
        <v>#REF!</v>
      </c>
      <c r="E39" s="4" t="e">
        <f>#REF!</f>
        <v>#REF!</v>
      </c>
      <c r="F39" s="4" t="e">
        <f>#REF!</f>
        <v>#REF!</v>
      </c>
      <c r="G39" s="4" t="e">
        <f>#REF!</f>
        <v>#REF!</v>
      </c>
      <c r="H39" s="4" t="e">
        <f>#REF!</f>
        <v>#REF!</v>
      </c>
      <c r="I39" s="4" t="e">
        <f>#REF!</f>
        <v>#REF!</v>
      </c>
      <c r="J39" s="4" t="e">
        <f>#REF!</f>
        <v>#REF!</v>
      </c>
      <c r="K39" s="4" t="e">
        <f>#REF!</f>
        <v>#REF!</v>
      </c>
      <c r="L39" s="4" t="e">
        <f>#REF!</f>
        <v>#REF!</v>
      </c>
      <c r="M39" s="4" t="e">
        <f>#REF!</f>
        <v>#REF!</v>
      </c>
      <c r="N39" s="4" t="e">
        <f>#REF!</f>
        <v>#REF!</v>
      </c>
      <c r="O39" s="4" t="e">
        <f>#REF!</f>
        <v>#REF!</v>
      </c>
      <c r="P39" s="4" t="e">
        <f>#REF!</f>
        <v>#REF!</v>
      </c>
      <c r="Q39" s="4" t="e">
        <f>#REF!</f>
        <v>#REF!</v>
      </c>
      <c r="R39" s="4" t="e">
        <f>#REF!</f>
        <v>#REF!</v>
      </c>
      <c r="S39" s="4" t="e">
        <f>#REF!</f>
        <v>#REF!</v>
      </c>
      <c r="T39" s="4" t="e">
        <f>#REF!</f>
        <v>#REF!</v>
      </c>
      <c r="U39" s="4" t="e">
        <f>#REF!</f>
        <v>#REF!</v>
      </c>
      <c r="V39" s="4" t="e">
        <f>#REF!</f>
        <v>#REF!</v>
      </c>
      <c r="W39" s="4" t="e">
        <f>#REF!</f>
        <v>#REF!</v>
      </c>
      <c r="X39" s="4" t="e">
        <f>#REF!</f>
        <v>#REF!</v>
      </c>
      <c r="Y39" s="4" t="e">
        <f>#REF!</f>
        <v>#REF!</v>
      </c>
      <c r="Z39" s="4" t="e">
        <f>#REF!</f>
        <v>#REF!</v>
      </c>
      <c r="AA39" s="4" t="e">
        <f>#REF!</f>
        <v>#REF!</v>
      </c>
      <c r="AB39" s="213" t="e">
        <f>#REF!</f>
        <v>#REF!</v>
      </c>
      <c r="AC39" s="3" t="e">
        <f>#REF!</f>
        <v>#REF!</v>
      </c>
    </row>
    <row r="40" spans="1:29" ht="40.200000000000003" customHeight="1">
      <c r="A40" s="3">
        <f t="shared" si="1"/>
        <v>32</v>
      </c>
      <c r="B40" s="3" t="e">
        <f>#REF!</f>
        <v>#REF!</v>
      </c>
      <c r="C40" s="213" t="e">
        <f>#REF!</f>
        <v>#REF!</v>
      </c>
      <c r="D40" s="4" t="e">
        <f>#REF!</f>
        <v>#REF!</v>
      </c>
      <c r="E40" s="4" t="e">
        <f>#REF!</f>
        <v>#REF!</v>
      </c>
      <c r="F40" s="4" t="e">
        <f>#REF!</f>
        <v>#REF!</v>
      </c>
      <c r="G40" s="4" t="e">
        <f>#REF!</f>
        <v>#REF!</v>
      </c>
      <c r="H40" s="4" t="e">
        <f>#REF!</f>
        <v>#REF!</v>
      </c>
      <c r="I40" s="4" t="e">
        <f>#REF!</f>
        <v>#REF!</v>
      </c>
      <c r="J40" s="4" t="e">
        <f>#REF!</f>
        <v>#REF!</v>
      </c>
      <c r="K40" s="4" t="e">
        <f>#REF!</f>
        <v>#REF!</v>
      </c>
      <c r="L40" s="4" t="e">
        <f>#REF!</f>
        <v>#REF!</v>
      </c>
      <c r="M40" s="4" t="e">
        <f>#REF!</f>
        <v>#REF!</v>
      </c>
      <c r="N40" s="4" t="e">
        <f>#REF!</f>
        <v>#REF!</v>
      </c>
      <c r="O40" s="4" t="e">
        <f>#REF!</f>
        <v>#REF!</v>
      </c>
      <c r="P40" s="4" t="e">
        <f>#REF!</f>
        <v>#REF!</v>
      </c>
      <c r="Q40" s="4" t="e">
        <f>#REF!</f>
        <v>#REF!</v>
      </c>
      <c r="R40" s="4" t="e">
        <f>#REF!</f>
        <v>#REF!</v>
      </c>
      <c r="S40" s="4" t="e">
        <f>#REF!</f>
        <v>#REF!</v>
      </c>
      <c r="T40" s="4" t="e">
        <f>#REF!</f>
        <v>#REF!</v>
      </c>
      <c r="U40" s="4" t="e">
        <f>#REF!</f>
        <v>#REF!</v>
      </c>
      <c r="V40" s="4" t="e">
        <f>#REF!</f>
        <v>#REF!</v>
      </c>
      <c r="W40" s="4" t="e">
        <f>#REF!</f>
        <v>#REF!</v>
      </c>
      <c r="X40" s="4" t="e">
        <f>#REF!</f>
        <v>#REF!</v>
      </c>
      <c r="Y40" s="4" t="e">
        <f>#REF!</f>
        <v>#REF!</v>
      </c>
      <c r="Z40" s="4" t="e">
        <f>#REF!</f>
        <v>#REF!</v>
      </c>
      <c r="AA40" s="4" t="e">
        <f>#REF!</f>
        <v>#REF!</v>
      </c>
      <c r="AB40" s="213" t="e">
        <f>#REF!</f>
        <v>#REF!</v>
      </c>
      <c r="AC40" s="3" t="e">
        <f>#REF!</f>
        <v>#REF!</v>
      </c>
    </row>
    <row r="41" spans="1:29" ht="40.200000000000003" customHeight="1">
      <c r="A41" s="3">
        <f t="shared" si="1"/>
        <v>33</v>
      </c>
      <c r="B41" s="3" t="e">
        <f>#REF!</f>
        <v>#REF!</v>
      </c>
      <c r="C41" s="213" t="e">
        <f>#REF!</f>
        <v>#REF!</v>
      </c>
      <c r="D41" s="4" t="e">
        <f>#REF!</f>
        <v>#REF!</v>
      </c>
      <c r="E41" s="4" t="e">
        <f>#REF!</f>
        <v>#REF!</v>
      </c>
      <c r="F41" s="4" t="e">
        <f>#REF!</f>
        <v>#REF!</v>
      </c>
      <c r="G41" s="4" t="e">
        <f>#REF!</f>
        <v>#REF!</v>
      </c>
      <c r="H41" s="4" t="e">
        <f>#REF!</f>
        <v>#REF!</v>
      </c>
      <c r="I41" s="4" t="e">
        <f>#REF!</f>
        <v>#REF!</v>
      </c>
      <c r="J41" s="4" t="e">
        <f>#REF!</f>
        <v>#REF!</v>
      </c>
      <c r="K41" s="4" t="e">
        <f>#REF!</f>
        <v>#REF!</v>
      </c>
      <c r="L41" s="4" t="e">
        <f>#REF!</f>
        <v>#REF!</v>
      </c>
      <c r="M41" s="4" t="e">
        <f>#REF!</f>
        <v>#REF!</v>
      </c>
      <c r="N41" s="4" t="e">
        <f>#REF!</f>
        <v>#REF!</v>
      </c>
      <c r="O41" s="4" t="e">
        <f>#REF!</f>
        <v>#REF!</v>
      </c>
      <c r="P41" s="4" t="e">
        <f>#REF!</f>
        <v>#REF!</v>
      </c>
      <c r="Q41" s="4" t="e">
        <f>#REF!</f>
        <v>#REF!</v>
      </c>
      <c r="R41" s="4" t="e">
        <f>#REF!</f>
        <v>#REF!</v>
      </c>
      <c r="S41" s="4" t="e">
        <f>#REF!</f>
        <v>#REF!</v>
      </c>
      <c r="T41" s="4" t="e">
        <f>#REF!</f>
        <v>#REF!</v>
      </c>
      <c r="U41" s="4" t="e">
        <f>#REF!</f>
        <v>#REF!</v>
      </c>
      <c r="V41" s="4" t="e">
        <f>#REF!</f>
        <v>#REF!</v>
      </c>
      <c r="W41" s="4" t="e">
        <f>#REF!</f>
        <v>#REF!</v>
      </c>
      <c r="X41" s="4" t="e">
        <f>#REF!</f>
        <v>#REF!</v>
      </c>
      <c r="Y41" s="4" t="e">
        <f>#REF!</f>
        <v>#REF!</v>
      </c>
      <c r="Z41" s="4" t="e">
        <f>#REF!</f>
        <v>#REF!</v>
      </c>
      <c r="AA41" s="4" t="e">
        <f>#REF!</f>
        <v>#REF!</v>
      </c>
      <c r="AB41" s="213" t="e">
        <f>#REF!</f>
        <v>#REF!</v>
      </c>
      <c r="AC41" s="3" t="e">
        <f>#REF!</f>
        <v>#REF!</v>
      </c>
    </row>
    <row r="42" spans="1:29" ht="40.200000000000003" customHeight="1">
      <c r="A42" s="3">
        <f t="shared" si="1"/>
        <v>34</v>
      </c>
      <c r="B42" s="3" t="e">
        <f>#REF!</f>
        <v>#REF!</v>
      </c>
      <c r="C42" s="213" t="e">
        <f>#REF!</f>
        <v>#REF!</v>
      </c>
      <c r="D42" s="4" t="e">
        <f>#REF!</f>
        <v>#REF!</v>
      </c>
      <c r="E42" s="4" t="e">
        <f>#REF!</f>
        <v>#REF!</v>
      </c>
      <c r="F42" s="4" t="e">
        <f>#REF!</f>
        <v>#REF!</v>
      </c>
      <c r="G42" s="4" t="e">
        <f>#REF!</f>
        <v>#REF!</v>
      </c>
      <c r="H42" s="4" t="e">
        <f>#REF!</f>
        <v>#REF!</v>
      </c>
      <c r="I42" s="4" t="e">
        <f>#REF!</f>
        <v>#REF!</v>
      </c>
      <c r="J42" s="4" t="e">
        <f>#REF!</f>
        <v>#REF!</v>
      </c>
      <c r="K42" s="4" t="e">
        <f>#REF!</f>
        <v>#REF!</v>
      </c>
      <c r="L42" s="4" t="e">
        <f>#REF!</f>
        <v>#REF!</v>
      </c>
      <c r="M42" s="4" t="e">
        <f>#REF!</f>
        <v>#REF!</v>
      </c>
      <c r="N42" s="4" t="e">
        <f>#REF!</f>
        <v>#REF!</v>
      </c>
      <c r="O42" s="4" t="e">
        <f>#REF!</f>
        <v>#REF!</v>
      </c>
      <c r="P42" s="4" t="e">
        <f>#REF!</f>
        <v>#REF!</v>
      </c>
      <c r="Q42" s="4" t="e">
        <f>#REF!</f>
        <v>#REF!</v>
      </c>
      <c r="R42" s="4" t="e">
        <f>#REF!</f>
        <v>#REF!</v>
      </c>
      <c r="S42" s="4" t="e">
        <f>#REF!</f>
        <v>#REF!</v>
      </c>
      <c r="T42" s="4" t="e">
        <f>#REF!</f>
        <v>#REF!</v>
      </c>
      <c r="U42" s="4" t="e">
        <f>#REF!</f>
        <v>#REF!</v>
      </c>
      <c r="V42" s="4" t="e">
        <f>#REF!</f>
        <v>#REF!</v>
      </c>
      <c r="W42" s="4" t="e">
        <f>#REF!</f>
        <v>#REF!</v>
      </c>
      <c r="X42" s="4" t="e">
        <f>#REF!</f>
        <v>#REF!</v>
      </c>
      <c r="Y42" s="4" t="e">
        <f>#REF!</f>
        <v>#REF!</v>
      </c>
      <c r="Z42" s="4" t="e">
        <f>#REF!</f>
        <v>#REF!</v>
      </c>
      <c r="AA42" s="4" t="e">
        <f>#REF!</f>
        <v>#REF!</v>
      </c>
      <c r="AB42" s="213" t="e">
        <f>#REF!</f>
        <v>#REF!</v>
      </c>
      <c r="AC42" s="3" t="e">
        <f>#REF!</f>
        <v>#REF!</v>
      </c>
    </row>
    <row r="43" spans="1:29" ht="40.200000000000003" customHeight="1">
      <c r="A43" s="3">
        <f t="shared" si="1"/>
        <v>35</v>
      </c>
      <c r="B43" s="3" t="e">
        <f>#REF!</f>
        <v>#REF!</v>
      </c>
      <c r="C43" s="213" t="e">
        <f>#REF!</f>
        <v>#REF!</v>
      </c>
      <c r="D43" s="4" t="e">
        <f>#REF!</f>
        <v>#REF!</v>
      </c>
      <c r="E43" s="4" t="e">
        <f>#REF!</f>
        <v>#REF!</v>
      </c>
      <c r="F43" s="4" t="e">
        <f>#REF!</f>
        <v>#REF!</v>
      </c>
      <c r="G43" s="4" t="e">
        <f>#REF!</f>
        <v>#REF!</v>
      </c>
      <c r="H43" s="4" t="e">
        <f>#REF!</f>
        <v>#REF!</v>
      </c>
      <c r="I43" s="4" t="e">
        <f>#REF!</f>
        <v>#REF!</v>
      </c>
      <c r="J43" s="4" t="e">
        <f>#REF!</f>
        <v>#REF!</v>
      </c>
      <c r="K43" s="4" t="e">
        <f>#REF!</f>
        <v>#REF!</v>
      </c>
      <c r="L43" s="4" t="e">
        <f>#REF!</f>
        <v>#REF!</v>
      </c>
      <c r="M43" s="4" t="e">
        <f>#REF!</f>
        <v>#REF!</v>
      </c>
      <c r="N43" s="4" t="e">
        <f>#REF!</f>
        <v>#REF!</v>
      </c>
      <c r="O43" s="4" t="e">
        <f>#REF!</f>
        <v>#REF!</v>
      </c>
      <c r="P43" s="4" t="e">
        <f>#REF!</f>
        <v>#REF!</v>
      </c>
      <c r="Q43" s="4" t="e">
        <f>#REF!</f>
        <v>#REF!</v>
      </c>
      <c r="R43" s="4" t="e">
        <f>#REF!</f>
        <v>#REF!</v>
      </c>
      <c r="S43" s="4" t="e">
        <f>#REF!</f>
        <v>#REF!</v>
      </c>
      <c r="T43" s="4" t="e">
        <f>#REF!</f>
        <v>#REF!</v>
      </c>
      <c r="U43" s="4" t="e">
        <f>#REF!</f>
        <v>#REF!</v>
      </c>
      <c r="V43" s="4" t="e">
        <f>#REF!</f>
        <v>#REF!</v>
      </c>
      <c r="W43" s="4" t="e">
        <f>#REF!</f>
        <v>#REF!</v>
      </c>
      <c r="X43" s="4" t="e">
        <f>#REF!</f>
        <v>#REF!</v>
      </c>
      <c r="Y43" s="4" t="e">
        <f>#REF!</f>
        <v>#REF!</v>
      </c>
      <c r="Z43" s="4" t="e">
        <f>#REF!</f>
        <v>#REF!</v>
      </c>
      <c r="AA43" s="4" t="e">
        <f>#REF!</f>
        <v>#REF!</v>
      </c>
      <c r="AB43" s="213" t="e">
        <f>#REF!</f>
        <v>#REF!</v>
      </c>
      <c r="AC43" s="3" t="e">
        <f>#REF!</f>
        <v>#REF!</v>
      </c>
    </row>
    <row r="44" spans="1:29" ht="40.200000000000003" customHeight="1">
      <c r="A44" s="3">
        <f t="shared" si="1"/>
        <v>36</v>
      </c>
      <c r="B44" s="3" t="e">
        <f>#REF!</f>
        <v>#REF!</v>
      </c>
      <c r="C44" s="213" t="e">
        <f>#REF!</f>
        <v>#REF!</v>
      </c>
      <c r="D44" s="4" t="e">
        <f>#REF!</f>
        <v>#REF!</v>
      </c>
      <c r="E44" s="4" t="e">
        <f>#REF!</f>
        <v>#REF!</v>
      </c>
      <c r="F44" s="4" t="e">
        <f>#REF!</f>
        <v>#REF!</v>
      </c>
      <c r="G44" s="4" t="e">
        <f>#REF!</f>
        <v>#REF!</v>
      </c>
      <c r="H44" s="4" t="e">
        <f>#REF!</f>
        <v>#REF!</v>
      </c>
      <c r="I44" s="4" t="e">
        <f>#REF!</f>
        <v>#REF!</v>
      </c>
      <c r="J44" s="4" t="e">
        <f>#REF!</f>
        <v>#REF!</v>
      </c>
      <c r="K44" s="4" t="e">
        <f>#REF!</f>
        <v>#REF!</v>
      </c>
      <c r="L44" s="4" t="e">
        <f>#REF!</f>
        <v>#REF!</v>
      </c>
      <c r="M44" s="4" t="e">
        <f>#REF!</f>
        <v>#REF!</v>
      </c>
      <c r="N44" s="4" t="e">
        <f>#REF!</f>
        <v>#REF!</v>
      </c>
      <c r="O44" s="4" t="e">
        <f>#REF!</f>
        <v>#REF!</v>
      </c>
      <c r="P44" s="4" t="e">
        <f>#REF!</f>
        <v>#REF!</v>
      </c>
      <c r="Q44" s="4" t="e">
        <f>#REF!</f>
        <v>#REF!</v>
      </c>
      <c r="R44" s="4" t="e">
        <f>#REF!</f>
        <v>#REF!</v>
      </c>
      <c r="S44" s="4" t="e">
        <f>#REF!</f>
        <v>#REF!</v>
      </c>
      <c r="T44" s="4" t="e">
        <f>#REF!</f>
        <v>#REF!</v>
      </c>
      <c r="U44" s="4" t="e">
        <f>#REF!</f>
        <v>#REF!</v>
      </c>
      <c r="V44" s="4" t="e">
        <f>#REF!</f>
        <v>#REF!</v>
      </c>
      <c r="W44" s="4" t="e">
        <f>#REF!</f>
        <v>#REF!</v>
      </c>
      <c r="X44" s="4" t="e">
        <f>#REF!</f>
        <v>#REF!</v>
      </c>
      <c r="Y44" s="4" t="e">
        <f>#REF!</f>
        <v>#REF!</v>
      </c>
      <c r="Z44" s="4" t="e">
        <f>#REF!</f>
        <v>#REF!</v>
      </c>
      <c r="AA44" s="4" t="e">
        <f>#REF!</f>
        <v>#REF!</v>
      </c>
      <c r="AB44" s="213" t="e">
        <f>#REF!</f>
        <v>#REF!</v>
      </c>
      <c r="AC44" s="3" t="e">
        <f>#REF!</f>
        <v>#REF!</v>
      </c>
    </row>
    <row r="45" spans="1:29" ht="40.200000000000003" customHeight="1">
      <c r="A45" s="3">
        <f t="shared" si="1"/>
        <v>37</v>
      </c>
      <c r="B45" s="3" t="e">
        <f>#REF!</f>
        <v>#REF!</v>
      </c>
      <c r="C45" s="213" t="e">
        <f>#REF!</f>
        <v>#REF!</v>
      </c>
      <c r="D45" s="4" t="e">
        <f>#REF!</f>
        <v>#REF!</v>
      </c>
      <c r="E45" s="4" t="e">
        <f>#REF!</f>
        <v>#REF!</v>
      </c>
      <c r="F45" s="4" t="e">
        <f>#REF!</f>
        <v>#REF!</v>
      </c>
      <c r="G45" s="4" t="e">
        <f>#REF!</f>
        <v>#REF!</v>
      </c>
      <c r="H45" s="4" t="e">
        <f>#REF!</f>
        <v>#REF!</v>
      </c>
      <c r="I45" s="4" t="e">
        <f>#REF!</f>
        <v>#REF!</v>
      </c>
      <c r="J45" s="4" t="e">
        <f>#REF!</f>
        <v>#REF!</v>
      </c>
      <c r="K45" s="4" t="e">
        <f>#REF!</f>
        <v>#REF!</v>
      </c>
      <c r="L45" s="4" t="e">
        <f>#REF!</f>
        <v>#REF!</v>
      </c>
      <c r="M45" s="4" t="e">
        <f>#REF!</f>
        <v>#REF!</v>
      </c>
      <c r="N45" s="4" t="e">
        <f>#REF!</f>
        <v>#REF!</v>
      </c>
      <c r="O45" s="4" t="e">
        <f>#REF!</f>
        <v>#REF!</v>
      </c>
      <c r="P45" s="4" t="e">
        <f>#REF!</f>
        <v>#REF!</v>
      </c>
      <c r="Q45" s="4" t="e">
        <f>#REF!</f>
        <v>#REF!</v>
      </c>
      <c r="R45" s="4" t="e">
        <f>#REF!</f>
        <v>#REF!</v>
      </c>
      <c r="S45" s="4" t="e">
        <f>#REF!</f>
        <v>#REF!</v>
      </c>
      <c r="T45" s="4" t="e">
        <f>#REF!</f>
        <v>#REF!</v>
      </c>
      <c r="U45" s="4" t="e">
        <f>#REF!</f>
        <v>#REF!</v>
      </c>
      <c r="V45" s="4" t="e">
        <f>#REF!</f>
        <v>#REF!</v>
      </c>
      <c r="W45" s="4" t="e">
        <f>#REF!</f>
        <v>#REF!</v>
      </c>
      <c r="X45" s="4" t="e">
        <f>#REF!</f>
        <v>#REF!</v>
      </c>
      <c r="Y45" s="4" t="e">
        <f>#REF!</f>
        <v>#REF!</v>
      </c>
      <c r="Z45" s="4" t="e">
        <f>#REF!</f>
        <v>#REF!</v>
      </c>
      <c r="AA45" s="4" t="e">
        <f>#REF!</f>
        <v>#REF!</v>
      </c>
      <c r="AB45" s="213" t="e">
        <f>#REF!</f>
        <v>#REF!</v>
      </c>
      <c r="AC45" s="3" t="e">
        <f>#REF!</f>
        <v>#REF!</v>
      </c>
    </row>
    <row r="46" spans="1:29" ht="40.200000000000003" customHeight="1">
      <c r="A46" s="3">
        <f t="shared" si="1"/>
        <v>38</v>
      </c>
      <c r="B46" s="3" t="e">
        <f>#REF!</f>
        <v>#REF!</v>
      </c>
      <c r="C46" s="213" t="e">
        <f>#REF!</f>
        <v>#REF!</v>
      </c>
      <c r="D46" s="4" t="e">
        <f>#REF!</f>
        <v>#REF!</v>
      </c>
      <c r="E46" s="4" t="e">
        <f>#REF!</f>
        <v>#REF!</v>
      </c>
      <c r="F46" s="4" t="e">
        <f>#REF!</f>
        <v>#REF!</v>
      </c>
      <c r="G46" s="4" t="e">
        <f>#REF!</f>
        <v>#REF!</v>
      </c>
      <c r="H46" s="4" t="e">
        <f>#REF!</f>
        <v>#REF!</v>
      </c>
      <c r="I46" s="4" t="e">
        <f>#REF!</f>
        <v>#REF!</v>
      </c>
      <c r="J46" s="4" t="e">
        <f>#REF!</f>
        <v>#REF!</v>
      </c>
      <c r="K46" s="4" t="e">
        <f>#REF!</f>
        <v>#REF!</v>
      </c>
      <c r="L46" s="4" t="e">
        <f>#REF!</f>
        <v>#REF!</v>
      </c>
      <c r="M46" s="4" t="e">
        <f>#REF!</f>
        <v>#REF!</v>
      </c>
      <c r="N46" s="4" t="e">
        <f>#REF!</f>
        <v>#REF!</v>
      </c>
      <c r="O46" s="4" t="e">
        <f>#REF!</f>
        <v>#REF!</v>
      </c>
      <c r="P46" s="4" t="e">
        <f>#REF!</f>
        <v>#REF!</v>
      </c>
      <c r="Q46" s="4" t="e">
        <f>#REF!</f>
        <v>#REF!</v>
      </c>
      <c r="R46" s="4" t="e">
        <f>#REF!</f>
        <v>#REF!</v>
      </c>
      <c r="S46" s="4" t="e">
        <f>#REF!</f>
        <v>#REF!</v>
      </c>
      <c r="T46" s="4" t="e">
        <f>#REF!</f>
        <v>#REF!</v>
      </c>
      <c r="U46" s="4" t="e">
        <f>#REF!</f>
        <v>#REF!</v>
      </c>
      <c r="V46" s="4" t="e">
        <f>#REF!</f>
        <v>#REF!</v>
      </c>
      <c r="W46" s="4" t="e">
        <f>#REF!</f>
        <v>#REF!</v>
      </c>
      <c r="X46" s="4" t="e">
        <f>#REF!</f>
        <v>#REF!</v>
      </c>
      <c r="Y46" s="4" t="e">
        <f>#REF!</f>
        <v>#REF!</v>
      </c>
      <c r="Z46" s="4" t="e">
        <f>#REF!</f>
        <v>#REF!</v>
      </c>
      <c r="AA46" s="4" t="e">
        <f>#REF!</f>
        <v>#REF!</v>
      </c>
      <c r="AB46" s="213" t="e">
        <f>#REF!</f>
        <v>#REF!</v>
      </c>
      <c r="AC46" s="3" t="e">
        <f>#REF!</f>
        <v>#REF!</v>
      </c>
    </row>
    <row r="47" spans="1:29" ht="40.200000000000003" customHeight="1">
      <c r="A47" s="3">
        <f t="shared" si="1"/>
        <v>39</v>
      </c>
      <c r="B47" s="3" t="e">
        <f>#REF!</f>
        <v>#REF!</v>
      </c>
      <c r="C47" s="213" t="e">
        <f>#REF!</f>
        <v>#REF!</v>
      </c>
      <c r="D47" s="4" t="e">
        <f>#REF!</f>
        <v>#REF!</v>
      </c>
      <c r="E47" s="4" t="e">
        <f>#REF!</f>
        <v>#REF!</v>
      </c>
      <c r="F47" s="4" t="e">
        <f>#REF!</f>
        <v>#REF!</v>
      </c>
      <c r="G47" s="4" t="e">
        <f>#REF!</f>
        <v>#REF!</v>
      </c>
      <c r="H47" s="4" t="e">
        <f>#REF!</f>
        <v>#REF!</v>
      </c>
      <c r="I47" s="4" t="e">
        <f>#REF!</f>
        <v>#REF!</v>
      </c>
      <c r="J47" s="4" t="e">
        <f>#REF!</f>
        <v>#REF!</v>
      </c>
      <c r="K47" s="4" t="e">
        <f>#REF!</f>
        <v>#REF!</v>
      </c>
      <c r="L47" s="4" t="e">
        <f>#REF!</f>
        <v>#REF!</v>
      </c>
      <c r="M47" s="4" t="e">
        <f>#REF!</f>
        <v>#REF!</v>
      </c>
      <c r="N47" s="4" t="e">
        <f>#REF!</f>
        <v>#REF!</v>
      </c>
      <c r="O47" s="4" t="e">
        <f>#REF!</f>
        <v>#REF!</v>
      </c>
      <c r="P47" s="4" t="e">
        <f>#REF!</f>
        <v>#REF!</v>
      </c>
      <c r="Q47" s="4" t="e">
        <f>#REF!</f>
        <v>#REF!</v>
      </c>
      <c r="R47" s="4" t="e">
        <f>#REF!</f>
        <v>#REF!</v>
      </c>
      <c r="S47" s="4" t="e">
        <f>#REF!</f>
        <v>#REF!</v>
      </c>
      <c r="T47" s="4" t="e">
        <f>#REF!</f>
        <v>#REF!</v>
      </c>
      <c r="U47" s="4" t="e">
        <f>#REF!</f>
        <v>#REF!</v>
      </c>
      <c r="V47" s="4" t="e">
        <f>#REF!</f>
        <v>#REF!</v>
      </c>
      <c r="W47" s="4" t="e">
        <f>#REF!</f>
        <v>#REF!</v>
      </c>
      <c r="X47" s="4" t="e">
        <f>#REF!</f>
        <v>#REF!</v>
      </c>
      <c r="Y47" s="4" t="e">
        <f>#REF!</f>
        <v>#REF!</v>
      </c>
      <c r="Z47" s="4" t="e">
        <f>#REF!</f>
        <v>#REF!</v>
      </c>
      <c r="AA47" s="4" t="e">
        <f>#REF!</f>
        <v>#REF!</v>
      </c>
      <c r="AB47" s="213" t="e">
        <f>#REF!</f>
        <v>#REF!</v>
      </c>
      <c r="AC47" s="3" t="e">
        <f>#REF!</f>
        <v>#REF!</v>
      </c>
    </row>
    <row r="48" spans="1:29" ht="40.200000000000003" customHeight="1">
      <c r="A48" s="3">
        <f t="shared" si="1"/>
        <v>40</v>
      </c>
      <c r="B48" s="3" t="e">
        <f>#REF!</f>
        <v>#REF!</v>
      </c>
      <c r="C48" s="213" t="e">
        <f>#REF!</f>
        <v>#REF!</v>
      </c>
      <c r="D48" s="4" t="e">
        <f>#REF!</f>
        <v>#REF!</v>
      </c>
      <c r="E48" s="4" t="e">
        <f>#REF!</f>
        <v>#REF!</v>
      </c>
      <c r="F48" s="4" t="e">
        <f>#REF!</f>
        <v>#REF!</v>
      </c>
      <c r="G48" s="4" t="e">
        <f>#REF!</f>
        <v>#REF!</v>
      </c>
      <c r="H48" s="4" t="e">
        <f>#REF!</f>
        <v>#REF!</v>
      </c>
      <c r="I48" s="4" t="e">
        <f>#REF!</f>
        <v>#REF!</v>
      </c>
      <c r="J48" s="4" t="e">
        <f>#REF!</f>
        <v>#REF!</v>
      </c>
      <c r="K48" s="4" t="e">
        <f>#REF!</f>
        <v>#REF!</v>
      </c>
      <c r="L48" s="4" t="e">
        <f>#REF!</f>
        <v>#REF!</v>
      </c>
      <c r="M48" s="4" t="e">
        <f>#REF!</f>
        <v>#REF!</v>
      </c>
      <c r="N48" s="4" t="e">
        <f>#REF!</f>
        <v>#REF!</v>
      </c>
      <c r="O48" s="4" t="e">
        <f>#REF!</f>
        <v>#REF!</v>
      </c>
      <c r="P48" s="4" t="e">
        <f>#REF!</f>
        <v>#REF!</v>
      </c>
      <c r="Q48" s="4" t="e">
        <f>#REF!</f>
        <v>#REF!</v>
      </c>
      <c r="R48" s="4" t="e">
        <f>#REF!</f>
        <v>#REF!</v>
      </c>
      <c r="S48" s="4" t="e">
        <f>#REF!</f>
        <v>#REF!</v>
      </c>
      <c r="T48" s="4" t="e">
        <f>#REF!</f>
        <v>#REF!</v>
      </c>
      <c r="U48" s="4" t="e">
        <f>#REF!</f>
        <v>#REF!</v>
      </c>
      <c r="V48" s="4" t="e">
        <f>#REF!</f>
        <v>#REF!</v>
      </c>
      <c r="W48" s="4" t="e">
        <f>#REF!</f>
        <v>#REF!</v>
      </c>
      <c r="X48" s="4" t="e">
        <f>#REF!</f>
        <v>#REF!</v>
      </c>
      <c r="Y48" s="4" t="e">
        <f>#REF!</f>
        <v>#REF!</v>
      </c>
      <c r="Z48" s="4" t="e">
        <f>#REF!</f>
        <v>#REF!</v>
      </c>
      <c r="AA48" s="4" t="e">
        <f>#REF!</f>
        <v>#REF!</v>
      </c>
      <c r="AB48" s="213" t="e">
        <f>#REF!</f>
        <v>#REF!</v>
      </c>
      <c r="AC48" s="3" t="e">
        <f>#REF!</f>
        <v>#REF!</v>
      </c>
    </row>
    <row r="49" spans="1:29" ht="40.200000000000003" customHeight="1">
      <c r="A49" s="3">
        <f t="shared" si="1"/>
        <v>41</v>
      </c>
      <c r="B49" s="3" t="e">
        <f>#REF!</f>
        <v>#REF!</v>
      </c>
      <c r="C49" s="213" t="e">
        <f>#REF!</f>
        <v>#REF!</v>
      </c>
      <c r="D49" s="4" t="e">
        <f>#REF!</f>
        <v>#REF!</v>
      </c>
      <c r="E49" s="4" t="e">
        <f>#REF!</f>
        <v>#REF!</v>
      </c>
      <c r="F49" s="4" t="e">
        <f>#REF!</f>
        <v>#REF!</v>
      </c>
      <c r="G49" s="4" t="e">
        <f>#REF!</f>
        <v>#REF!</v>
      </c>
      <c r="H49" s="4" t="e">
        <f>#REF!</f>
        <v>#REF!</v>
      </c>
      <c r="I49" s="4" t="e">
        <f>#REF!</f>
        <v>#REF!</v>
      </c>
      <c r="J49" s="4" t="e">
        <f>#REF!</f>
        <v>#REF!</v>
      </c>
      <c r="K49" s="4" t="e">
        <f>#REF!</f>
        <v>#REF!</v>
      </c>
      <c r="L49" s="4" t="e">
        <f>#REF!</f>
        <v>#REF!</v>
      </c>
      <c r="M49" s="4" t="e">
        <f>#REF!</f>
        <v>#REF!</v>
      </c>
      <c r="N49" s="4" t="e">
        <f>#REF!</f>
        <v>#REF!</v>
      </c>
      <c r="O49" s="4" t="e">
        <f>#REF!</f>
        <v>#REF!</v>
      </c>
      <c r="P49" s="4" t="e">
        <f>#REF!</f>
        <v>#REF!</v>
      </c>
      <c r="Q49" s="4" t="e">
        <f>#REF!</f>
        <v>#REF!</v>
      </c>
      <c r="R49" s="4" t="e">
        <f>#REF!</f>
        <v>#REF!</v>
      </c>
      <c r="S49" s="4" t="e">
        <f>#REF!</f>
        <v>#REF!</v>
      </c>
      <c r="T49" s="4" t="e">
        <f>#REF!</f>
        <v>#REF!</v>
      </c>
      <c r="U49" s="4" t="e">
        <f>#REF!</f>
        <v>#REF!</v>
      </c>
      <c r="V49" s="4" t="e">
        <f>#REF!</f>
        <v>#REF!</v>
      </c>
      <c r="W49" s="4" t="e">
        <f>#REF!</f>
        <v>#REF!</v>
      </c>
      <c r="X49" s="4" t="e">
        <f>#REF!</f>
        <v>#REF!</v>
      </c>
      <c r="Y49" s="4" t="e">
        <f>#REF!</f>
        <v>#REF!</v>
      </c>
      <c r="Z49" s="4" t="e">
        <f>#REF!</f>
        <v>#REF!</v>
      </c>
      <c r="AA49" s="4" t="e">
        <f>#REF!</f>
        <v>#REF!</v>
      </c>
      <c r="AB49" s="213" t="e">
        <f>#REF!</f>
        <v>#REF!</v>
      </c>
      <c r="AC49" s="3" t="e">
        <f>#REF!</f>
        <v>#REF!</v>
      </c>
    </row>
    <row r="50" spans="1:29" ht="40.200000000000003" customHeight="1">
      <c r="A50" s="3">
        <f t="shared" si="1"/>
        <v>42</v>
      </c>
      <c r="B50" s="3" t="e">
        <f>#REF!</f>
        <v>#REF!</v>
      </c>
      <c r="C50" s="213" t="e">
        <f>#REF!</f>
        <v>#REF!</v>
      </c>
      <c r="D50" s="4" t="e">
        <f>#REF!</f>
        <v>#REF!</v>
      </c>
      <c r="E50" s="4" t="e">
        <f>#REF!</f>
        <v>#REF!</v>
      </c>
      <c r="F50" s="4" t="e">
        <f>#REF!</f>
        <v>#REF!</v>
      </c>
      <c r="G50" s="4" t="e">
        <f>#REF!</f>
        <v>#REF!</v>
      </c>
      <c r="H50" s="4" t="e">
        <f>#REF!</f>
        <v>#REF!</v>
      </c>
      <c r="I50" s="4" t="e">
        <f>#REF!</f>
        <v>#REF!</v>
      </c>
      <c r="J50" s="4" t="e">
        <f>#REF!</f>
        <v>#REF!</v>
      </c>
      <c r="K50" s="4" t="e">
        <f>#REF!</f>
        <v>#REF!</v>
      </c>
      <c r="L50" s="4" t="e">
        <f>#REF!</f>
        <v>#REF!</v>
      </c>
      <c r="M50" s="4" t="e">
        <f>#REF!</f>
        <v>#REF!</v>
      </c>
      <c r="N50" s="4" t="e">
        <f>#REF!</f>
        <v>#REF!</v>
      </c>
      <c r="O50" s="4" t="e">
        <f>#REF!</f>
        <v>#REF!</v>
      </c>
      <c r="P50" s="4" t="e">
        <f>#REF!</f>
        <v>#REF!</v>
      </c>
      <c r="Q50" s="4" t="e">
        <f>#REF!</f>
        <v>#REF!</v>
      </c>
      <c r="R50" s="4" t="e">
        <f>#REF!</f>
        <v>#REF!</v>
      </c>
      <c r="S50" s="4" t="e">
        <f>#REF!</f>
        <v>#REF!</v>
      </c>
      <c r="T50" s="4" t="e">
        <f>#REF!</f>
        <v>#REF!</v>
      </c>
      <c r="U50" s="4" t="e">
        <f>#REF!</f>
        <v>#REF!</v>
      </c>
      <c r="V50" s="4" t="e">
        <f>#REF!</f>
        <v>#REF!</v>
      </c>
      <c r="W50" s="4" t="e">
        <f>#REF!</f>
        <v>#REF!</v>
      </c>
      <c r="X50" s="4" t="e">
        <f>#REF!</f>
        <v>#REF!</v>
      </c>
      <c r="Y50" s="4" t="e">
        <f>#REF!</f>
        <v>#REF!</v>
      </c>
      <c r="Z50" s="4" t="e">
        <f>#REF!</f>
        <v>#REF!</v>
      </c>
      <c r="AA50" s="4" t="e">
        <f>#REF!</f>
        <v>#REF!</v>
      </c>
      <c r="AB50" s="213" t="e">
        <f>#REF!</f>
        <v>#REF!</v>
      </c>
      <c r="AC50" s="3" t="e">
        <f>#REF!</f>
        <v>#REF!</v>
      </c>
    </row>
    <row r="51" spans="1:29" ht="40.200000000000003" customHeight="1">
      <c r="A51" s="3">
        <f t="shared" si="1"/>
        <v>43</v>
      </c>
      <c r="B51" s="3" t="e">
        <f>#REF!</f>
        <v>#REF!</v>
      </c>
      <c r="C51" s="213" t="e">
        <f>#REF!</f>
        <v>#REF!</v>
      </c>
      <c r="D51" s="4" t="e">
        <f>#REF!</f>
        <v>#REF!</v>
      </c>
      <c r="E51" s="4" t="e">
        <f>#REF!</f>
        <v>#REF!</v>
      </c>
      <c r="F51" s="4" t="e">
        <f>#REF!</f>
        <v>#REF!</v>
      </c>
      <c r="G51" s="4" t="e">
        <f>#REF!</f>
        <v>#REF!</v>
      </c>
      <c r="H51" s="4" t="e">
        <f>#REF!</f>
        <v>#REF!</v>
      </c>
      <c r="I51" s="4" t="e">
        <f>#REF!</f>
        <v>#REF!</v>
      </c>
      <c r="J51" s="4" t="e">
        <f>#REF!</f>
        <v>#REF!</v>
      </c>
      <c r="K51" s="4" t="e">
        <f>#REF!</f>
        <v>#REF!</v>
      </c>
      <c r="L51" s="4" t="e">
        <f>#REF!</f>
        <v>#REF!</v>
      </c>
      <c r="M51" s="4" t="e">
        <f>#REF!</f>
        <v>#REF!</v>
      </c>
      <c r="N51" s="4" t="e">
        <f>#REF!</f>
        <v>#REF!</v>
      </c>
      <c r="O51" s="4" t="e">
        <f>#REF!</f>
        <v>#REF!</v>
      </c>
      <c r="P51" s="4" t="e">
        <f>#REF!</f>
        <v>#REF!</v>
      </c>
      <c r="Q51" s="4" t="e">
        <f>#REF!</f>
        <v>#REF!</v>
      </c>
      <c r="R51" s="4" t="e">
        <f>#REF!</f>
        <v>#REF!</v>
      </c>
      <c r="S51" s="4" t="e">
        <f>#REF!</f>
        <v>#REF!</v>
      </c>
      <c r="T51" s="4" t="e">
        <f>#REF!</f>
        <v>#REF!</v>
      </c>
      <c r="U51" s="4" t="e">
        <f>#REF!</f>
        <v>#REF!</v>
      </c>
      <c r="V51" s="4" t="e">
        <f>#REF!</f>
        <v>#REF!</v>
      </c>
      <c r="W51" s="4" t="e">
        <f>#REF!</f>
        <v>#REF!</v>
      </c>
      <c r="X51" s="4" t="e">
        <f>#REF!</f>
        <v>#REF!</v>
      </c>
      <c r="Y51" s="4" t="e">
        <f>#REF!</f>
        <v>#REF!</v>
      </c>
      <c r="Z51" s="4" t="e">
        <f>#REF!</f>
        <v>#REF!</v>
      </c>
      <c r="AA51" s="4" t="e">
        <f>#REF!</f>
        <v>#REF!</v>
      </c>
      <c r="AB51" s="213" t="e">
        <f>#REF!</f>
        <v>#REF!</v>
      </c>
      <c r="AC51" s="3" t="e">
        <f>#REF!</f>
        <v>#REF!</v>
      </c>
    </row>
    <row r="52" spans="1:29" ht="40.200000000000003" customHeight="1">
      <c r="A52" s="3">
        <f t="shared" si="1"/>
        <v>44</v>
      </c>
      <c r="B52" s="3" t="e">
        <f>#REF!</f>
        <v>#REF!</v>
      </c>
      <c r="C52" s="213" t="e">
        <f>#REF!</f>
        <v>#REF!</v>
      </c>
      <c r="D52" s="4" t="e">
        <f>#REF!</f>
        <v>#REF!</v>
      </c>
      <c r="E52" s="4" t="e">
        <f>#REF!</f>
        <v>#REF!</v>
      </c>
      <c r="F52" s="4" t="e">
        <f>#REF!</f>
        <v>#REF!</v>
      </c>
      <c r="G52" s="4" t="e">
        <f>#REF!</f>
        <v>#REF!</v>
      </c>
      <c r="H52" s="4" t="e">
        <f>#REF!</f>
        <v>#REF!</v>
      </c>
      <c r="I52" s="4" t="e">
        <f>#REF!</f>
        <v>#REF!</v>
      </c>
      <c r="J52" s="4" t="e">
        <f>#REF!</f>
        <v>#REF!</v>
      </c>
      <c r="K52" s="4" t="e">
        <f>#REF!</f>
        <v>#REF!</v>
      </c>
      <c r="L52" s="4" t="e">
        <f>#REF!</f>
        <v>#REF!</v>
      </c>
      <c r="M52" s="4" t="e">
        <f>#REF!</f>
        <v>#REF!</v>
      </c>
      <c r="N52" s="4" t="e">
        <f>#REF!</f>
        <v>#REF!</v>
      </c>
      <c r="O52" s="4" t="e">
        <f>#REF!</f>
        <v>#REF!</v>
      </c>
      <c r="P52" s="4" t="e">
        <f>#REF!</f>
        <v>#REF!</v>
      </c>
      <c r="Q52" s="4" t="e">
        <f>#REF!</f>
        <v>#REF!</v>
      </c>
      <c r="R52" s="4" t="e">
        <f>#REF!</f>
        <v>#REF!</v>
      </c>
      <c r="S52" s="4" t="e">
        <f>#REF!</f>
        <v>#REF!</v>
      </c>
      <c r="T52" s="4" t="e">
        <f>#REF!</f>
        <v>#REF!</v>
      </c>
      <c r="U52" s="4" t="e">
        <f>#REF!</f>
        <v>#REF!</v>
      </c>
      <c r="V52" s="4" t="e">
        <f>#REF!</f>
        <v>#REF!</v>
      </c>
      <c r="W52" s="4" t="e">
        <f>#REF!</f>
        <v>#REF!</v>
      </c>
      <c r="X52" s="4" t="e">
        <f>#REF!</f>
        <v>#REF!</v>
      </c>
      <c r="Y52" s="4" t="e">
        <f>#REF!</f>
        <v>#REF!</v>
      </c>
      <c r="Z52" s="4" t="e">
        <f>#REF!</f>
        <v>#REF!</v>
      </c>
      <c r="AA52" s="4" t="e">
        <f>#REF!</f>
        <v>#REF!</v>
      </c>
      <c r="AB52" s="213" t="e">
        <f>#REF!</f>
        <v>#REF!</v>
      </c>
      <c r="AC52" s="3" t="e">
        <f>#REF!</f>
        <v>#REF!</v>
      </c>
    </row>
    <row r="53" spans="1:29" ht="40.200000000000003" customHeight="1">
      <c r="A53" s="3">
        <f t="shared" si="1"/>
        <v>45</v>
      </c>
      <c r="B53" s="3" t="e">
        <f>#REF!</f>
        <v>#REF!</v>
      </c>
      <c r="C53" s="213" t="e">
        <f>#REF!</f>
        <v>#REF!</v>
      </c>
      <c r="D53" s="4" t="e">
        <f>#REF!</f>
        <v>#REF!</v>
      </c>
      <c r="E53" s="4" t="e">
        <f>#REF!</f>
        <v>#REF!</v>
      </c>
      <c r="F53" s="4" t="e">
        <f>#REF!</f>
        <v>#REF!</v>
      </c>
      <c r="G53" s="4" t="e">
        <f>#REF!</f>
        <v>#REF!</v>
      </c>
      <c r="H53" s="4" t="e">
        <f>#REF!</f>
        <v>#REF!</v>
      </c>
      <c r="I53" s="4" t="e">
        <f>#REF!</f>
        <v>#REF!</v>
      </c>
      <c r="J53" s="4" t="e">
        <f>#REF!</f>
        <v>#REF!</v>
      </c>
      <c r="K53" s="4" t="e">
        <f>#REF!</f>
        <v>#REF!</v>
      </c>
      <c r="L53" s="4" t="e">
        <f>#REF!</f>
        <v>#REF!</v>
      </c>
      <c r="M53" s="4" t="e">
        <f>#REF!</f>
        <v>#REF!</v>
      </c>
      <c r="N53" s="4" t="e">
        <f>#REF!</f>
        <v>#REF!</v>
      </c>
      <c r="O53" s="4" t="e">
        <f>#REF!</f>
        <v>#REF!</v>
      </c>
      <c r="P53" s="4" t="e">
        <f>#REF!</f>
        <v>#REF!</v>
      </c>
      <c r="Q53" s="4" t="e">
        <f>#REF!</f>
        <v>#REF!</v>
      </c>
      <c r="R53" s="4" t="e">
        <f>#REF!</f>
        <v>#REF!</v>
      </c>
      <c r="S53" s="4" t="e">
        <f>#REF!</f>
        <v>#REF!</v>
      </c>
      <c r="T53" s="4" t="e">
        <f>#REF!</f>
        <v>#REF!</v>
      </c>
      <c r="U53" s="4" t="e">
        <f>#REF!</f>
        <v>#REF!</v>
      </c>
      <c r="V53" s="4" t="e">
        <f>#REF!</f>
        <v>#REF!</v>
      </c>
      <c r="W53" s="4" t="e">
        <f>#REF!</f>
        <v>#REF!</v>
      </c>
      <c r="X53" s="4" t="e">
        <f>#REF!</f>
        <v>#REF!</v>
      </c>
      <c r="Y53" s="4" t="e">
        <f>#REF!</f>
        <v>#REF!</v>
      </c>
      <c r="Z53" s="4" t="e">
        <f>#REF!</f>
        <v>#REF!</v>
      </c>
      <c r="AA53" s="4" t="e">
        <f>#REF!</f>
        <v>#REF!</v>
      </c>
      <c r="AB53" s="213" t="e">
        <f>#REF!</f>
        <v>#REF!</v>
      </c>
      <c r="AC53" s="3" t="e">
        <f>#REF!</f>
        <v>#REF!</v>
      </c>
    </row>
    <row r="54" spans="1:29" ht="40.200000000000003" customHeight="1">
      <c r="A54" s="3">
        <f t="shared" si="1"/>
        <v>46</v>
      </c>
      <c r="B54" s="3" t="e">
        <f>#REF!</f>
        <v>#REF!</v>
      </c>
      <c r="C54" s="213" t="e">
        <f>#REF!</f>
        <v>#REF!</v>
      </c>
      <c r="D54" s="4" t="e">
        <f>#REF!</f>
        <v>#REF!</v>
      </c>
      <c r="E54" s="4" t="e">
        <f>#REF!</f>
        <v>#REF!</v>
      </c>
      <c r="F54" s="4" t="e">
        <f>#REF!</f>
        <v>#REF!</v>
      </c>
      <c r="G54" s="4" t="e">
        <f>#REF!</f>
        <v>#REF!</v>
      </c>
      <c r="H54" s="4" t="e">
        <f>#REF!</f>
        <v>#REF!</v>
      </c>
      <c r="I54" s="4" t="e">
        <f>#REF!</f>
        <v>#REF!</v>
      </c>
      <c r="J54" s="4" t="e">
        <f>#REF!</f>
        <v>#REF!</v>
      </c>
      <c r="K54" s="4" t="e">
        <f>#REF!</f>
        <v>#REF!</v>
      </c>
      <c r="L54" s="4" t="e">
        <f>#REF!</f>
        <v>#REF!</v>
      </c>
      <c r="M54" s="4" t="e">
        <f>#REF!</f>
        <v>#REF!</v>
      </c>
      <c r="N54" s="4" t="e">
        <f>#REF!</f>
        <v>#REF!</v>
      </c>
      <c r="O54" s="4" t="e">
        <f>#REF!</f>
        <v>#REF!</v>
      </c>
      <c r="P54" s="4" t="e">
        <f>#REF!</f>
        <v>#REF!</v>
      </c>
      <c r="Q54" s="4" t="e">
        <f>#REF!</f>
        <v>#REF!</v>
      </c>
      <c r="R54" s="4" t="e">
        <f>#REF!</f>
        <v>#REF!</v>
      </c>
      <c r="S54" s="4" t="e">
        <f>#REF!</f>
        <v>#REF!</v>
      </c>
      <c r="T54" s="4" t="e">
        <f>#REF!</f>
        <v>#REF!</v>
      </c>
      <c r="U54" s="4" t="e">
        <f>#REF!</f>
        <v>#REF!</v>
      </c>
      <c r="V54" s="4" t="e">
        <f>#REF!</f>
        <v>#REF!</v>
      </c>
      <c r="W54" s="4" t="e">
        <f>#REF!</f>
        <v>#REF!</v>
      </c>
      <c r="X54" s="4" t="e">
        <f>#REF!</f>
        <v>#REF!</v>
      </c>
      <c r="Y54" s="4" t="e">
        <f>#REF!</f>
        <v>#REF!</v>
      </c>
      <c r="Z54" s="4" t="e">
        <f>#REF!</f>
        <v>#REF!</v>
      </c>
      <c r="AA54" s="4" t="e">
        <f>#REF!</f>
        <v>#REF!</v>
      </c>
      <c r="AB54" s="213" t="e">
        <f>#REF!</f>
        <v>#REF!</v>
      </c>
      <c r="AC54" s="3" t="e">
        <f>#REF!</f>
        <v>#REF!</v>
      </c>
    </row>
    <row r="55" spans="1:29" ht="40.200000000000003" customHeight="1">
      <c r="A55" s="3">
        <f t="shared" si="1"/>
        <v>47</v>
      </c>
      <c r="B55" s="3" t="e">
        <f>#REF!</f>
        <v>#REF!</v>
      </c>
      <c r="C55" s="213" t="e">
        <f>#REF!</f>
        <v>#REF!</v>
      </c>
      <c r="D55" s="4" t="e">
        <f>#REF!</f>
        <v>#REF!</v>
      </c>
      <c r="E55" s="4" t="e">
        <f>#REF!</f>
        <v>#REF!</v>
      </c>
      <c r="F55" s="4" t="e">
        <f>#REF!</f>
        <v>#REF!</v>
      </c>
      <c r="G55" s="4" t="e">
        <f>#REF!</f>
        <v>#REF!</v>
      </c>
      <c r="H55" s="4" t="e">
        <f>#REF!</f>
        <v>#REF!</v>
      </c>
      <c r="I55" s="4" t="e">
        <f>#REF!</f>
        <v>#REF!</v>
      </c>
      <c r="J55" s="4" t="e">
        <f>#REF!</f>
        <v>#REF!</v>
      </c>
      <c r="K55" s="4" t="e">
        <f>#REF!</f>
        <v>#REF!</v>
      </c>
      <c r="L55" s="4" t="e">
        <f>#REF!</f>
        <v>#REF!</v>
      </c>
      <c r="M55" s="4" t="e">
        <f>#REF!</f>
        <v>#REF!</v>
      </c>
      <c r="N55" s="4" t="e">
        <f>#REF!</f>
        <v>#REF!</v>
      </c>
      <c r="O55" s="4" t="e">
        <f>#REF!</f>
        <v>#REF!</v>
      </c>
      <c r="P55" s="4" t="e">
        <f>#REF!</f>
        <v>#REF!</v>
      </c>
      <c r="Q55" s="4" t="e">
        <f>#REF!</f>
        <v>#REF!</v>
      </c>
      <c r="R55" s="4" t="e">
        <f>#REF!</f>
        <v>#REF!</v>
      </c>
      <c r="S55" s="4" t="e">
        <f>#REF!</f>
        <v>#REF!</v>
      </c>
      <c r="T55" s="4" t="e">
        <f>#REF!</f>
        <v>#REF!</v>
      </c>
      <c r="U55" s="4" t="e">
        <f>#REF!</f>
        <v>#REF!</v>
      </c>
      <c r="V55" s="4" t="e">
        <f>#REF!</f>
        <v>#REF!</v>
      </c>
      <c r="W55" s="4" t="e">
        <f>#REF!</f>
        <v>#REF!</v>
      </c>
      <c r="X55" s="4" t="e">
        <f>#REF!</f>
        <v>#REF!</v>
      </c>
      <c r="Y55" s="4" t="e">
        <f>#REF!</f>
        <v>#REF!</v>
      </c>
      <c r="Z55" s="4" t="e">
        <f>#REF!</f>
        <v>#REF!</v>
      </c>
      <c r="AA55" s="4" t="e">
        <f>#REF!</f>
        <v>#REF!</v>
      </c>
      <c r="AB55" s="213" t="e">
        <f>#REF!</f>
        <v>#REF!</v>
      </c>
      <c r="AC55" s="3" t="e">
        <f>#REF!</f>
        <v>#REF!</v>
      </c>
    </row>
    <row r="56" spans="1:29" ht="40.200000000000003" customHeight="1">
      <c r="A56" s="3">
        <f t="shared" si="1"/>
        <v>48</v>
      </c>
      <c r="B56" s="3" t="e">
        <f>#REF!</f>
        <v>#REF!</v>
      </c>
      <c r="C56" s="213" t="e">
        <f>#REF!</f>
        <v>#REF!</v>
      </c>
      <c r="D56" s="4" t="e">
        <f>#REF!</f>
        <v>#REF!</v>
      </c>
      <c r="E56" s="4" t="e">
        <f>#REF!</f>
        <v>#REF!</v>
      </c>
      <c r="F56" s="4" t="e">
        <f>#REF!</f>
        <v>#REF!</v>
      </c>
      <c r="G56" s="4" t="e">
        <f>#REF!</f>
        <v>#REF!</v>
      </c>
      <c r="H56" s="4" t="e">
        <f>#REF!</f>
        <v>#REF!</v>
      </c>
      <c r="I56" s="4" t="e">
        <f>#REF!</f>
        <v>#REF!</v>
      </c>
      <c r="J56" s="4" t="e">
        <f>#REF!</f>
        <v>#REF!</v>
      </c>
      <c r="K56" s="4" t="e">
        <f>#REF!</f>
        <v>#REF!</v>
      </c>
      <c r="L56" s="4" t="e">
        <f>#REF!</f>
        <v>#REF!</v>
      </c>
      <c r="M56" s="4" t="e">
        <f>#REF!</f>
        <v>#REF!</v>
      </c>
      <c r="N56" s="4" t="e">
        <f>#REF!</f>
        <v>#REF!</v>
      </c>
      <c r="O56" s="4" t="e">
        <f>#REF!</f>
        <v>#REF!</v>
      </c>
      <c r="P56" s="4" t="e">
        <f>#REF!</f>
        <v>#REF!</v>
      </c>
      <c r="Q56" s="4" t="e">
        <f>#REF!</f>
        <v>#REF!</v>
      </c>
      <c r="R56" s="4" t="e">
        <f>#REF!</f>
        <v>#REF!</v>
      </c>
      <c r="S56" s="4" t="e">
        <f>#REF!</f>
        <v>#REF!</v>
      </c>
      <c r="T56" s="4" t="e">
        <f>#REF!</f>
        <v>#REF!</v>
      </c>
      <c r="U56" s="4" t="e">
        <f>#REF!</f>
        <v>#REF!</v>
      </c>
      <c r="V56" s="4" t="e">
        <f>#REF!</f>
        <v>#REF!</v>
      </c>
      <c r="W56" s="4" t="e">
        <f>#REF!</f>
        <v>#REF!</v>
      </c>
      <c r="X56" s="4" t="e">
        <f>#REF!</f>
        <v>#REF!</v>
      </c>
      <c r="Y56" s="4" t="e">
        <f>#REF!</f>
        <v>#REF!</v>
      </c>
      <c r="Z56" s="4" t="e">
        <f>#REF!</f>
        <v>#REF!</v>
      </c>
      <c r="AA56" s="4" t="e">
        <f>#REF!</f>
        <v>#REF!</v>
      </c>
      <c r="AB56" s="213" t="e">
        <f>#REF!</f>
        <v>#REF!</v>
      </c>
      <c r="AC56" s="3" t="e">
        <f>#REF!</f>
        <v>#REF!</v>
      </c>
    </row>
    <row r="57" spans="1:29" s="409" customFormat="1" ht="40.200000000000003" customHeight="1">
      <c r="A57" s="7"/>
      <c r="B57" s="7"/>
      <c r="C57" s="13" t="s">
        <v>528</v>
      </c>
      <c r="D57" s="8" t="e">
        <f>SUM(D38:D56)</f>
        <v>#REF!</v>
      </c>
      <c r="E57" s="8" t="e">
        <f t="shared" ref="E57:AA57" si="5">SUM(E38:E56)</f>
        <v>#REF!</v>
      </c>
      <c r="F57" s="8" t="e">
        <f t="shared" si="5"/>
        <v>#REF!</v>
      </c>
      <c r="G57" s="8" t="e">
        <f t="shared" si="5"/>
        <v>#REF!</v>
      </c>
      <c r="H57" s="8" t="e">
        <f t="shared" si="5"/>
        <v>#REF!</v>
      </c>
      <c r="I57" s="8" t="e">
        <f t="shared" si="5"/>
        <v>#REF!</v>
      </c>
      <c r="J57" s="8" t="e">
        <f t="shared" si="5"/>
        <v>#REF!</v>
      </c>
      <c r="K57" s="8" t="e">
        <f t="shared" si="5"/>
        <v>#REF!</v>
      </c>
      <c r="L57" s="8" t="e">
        <f t="shared" si="5"/>
        <v>#REF!</v>
      </c>
      <c r="M57" s="8" t="e">
        <f t="shared" si="5"/>
        <v>#REF!</v>
      </c>
      <c r="N57" s="8" t="e">
        <f t="shared" si="5"/>
        <v>#REF!</v>
      </c>
      <c r="O57" s="8" t="e">
        <f t="shared" si="5"/>
        <v>#REF!</v>
      </c>
      <c r="P57" s="8" t="e">
        <f t="shared" si="5"/>
        <v>#REF!</v>
      </c>
      <c r="Q57" s="8" t="e">
        <f t="shared" si="5"/>
        <v>#REF!</v>
      </c>
      <c r="R57" s="8" t="e">
        <f t="shared" si="5"/>
        <v>#REF!</v>
      </c>
      <c r="S57" s="8" t="e">
        <f t="shared" si="5"/>
        <v>#REF!</v>
      </c>
      <c r="T57" s="8" t="e">
        <f t="shared" si="5"/>
        <v>#REF!</v>
      </c>
      <c r="U57" s="8" t="e">
        <f t="shared" si="5"/>
        <v>#REF!</v>
      </c>
      <c r="V57" s="8" t="e">
        <f t="shared" si="5"/>
        <v>#REF!</v>
      </c>
      <c r="W57" s="8" t="e">
        <f t="shared" si="5"/>
        <v>#REF!</v>
      </c>
      <c r="X57" s="8" t="e">
        <f t="shared" si="5"/>
        <v>#REF!</v>
      </c>
      <c r="Y57" s="8" t="e">
        <f t="shared" si="5"/>
        <v>#REF!</v>
      </c>
      <c r="Z57" s="8" t="e">
        <f t="shared" si="5"/>
        <v>#REF!</v>
      </c>
      <c r="AA57" s="8" t="e">
        <f t="shared" si="5"/>
        <v>#REF!</v>
      </c>
      <c r="AB57" s="13"/>
      <c r="AC57" s="7"/>
    </row>
    <row r="58" spans="1:29" ht="40.200000000000003" customHeight="1">
      <c r="A58" s="3">
        <f>A56+1</f>
        <v>49</v>
      </c>
      <c r="B58" s="3" t="e">
        <f>#REF!</f>
        <v>#REF!</v>
      </c>
      <c r="C58" s="213" t="e">
        <f>#REF!</f>
        <v>#REF!</v>
      </c>
      <c r="D58" s="4" t="e">
        <f>#REF!</f>
        <v>#REF!</v>
      </c>
      <c r="E58" s="4" t="e">
        <f>#REF!</f>
        <v>#REF!</v>
      </c>
      <c r="F58" s="4" t="e">
        <f>#REF!</f>
        <v>#REF!</v>
      </c>
      <c r="G58" s="4" t="e">
        <f>#REF!</f>
        <v>#REF!</v>
      </c>
      <c r="H58" s="4" t="e">
        <f>#REF!</f>
        <v>#REF!</v>
      </c>
      <c r="I58" s="4" t="e">
        <f>#REF!</f>
        <v>#REF!</v>
      </c>
      <c r="J58" s="4" t="e">
        <f>#REF!</f>
        <v>#REF!</v>
      </c>
      <c r="K58" s="4" t="e">
        <f>#REF!</f>
        <v>#REF!</v>
      </c>
      <c r="L58" s="4" t="e">
        <f>#REF!</f>
        <v>#REF!</v>
      </c>
      <c r="M58" s="4" t="e">
        <f>#REF!</f>
        <v>#REF!</v>
      </c>
      <c r="N58" s="4" t="e">
        <f>#REF!</f>
        <v>#REF!</v>
      </c>
      <c r="O58" s="4" t="e">
        <f>#REF!</f>
        <v>#REF!</v>
      </c>
      <c r="P58" s="4" t="e">
        <f>#REF!</f>
        <v>#REF!</v>
      </c>
      <c r="Q58" s="4" t="e">
        <f>#REF!</f>
        <v>#REF!</v>
      </c>
      <c r="R58" s="4" t="e">
        <f>#REF!</f>
        <v>#REF!</v>
      </c>
      <c r="S58" s="4" t="e">
        <f>#REF!</f>
        <v>#REF!</v>
      </c>
      <c r="T58" s="4" t="e">
        <f>#REF!</f>
        <v>#REF!</v>
      </c>
      <c r="U58" s="4" t="e">
        <f>#REF!</f>
        <v>#REF!</v>
      </c>
      <c r="V58" s="4" t="e">
        <f>#REF!</f>
        <v>#REF!</v>
      </c>
      <c r="W58" s="4" t="e">
        <f>#REF!</f>
        <v>#REF!</v>
      </c>
      <c r="X58" s="4" t="e">
        <f>#REF!</f>
        <v>#REF!</v>
      </c>
      <c r="Y58" s="4" t="e">
        <f>#REF!</f>
        <v>#REF!</v>
      </c>
      <c r="Z58" s="4" t="e">
        <f>#REF!</f>
        <v>#REF!</v>
      </c>
      <c r="AA58" s="4" t="e">
        <f>#REF!</f>
        <v>#REF!</v>
      </c>
      <c r="AB58" s="213" t="e">
        <f>#REF!</f>
        <v>#REF!</v>
      </c>
      <c r="AC58" s="3" t="e">
        <f>#REF!</f>
        <v>#REF!</v>
      </c>
    </row>
    <row r="59" spans="1:29" s="409" customFormat="1" ht="40.200000000000003" customHeight="1">
      <c r="A59" s="7"/>
      <c r="B59" s="7"/>
      <c r="C59" s="13" t="s">
        <v>817</v>
      </c>
      <c r="D59" s="8" t="e">
        <f>SUM(D58)</f>
        <v>#REF!</v>
      </c>
      <c r="E59" s="8" t="e">
        <f t="shared" ref="E59:AA59" si="6">SUM(E58)</f>
        <v>#REF!</v>
      </c>
      <c r="F59" s="8" t="e">
        <f t="shared" si="6"/>
        <v>#REF!</v>
      </c>
      <c r="G59" s="8" t="e">
        <f t="shared" si="6"/>
        <v>#REF!</v>
      </c>
      <c r="H59" s="8" t="e">
        <f t="shared" si="6"/>
        <v>#REF!</v>
      </c>
      <c r="I59" s="8" t="e">
        <f t="shared" si="6"/>
        <v>#REF!</v>
      </c>
      <c r="J59" s="8" t="e">
        <f t="shared" si="6"/>
        <v>#REF!</v>
      </c>
      <c r="K59" s="8" t="e">
        <f t="shared" si="6"/>
        <v>#REF!</v>
      </c>
      <c r="L59" s="8" t="e">
        <f t="shared" si="6"/>
        <v>#REF!</v>
      </c>
      <c r="M59" s="8" t="e">
        <f t="shared" si="6"/>
        <v>#REF!</v>
      </c>
      <c r="N59" s="8" t="e">
        <f t="shared" si="6"/>
        <v>#REF!</v>
      </c>
      <c r="O59" s="8" t="e">
        <f t="shared" si="6"/>
        <v>#REF!</v>
      </c>
      <c r="P59" s="8" t="e">
        <f t="shared" si="6"/>
        <v>#REF!</v>
      </c>
      <c r="Q59" s="8" t="e">
        <f t="shared" si="6"/>
        <v>#REF!</v>
      </c>
      <c r="R59" s="8" t="e">
        <f t="shared" si="6"/>
        <v>#REF!</v>
      </c>
      <c r="S59" s="8" t="e">
        <f t="shared" si="6"/>
        <v>#REF!</v>
      </c>
      <c r="T59" s="8" t="e">
        <f t="shared" si="6"/>
        <v>#REF!</v>
      </c>
      <c r="U59" s="8" t="e">
        <f t="shared" si="6"/>
        <v>#REF!</v>
      </c>
      <c r="V59" s="8" t="e">
        <f t="shared" si="6"/>
        <v>#REF!</v>
      </c>
      <c r="W59" s="8" t="e">
        <f t="shared" si="6"/>
        <v>#REF!</v>
      </c>
      <c r="X59" s="8" t="e">
        <f t="shared" si="6"/>
        <v>#REF!</v>
      </c>
      <c r="Y59" s="8" t="e">
        <f t="shared" si="6"/>
        <v>#REF!</v>
      </c>
      <c r="Z59" s="8" t="e">
        <f t="shared" si="6"/>
        <v>#REF!</v>
      </c>
      <c r="AA59" s="8" t="e">
        <f t="shared" si="6"/>
        <v>#REF!</v>
      </c>
      <c r="AB59" s="13"/>
      <c r="AC59" s="7"/>
    </row>
    <row r="60" spans="1:29" ht="40.200000000000003" customHeight="1">
      <c r="A60" s="3">
        <f>A58+1</f>
        <v>50</v>
      </c>
      <c r="B60" s="3" t="e">
        <f>#REF!</f>
        <v>#REF!</v>
      </c>
      <c r="C60" s="213" t="e">
        <f>#REF!</f>
        <v>#REF!</v>
      </c>
      <c r="D60" s="4" t="e">
        <f>#REF!</f>
        <v>#REF!</v>
      </c>
      <c r="E60" s="4" t="e">
        <f>#REF!</f>
        <v>#REF!</v>
      </c>
      <c r="F60" s="4" t="e">
        <f>#REF!</f>
        <v>#REF!</v>
      </c>
      <c r="G60" s="4" t="e">
        <f>#REF!</f>
        <v>#REF!</v>
      </c>
      <c r="H60" s="4" t="e">
        <f>#REF!</f>
        <v>#REF!</v>
      </c>
      <c r="I60" s="4" t="e">
        <f>#REF!</f>
        <v>#REF!</v>
      </c>
      <c r="J60" s="4" t="e">
        <f>#REF!</f>
        <v>#REF!</v>
      </c>
      <c r="K60" s="4" t="e">
        <f>#REF!</f>
        <v>#REF!</v>
      </c>
      <c r="L60" s="4" t="e">
        <f>#REF!</f>
        <v>#REF!</v>
      </c>
      <c r="M60" s="4" t="e">
        <f>#REF!</f>
        <v>#REF!</v>
      </c>
      <c r="N60" s="4" t="e">
        <f>#REF!</f>
        <v>#REF!</v>
      </c>
      <c r="O60" s="4" t="e">
        <f>#REF!</f>
        <v>#REF!</v>
      </c>
      <c r="P60" s="4" t="e">
        <f>#REF!</f>
        <v>#REF!</v>
      </c>
      <c r="Q60" s="4" t="e">
        <f>#REF!</f>
        <v>#REF!</v>
      </c>
      <c r="R60" s="4" t="e">
        <f>#REF!</f>
        <v>#REF!</v>
      </c>
      <c r="S60" s="4" t="e">
        <f>#REF!</f>
        <v>#REF!</v>
      </c>
      <c r="T60" s="4" t="e">
        <f>#REF!</f>
        <v>#REF!</v>
      </c>
      <c r="U60" s="4" t="e">
        <f>#REF!</f>
        <v>#REF!</v>
      </c>
      <c r="V60" s="4" t="e">
        <f>#REF!</f>
        <v>#REF!</v>
      </c>
      <c r="W60" s="4" t="e">
        <f>#REF!</f>
        <v>#REF!</v>
      </c>
      <c r="X60" s="4" t="e">
        <f>#REF!</f>
        <v>#REF!</v>
      </c>
      <c r="Y60" s="4" t="e">
        <f>#REF!</f>
        <v>#REF!</v>
      </c>
      <c r="Z60" s="4" t="e">
        <f>#REF!</f>
        <v>#REF!</v>
      </c>
      <c r="AA60" s="4" t="e">
        <f>#REF!</f>
        <v>#REF!</v>
      </c>
      <c r="AB60" s="213" t="e">
        <f>#REF!</f>
        <v>#REF!</v>
      </c>
      <c r="AC60" s="3" t="e">
        <f>#REF!</f>
        <v>#REF!</v>
      </c>
    </row>
    <row r="61" spans="1:29" s="409" customFormat="1" ht="40.200000000000003" customHeight="1">
      <c r="A61" s="7"/>
      <c r="B61" s="7"/>
      <c r="C61" s="13" t="s">
        <v>667</v>
      </c>
      <c r="D61" s="8" t="e">
        <f>SUM(D60)</f>
        <v>#REF!</v>
      </c>
      <c r="E61" s="8" t="e">
        <f t="shared" ref="E61:AA61" si="7">SUM(E60)</f>
        <v>#REF!</v>
      </c>
      <c r="F61" s="8" t="e">
        <f t="shared" si="7"/>
        <v>#REF!</v>
      </c>
      <c r="G61" s="8" t="e">
        <f t="shared" si="7"/>
        <v>#REF!</v>
      </c>
      <c r="H61" s="8" t="e">
        <f t="shared" si="7"/>
        <v>#REF!</v>
      </c>
      <c r="I61" s="8" t="e">
        <f t="shared" si="7"/>
        <v>#REF!</v>
      </c>
      <c r="J61" s="8" t="e">
        <f t="shared" si="7"/>
        <v>#REF!</v>
      </c>
      <c r="K61" s="8" t="e">
        <f t="shared" si="7"/>
        <v>#REF!</v>
      </c>
      <c r="L61" s="8" t="e">
        <f t="shared" si="7"/>
        <v>#REF!</v>
      </c>
      <c r="M61" s="8" t="e">
        <f t="shared" si="7"/>
        <v>#REF!</v>
      </c>
      <c r="N61" s="8" t="e">
        <f t="shared" si="7"/>
        <v>#REF!</v>
      </c>
      <c r="O61" s="8" t="e">
        <f t="shared" si="7"/>
        <v>#REF!</v>
      </c>
      <c r="P61" s="8" t="e">
        <f t="shared" si="7"/>
        <v>#REF!</v>
      </c>
      <c r="Q61" s="8" t="e">
        <f t="shared" si="7"/>
        <v>#REF!</v>
      </c>
      <c r="R61" s="8" t="e">
        <f t="shared" si="7"/>
        <v>#REF!</v>
      </c>
      <c r="S61" s="8" t="e">
        <f t="shared" si="7"/>
        <v>#REF!</v>
      </c>
      <c r="T61" s="8" t="e">
        <f t="shared" si="7"/>
        <v>#REF!</v>
      </c>
      <c r="U61" s="8" t="e">
        <f t="shared" si="7"/>
        <v>#REF!</v>
      </c>
      <c r="V61" s="8" t="e">
        <f t="shared" si="7"/>
        <v>#REF!</v>
      </c>
      <c r="W61" s="8" t="e">
        <f t="shared" si="7"/>
        <v>#REF!</v>
      </c>
      <c r="X61" s="8" t="e">
        <f t="shared" si="7"/>
        <v>#REF!</v>
      </c>
      <c r="Y61" s="8" t="e">
        <f t="shared" si="7"/>
        <v>#REF!</v>
      </c>
      <c r="Z61" s="8" t="e">
        <f t="shared" si="7"/>
        <v>#REF!</v>
      </c>
      <c r="AA61" s="8" t="e">
        <f t="shared" si="7"/>
        <v>#REF!</v>
      </c>
      <c r="AB61" s="13"/>
      <c r="AC61" s="7"/>
    </row>
    <row r="62" spans="1:29" ht="40.200000000000003" customHeight="1">
      <c r="A62" s="3">
        <f>A60+1</f>
        <v>51</v>
      </c>
      <c r="B62" s="3" t="e">
        <f>#REF!</f>
        <v>#REF!</v>
      </c>
      <c r="C62" s="213" t="e">
        <f>#REF!</f>
        <v>#REF!</v>
      </c>
      <c r="D62" s="4" t="e">
        <f>#REF!</f>
        <v>#REF!</v>
      </c>
      <c r="E62" s="4" t="e">
        <f>#REF!</f>
        <v>#REF!</v>
      </c>
      <c r="F62" s="4" t="e">
        <f>#REF!</f>
        <v>#REF!</v>
      </c>
      <c r="G62" s="4" t="e">
        <f>#REF!</f>
        <v>#REF!</v>
      </c>
      <c r="H62" s="4" t="e">
        <f>#REF!</f>
        <v>#REF!</v>
      </c>
      <c r="I62" s="4" t="e">
        <f>#REF!</f>
        <v>#REF!</v>
      </c>
      <c r="J62" s="4" t="e">
        <f>#REF!</f>
        <v>#REF!</v>
      </c>
      <c r="K62" s="4" t="e">
        <f>#REF!</f>
        <v>#REF!</v>
      </c>
      <c r="L62" s="4" t="e">
        <f>#REF!</f>
        <v>#REF!</v>
      </c>
      <c r="M62" s="4" t="e">
        <f>#REF!</f>
        <v>#REF!</v>
      </c>
      <c r="N62" s="4" t="e">
        <f>#REF!</f>
        <v>#REF!</v>
      </c>
      <c r="O62" s="4" t="e">
        <f>#REF!</f>
        <v>#REF!</v>
      </c>
      <c r="P62" s="4" t="e">
        <f>#REF!</f>
        <v>#REF!</v>
      </c>
      <c r="Q62" s="4" t="e">
        <f>#REF!</f>
        <v>#REF!</v>
      </c>
      <c r="R62" s="4" t="e">
        <f>#REF!</f>
        <v>#REF!</v>
      </c>
      <c r="S62" s="4" t="e">
        <f>#REF!</f>
        <v>#REF!</v>
      </c>
      <c r="T62" s="4" t="e">
        <f>#REF!</f>
        <v>#REF!</v>
      </c>
      <c r="U62" s="4" t="e">
        <f>#REF!</f>
        <v>#REF!</v>
      </c>
      <c r="V62" s="4" t="e">
        <f>#REF!</f>
        <v>#REF!</v>
      </c>
      <c r="W62" s="4" t="e">
        <f>#REF!</f>
        <v>#REF!</v>
      </c>
      <c r="X62" s="4" t="e">
        <f>#REF!</f>
        <v>#REF!</v>
      </c>
      <c r="Y62" s="4" t="e">
        <f>#REF!</f>
        <v>#REF!</v>
      </c>
      <c r="Z62" s="4" t="e">
        <f>#REF!</f>
        <v>#REF!</v>
      </c>
      <c r="AA62" s="4" t="e">
        <f>#REF!</f>
        <v>#REF!</v>
      </c>
      <c r="AB62" s="213" t="e">
        <f>#REF!</f>
        <v>#REF!</v>
      </c>
      <c r="AC62" s="3" t="e">
        <f>#REF!</f>
        <v>#REF!</v>
      </c>
    </row>
    <row r="63" spans="1:29" ht="40.200000000000003" customHeight="1">
      <c r="A63" s="3">
        <f t="shared" si="1"/>
        <v>52</v>
      </c>
      <c r="B63" s="3" t="e">
        <f>#REF!</f>
        <v>#REF!</v>
      </c>
      <c r="C63" s="213" t="e">
        <f>#REF!</f>
        <v>#REF!</v>
      </c>
      <c r="D63" s="4" t="e">
        <f>#REF!</f>
        <v>#REF!</v>
      </c>
      <c r="E63" s="4" t="e">
        <f>#REF!</f>
        <v>#REF!</v>
      </c>
      <c r="F63" s="4" t="e">
        <f>#REF!</f>
        <v>#REF!</v>
      </c>
      <c r="G63" s="4" t="e">
        <f>#REF!</f>
        <v>#REF!</v>
      </c>
      <c r="H63" s="4" t="e">
        <f>#REF!</f>
        <v>#REF!</v>
      </c>
      <c r="I63" s="4" t="e">
        <f>#REF!</f>
        <v>#REF!</v>
      </c>
      <c r="J63" s="4" t="e">
        <f>#REF!</f>
        <v>#REF!</v>
      </c>
      <c r="K63" s="4" t="e">
        <f>#REF!</f>
        <v>#REF!</v>
      </c>
      <c r="L63" s="4" t="e">
        <f>#REF!</f>
        <v>#REF!</v>
      </c>
      <c r="M63" s="4" t="e">
        <f>#REF!</f>
        <v>#REF!</v>
      </c>
      <c r="N63" s="4" t="e">
        <f>#REF!</f>
        <v>#REF!</v>
      </c>
      <c r="O63" s="4" t="e">
        <f>#REF!</f>
        <v>#REF!</v>
      </c>
      <c r="P63" s="4" t="e">
        <f>#REF!</f>
        <v>#REF!</v>
      </c>
      <c r="Q63" s="4" t="e">
        <f>#REF!</f>
        <v>#REF!</v>
      </c>
      <c r="R63" s="4" t="e">
        <f>#REF!</f>
        <v>#REF!</v>
      </c>
      <c r="S63" s="4" t="e">
        <f>#REF!</f>
        <v>#REF!</v>
      </c>
      <c r="T63" s="4" t="e">
        <f>#REF!</f>
        <v>#REF!</v>
      </c>
      <c r="U63" s="4" t="e">
        <f>#REF!</f>
        <v>#REF!</v>
      </c>
      <c r="V63" s="4" t="e">
        <f>#REF!</f>
        <v>#REF!</v>
      </c>
      <c r="W63" s="4" t="e">
        <f>#REF!</f>
        <v>#REF!</v>
      </c>
      <c r="X63" s="4" t="e">
        <f>#REF!</f>
        <v>#REF!</v>
      </c>
      <c r="Y63" s="4" t="e">
        <f>#REF!</f>
        <v>#REF!</v>
      </c>
      <c r="Z63" s="4" t="e">
        <f>#REF!</f>
        <v>#REF!</v>
      </c>
      <c r="AA63" s="4" t="e">
        <f>#REF!</f>
        <v>#REF!</v>
      </c>
      <c r="AB63" s="213" t="e">
        <f>#REF!</f>
        <v>#REF!</v>
      </c>
      <c r="AC63" s="3" t="e">
        <f>#REF!</f>
        <v>#REF!</v>
      </c>
    </row>
    <row r="64" spans="1:29" ht="40.200000000000003" customHeight="1">
      <c r="A64" s="3">
        <f t="shared" si="1"/>
        <v>53</v>
      </c>
      <c r="B64" s="3" t="e">
        <f>#REF!</f>
        <v>#REF!</v>
      </c>
      <c r="C64" s="213" t="e">
        <f>#REF!</f>
        <v>#REF!</v>
      </c>
      <c r="D64" s="4" t="e">
        <f>#REF!</f>
        <v>#REF!</v>
      </c>
      <c r="E64" s="4" t="e">
        <f>#REF!</f>
        <v>#REF!</v>
      </c>
      <c r="F64" s="4" t="e">
        <f>#REF!</f>
        <v>#REF!</v>
      </c>
      <c r="G64" s="4" t="e">
        <f>#REF!</f>
        <v>#REF!</v>
      </c>
      <c r="H64" s="4" t="e">
        <f>#REF!</f>
        <v>#REF!</v>
      </c>
      <c r="I64" s="4" t="e">
        <f>#REF!</f>
        <v>#REF!</v>
      </c>
      <c r="J64" s="4" t="e">
        <f>#REF!</f>
        <v>#REF!</v>
      </c>
      <c r="K64" s="4" t="e">
        <f>#REF!</f>
        <v>#REF!</v>
      </c>
      <c r="L64" s="4" t="e">
        <f>#REF!</f>
        <v>#REF!</v>
      </c>
      <c r="M64" s="4" t="e">
        <f>#REF!</f>
        <v>#REF!</v>
      </c>
      <c r="N64" s="4" t="e">
        <f>#REF!</f>
        <v>#REF!</v>
      </c>
      <c r="O64" s="4" t="e">
        <f>#REF!</f>
        <v>#REF!</v>
      </c>
      <c r="P64" s="4" t="e">
        <f>#REF!</f>
        <v>#REF!</v>
      </c>
      <c r="Q64" s="4" t="e">
        <f>#REF!</f>
        <v>#REF!</v>
      </c>
      <c r="R64" s="4" t="e">
        <f>#REF!</f>
        <v>#REF!</v>
      </c>
      <c r="S64" s="4" t="e">
        <f>#REF!</f>
        <v>#REF!</v>
      </c>
      <c r="T64" s="4" t="e">
        <f>#REF!</f>
        <v>#REF!</v>
      </c>
      <c r="U64" s="4" t="e">
        <f>#REF!</f>
        <v>#REF!</v>
      </c>
      <c r="V64" s="4" t="e">
        <f>#REF!</f>
        <v>#REF!</v>
      </c>
      <c r="W64" s="4" t="e">
        <f>#REF!</f>
        <v>#REF!</v>
      </c>
      <c r="X64" s="4" t="e">
        <f>#REF!</f>
        <v>#REF!</v>
      </c>
      <c r="Y64" s="4" t="e">
        <f>#REF!</f>
        <v>#REF!</v>
      </c>
      <c r="Z64" s="4" t="e">
        <f>#REF!</f>
        <v>#REF!</v>
      </c>
      <c r="AA64" s="4" t="e">
        <f>#REF!</f>
        <v>#REF!</v>
      </c>
      <c r="AB64" s="213" t="e">
        <f>#REF!</f>
        <v>#REF!</v>
      </c>
      <c r="AC64" s="3" t="e">
        <f>#REF!</f>
        <v>#REF!</v>
      </c>
    </row>
    <row r="65" spans="1:29" ht="40.200000000000003" customHeight="1">
      <c r="A65" s="3">
        <f t="shared" si="1"/>
        <v>54</v>
      </c>
      <c r="B65" s="3" t="e">
        <f>#REF!</f>
        <v>#REF!</v>
      </c>
      <c r="C65" s="213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4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213" t="e">
        <f>#REF!</f>
        <v>#REF!</v>
      </c>
      <c r="AC65" s="3" t="e">
        <f>#REF!</f>
        <v>#REF!</v>
      </c>
    </row>
    <row r="66" spans="1:29" ht="40.200000000000003" customHeight="1">
      <c r="A66" s="3">
        <f t="shared" si="1"/>
        <v>55</v>
      </c>
      <c r="B66" s="3" t="e">
        <f>#REF!</f>
        <v>#REF!</v>
      </c>
      <c r="C66" s="213" t="e">
        <f>#REF!</f>
        <v>#REF!</v>
      </c>
      <c r="D66" s="4" t="e">
        <f>#REF!</f>
        <v>#REF!</v>
      </c>
      <c r="E66" s="4" t="e">
        <f>#REF!</f>
        <v>#REF!</v>
      </c>
      <c r="F66" s="4" t="e">
        <f>#REF!</f>
        <v>#REF!</v>
      </c>
      <c r="G66" s="4" t="e">
        <f>#REF!</f>
        <v>#REF!</v>
      </c>
      <c r="H66" s="4" t="e">
        <f>#REF!</f>
        <v>#REF!</v>
      </c>
      <c r="I66" s="4" t="e">
        <f>#REF!</f>
        <v>#REF!</v>
      </c>
      <c r="J66" s="4" t="e">
        <f>#REF!</f>
        <v>#REF!</v>
      </c>
      <c r="K66" s="4" t="e">
        <f>#REF!</f>
        <v>#REF!</v>
      </c>
      <c r="L66" s="4" t="e">
        <f>#REF!</f>
        <v>#REF!</v>
      </c>
      <c r="M66" s="4" t="e">
        <f>#REF!</f>
        <v>#REF!</v>
      </c>
      <c r="N66" s="4" t="e">
        <f>#REF!</f>
        <v>#REF!</v>
      </c>
      <c r="O66" s="4" t="e">
        <f>#REF!</f>
        <v>#REF!</v>
      </c>
      <c r="P66" s="4" t="e">
        <f>#REF!</f>
        <v>#REF!</v>
      </c>
      <c r="Q66" s="4" t="e">
        <f>#REF!</f>
        <v>#REF!</v>
      </c>
      <c r="R66" s="4" t="e">
        <f>#REF!</f>
        <v>#REF!</v>
      </c>
      <c r="S66" s="4" t="e">
        <f>#REF!</f>
        <v>#REF!</v>
      </c>
      <c r="T66" s="4" t="e">
        <f>#REF!</f>
        <v>#REF!</v>
      </c>
      <c r="U66" s="4" t="e">
        <f>#REF!</f>
        <v>#REF!</v>
      </c>
      <c r="V66" s="4" t="e">
        <f>#REF!</f>
        <v>#REF!</v>
      </c>
      <c r="W66" s="4" t="e">
        <f>#REF!</f>
        <v>#REF!</v>
      </c>
      <c r="X66" s="4" t="e">
        <f>#REF!</f>
        <v>#REF!</v>
      </c>
      <c r="Y66" s="4" t="e">
        <f>#REF!</f>
        <v>#REF!</v>
      </c>
      <c r="Z66" s="4" t="e">
        <f>#REF!</f>
        <v>#REF!</v>
      </c>
      <c r="AA66" s="4" t="e">
        <f>#REF!</f>
        <v>#REF!</v>
      </c>
      <c r="AB66" s="213" t="e">
        <f>#REF!</f>
        <v>#REF!</v>
      </c>
      <c r="AC66" s="3" t="e">
        <f>#REF!</f>
        <v>#REF!</v>
      </c>
    </row>
    <row r="67" spans="1:29" ht="40.200000000000003" customHeight="1">
      <c r="A67" s="3">
        <f t="shared" si="1"/>
        <v>56</v>
      </c>
      <c r="B67" s="3" t="e">
        <f>#REF!</f>
        <v>#REF!</v>
      </c>
      <c r="C67" s="213" t="e">
        <f>#REF!</f>
        <v>#REF!</v>
      </c>
      <c r="D67" s="4" t="e">
        <f>#REF!</f>
        <v>#REF!</v>
      </c>
      <c r="E67" s="4" t="e">
        <f>#REF!</f>
        <v>#REF!</v>
      </c>
      <c r="F67" s="4" t="e">
        <f>#REF!</f>
        <v>#REF!</v>
      </c>
      <c r="G67" s="4" t="e">
        <f>#REF!</f>
        <v>#REF!</v>
      </c>
      <c r="H67" s="4" t="e">
        <f>#REF!</f>
        <v>#REF!</v>
      </c>
      <c r="I67" s="4" t="e">
        <f>#REF!</f>
        <v>#REF!</v>
      </c>
      <c r="J67" s="4" t="e">
        <f>#REF!</f>
        <v>#REF!</v>
      </c>
      <c r="K67" s="4" t="e">
        <f>#REF!</f>
        <v>#REF!</v>
      </c>
      <c r="L67" s="4" t="e">
        <f>#REF!</f>
        <v>#REF!</v>
      </c>
      <c r="M67" s="4" t="e">
        <f>#REF!</f>
        <v>#REF!</v>
      </c>
      <c r="N67" s="4" t="e">
        <f>#REF!</f>
        <v>#REF!</v>
      </c>
      <c r="O67" s="4" t="e">
        <f>#REF!</f>
        <v>#REF!</v>
      </c>
      <c r="P67" s="4" t="e">
        <f>#REF!</f>
        <v>#REF!</v>
      </c>
      <c r="Q67" s="4" t="e">
        <f>#REF!</f>
        <v>#REF!</v>
      </c>
      <c r="R67" s="4" t="e">
        <f>#REF!</f>
        <v>#REF!</v>
      </c>
      <c r="S67" s="4" t="e">
        <f>#REF!</f>
        <v>#REF!</v>
      </c>
      <c r="T67" s="4" t="e">
        <f>#REF!</f>
        <v>#REF!</v>
      </c>
      <c r="U67" s="4" t="e">
        <f>#REF!</f>
        <v>#REF!</v>
      </c>
      <c r="V67" s="4" t="e">
        <f>#REF!</f>
        <v>#REF!</v>
      </c>
      <c r="W67" s="4" t="e">
        <f>#REF!</f>
        <v>#REF!</v>
      </c>
      <c r="X67" s="4" t="e">
        <f>#REF!</f>
        <v>#REF!</v>
      </c>
      <c r="Y67" s="4" t="e">
        <f>#REF!</f>
        <v>#REF!</v>
      </c>
      <c r="Z67" s="4" t="e">
        <f>#REF!</f>
        <v>#REF!</v>
      </c>
      <c r="AA67" s="4" t="e">
        <f>#REF!</f>
        <v>#REF!</v>
      </c>
      <c r="AB67" s="213" t="e">
        <f>#REF!</f>
        <v>#REF!</v>
      </c>
      <c r="AC67" s="3" t="e">
        <f>#REF!</f>
        <v>#REF!</v>
      </c>
    </row>
    <row r="68" spans="1:29" ht="40.200000000000003" customHeight="1">
      <c r="A68" s="3">
        <f t="shared" si="1"/>
        <v>57</v>
      </c>
      <c r="B68" s="3" t="e">
        <f>#REF!</f>
        <v>#REF!</v>
      </c>
      <c r="C68" s="213" t="e">
        <f>#REF!</f>
        <v>#REF!</v>
      </c>
      <c r="D68" s="4" t="e">
        <f>#REF!</f>
        <v>#REF!</v>
      </c>
      <c r="E68" s="4" t="e">
        <f>#REF!</f>
        <v>#REF!</v>
      </c>
      <c r="F68" s="4" t="e">
        <f>#REF!</f>
        <v>#REF!</v>
      </c>
      <c r="G68" s="4" t="e">
        <f>#REF!</f>
        <v>#REF!</v>
      </c>
      <c r="H68" s="4" t="e">
        <f>#REF!</f>
        <v>#REF!</v>
      </c>
      <c r="I68" s="4" t="e">
        <f>#REF!</f>
        <v>#REF!</v>
      </c>
      <c r="J68" s="4" t="e">
        <f>#REF!</f>
        <v>#REF!</v>
      </c>
      <c r="K68" s="4" t="e">
        <f>#REF!</f>
        <v>#REF!</v>
      </c>
      <c r="L68" s="4" t="e">
        <f>#REF!</f>
        <v>#REF!</v>
      </c>
      <c r="M68" s="4" t="e">
        <f>#REF!</f>
        <v>#REF!</v>
      </c>
      <c r="N68" s="4" t="e">
        <f>#REF!</f>
        <v>#REF!</v>
      </c>
      <c r="O68" s="4" t="e">
        <f>#REF!</f>
        <v>#REF!</v>
      </c>
      <c r="P68" s="4" t="e">
        <f>#REF!</f>
        <v>#REF!</v>
      </c>
      <c r="Q68" s="4" t="e">
        <f>#REF!</f>
        <v>#REF!</v>
      </c>
      <c r="R68" s="4" t="e">
        <f>#REF!</f>
        <v>#REF!</v>
      </c>
      <c r="S68" s="4" t="e">
        <f>#REF!</f>
        <v>#REF!</v>
      </c>
      <c r="T68" s="4" t="e">
        <f>#REF!</f>
        <v>#REF!</v>
      </c>
      <c r="U68" s="4" t="e">
        <f>#REF!</f>
        <v>#REF!</v>
      </c>
      <c r="V68" s="4" t="e">
        <f>#REF!</f>
        <v>#REF!</v>
      </c>
      <c r="W68" s="4" t="e">
        <f>#REF!</f>
        <v>#REF!</v>
      </c>
      <c r="X68" s="4" t="e">
        <f>#REF!</f>
        <v>#REF!</v>
      </c>
      <c r="Y68" s="4" t="e">
        <f>#REF!</f>
        <v>#REF!</v>
      </c>
      <c r="Z68" s="4" t="e">
        <f>#REF!</f>
        <v>#REF!</v>
      </c>
      <c r="AA68" s="4" t="e">
        <f>#REF!</f>
        <v>#REF!</v>
      </c>
      <c r="AB68" s="213" t="e">
        <f>#REF!</f>
        <v>#REF!</v>
      </c>
      <c r="AC68" s="3" t="e">
        <f>#REF!</f>
        <v>#REF!</v>
      </c>
    </row>
    <row r="69" spans="1:29" ht="40.200000000000003" customHeight="1">
      <c r="A69" s="3">
        <f t="shared" si="1"/>
        <v>58</v>
      </c>
      <c r="B69" s="3" t="e">
        <f>#REF!</f>
        <v>#REF!</v>
      </c>
      <c r="C69" s="213" t="e">
        <f>#REF!</f>
        <v>#REF!</v>
      </c>
      <c r="D69" s="4" t="e">
        <f>#REF!</f>
        <v>#REF!</v>
      </c>
      <c r="E69" s="4" t="e">
        <f>#REF!</f>
        <v>#REF!</v>
      </c>
      <c r="F69" s="4" t="e">
        <f>#REF!</f>
        <v>#REF!</v>
      </c>
      <c r="G69" s="4" t="e">
        <f>#REF!</f>
        <v>#REF!</v>
      </c>
      <c r="H69" s="4" t="e">
        <f>#REF!</f>
        <v>#REF!</v>
      </c>
      <c r="I69" s="4" t="e">
        <f>#REF!</f>
        <v>#REF!</v>
      </c>
      <c r="J69" s="4" t="e">
        <f>#REF!</f>
        <v>#REF!</v>
      </c>
      <c r="K69" s="4" t="e">
        <f>#REF!</f>
        <v>#REF!</v>
      </c>
      <c r="L69" s="4" t="e">
        <f>#REF!</f>
        <v>#REF!</v>
      </c>
      <c r="M69" s="4" t="e">
        <f>#REF!</f>
        <v>#REF!</v>
      </c>
      <c r="N69" s="4" t="e">
        <f>#REF!</f>
        <v>#REF!</v>
      </c>
      <c r="O69" s="4" t="e">
        <f>#REF!</f>
        <v>#REF!</v>
      </c>
      <c r="P69" s="4" t="e">
        <f>#REF!</f>
        <v>#REF!</v>
      </c>
      <c r="Q69" s="4" t="e">
        <f>#REF!</f>
        <v>#REF!</v>
      </c>
      <c r="R69" s="4" t="e">
        <f>#REF!</f>
        <v>#REF!</v>
      </c>
      <c r="S69" s="4" t="e">
        <f>#REF!</f>
        <v>#REF!</v>
      </c>
      <c r="T69" s="4" t="e">
        <f>#REF!</f>
        <v>#REF!</v>
      </c>
      <c r="U69" s="4" t="e">
        <f>#REF!</f>
        <v>#REF!</v>
      </c>
      <c r="V69" s="4" t="e">
        <f>#REF!</f>
        <v>#REF!</v>
      </c>
      <c r="W69" s="4" t="e">
        <f>#REF!</f>
        <v>#REF!</v>
      </c>
      <c r="X69" s="4" t="e">
        <f>#REF!</f>
        <v>#REF!</v>
      </c>
      <c r="Y69" s="4" t="e">
        <f>#REF!</f>
        <v>#REF!</v>
      </c>
      <c r="Z69" s="4" t="e">
        <f>#REF!</f>
        <v>#REF!</v>
      </c>
      <c r="AA69" s="4" t="e">
        <f>#REF!</f>
        <v>#REF!</v>
      </c>
      <c r="AB69" s="213" t="e">
        <f>#REF!</f>
        <v>#REF!</v>
      </c>
      <c r="AC69" s="3" t="e">
        <f>#REF!</f>
        <v>#REF!</v>
      </c>
    </row>
    <row r="70" spans="1:29" ht="40.200000000000003" customHeight="1">
      <c r="A70" s="3">
        <f t="shared" si="1"/>
        <v>59</v>
      </c>
      <c r="B70" s="3" t="e">
        <f>#REF!</f>
        <v>#REF!</v>
      </c>
      <c r="C70" s="213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4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213" t="e">
        <f>#REF!</f>
        <v>#REF!</v>
      </c>
      <c r="AC70" s="3" t="e">
        <f>#REF!</f>
        <v>#REF!</v>
      </c>
    </row>
    <row r="71" spans="1:29" ht="40.200000000000003" customHeight="1">
      <c r="A71" s="3">
        <f t="shared" si="1"/>
        <v>60</v>
      </c>
      <c r="B71" s="3" t="e">
        <f>#REF!</f>
        <v>#REF!</v>
      </c>
      <c r="C71" s="213" t="e">
        <f>#REF!</f>
        <v>#REF!</v>
      </c>
      <c r="D71" s="4" t="e">
        <f>#REF!</f>
        <v>#REF!</v>
      </c>
      <c r="E71" s="4" t="e">
        <f>#REF!</f>
        <v>#REF!</v>
      </c>
      <c r="F71" s="4" t="e">
        <f>#REF!</f>
        <v>#REF!</v>
      </c>
      <c r="G71" s="4" t="e">
        <f>#REF!</f>
        <v>#REF!</v>
      </c>
      <c r="H71" s="4" t="e">
        <f>#REF!</f>
        <v>#REF!</v>
      </c>
      <c r="I71" s="4" t="e">
        <f>#REF!</f>
        <v>#REF!</v>
      </c>
      <c r="J71" s="4" t="e">
        <f>#REF!</f>
        <v>#REF!</v>
      </c>
      <c r="K71" s="4" t="e">
        <f>#REF!</f>
        <v>#REF!</v>
      </c>
      <c r="L71" s="4" t="e">
        <f>#REF!</f>
        <v>#REF!</v>
      </c>
      <c r="M71" s="4" t="e">
        <f>#REF!</f>
        <v>#REF!</v>
      </c>
      <c r="N71" s="4" t="e">
        <f>#REF!</f>
        <v>#REF!</v>
      </c>
      <c r="O71" s="4" t="e">
        <f>#REF!</f>
        <v>#REF!</v>
      </c>
      <c r="P71" s="4" t="e">
        <f>#REF!</f>
        <v>#REF!</v>
      </c>
      <c r="Q71" s="4" t="e">
        <f>#REF!</f>
        <v>#REF!</v>
      </c>
      <c r="R71" s="4" t="e">
        <f>#REF!</f>
        <v>#REF!</v>
      </c>
      <c r="S71" s="4" t="e">
        <f>#REF!</f>
        <v>#REF!</v>
      </c>
      <c r="T71" s="4" t="e">
        <f>#REF!</f>
        <v>#REF!</v>
      </c>
      <c r="U71" s="4" t="e">
        <f>#REF!</f>
        <v>#REF!</v>
      </c>
      <c r="V71" s="4" t="e">
        <f>#REF!</f>
        <v>#REF!</v>
      </c>
      <c r="W71" s="4" t="e">
        <f>#REF!</f>
        <v>#REF!</v>
      </c>
      <c r="X71" s="4" t="e">
        <f>#REF!</f>
        <v>#REF!</v>
      </c>
      <c r="Y71" s="4" t="e">
        <f>#REF!</f>
        <v>#REF!</v>
      </c>
      <c r="Z71" s="4" t="e">
        <f>#REF!</f>
        <v>#REF!</v>
      </c>
      <c r="AA71" s="4" t="e">
        <f>#REF!</f>
        <v>#REF!</v>
      </c>
      <c r="AB71" s="213" t="e">
        <f>#REF!</f>
        <v>#REF!</v>
      </c>
      <c r="AC71" s="3" t="e">
        <f>#REF!</f>
        <v>#REF!</v>
      </c>
    </row>
    <row r="72" spans="1:29" ht="40.200000000000003" customHeight="1">
      <c r="A72" s="3">
        <f t="shared" si="1"/>
        <v>61</v>
      </c>
      <c r="B72" s="3" t="e">
        <f>#REF!</f>
        <v>#REF!</v>
      </c>
      <c r="C72" s="213" t="e">
        <f>#REF!</f>
        <v>#REF!</v>
      </c>
      <c r="D72" s="4" t="e">
        <f>#REF!</f>
        <v>#REF!</v>
      </c>
      <c r="E72" s="4" t="e">
        <f>#REF!</f>
        <v>#REF!</v>
      </c>
      <c r="F72" s="4" t="e">
        <f>#REF!</f>
        <v>#REF!</v>
      </c>
      <c r="G72" s="4" t="e">
        <f>#REF!</f>
        <v>#REF!</v>
      </c>
      <c r="H72" s="4" t="e">
        <f>#REF!</f>
        <v>#REF!</v>
      </c>
      <c r="I72" s="4" t="e">
        <f>#REF!</f>
        <v>#REF!</v>
      </c>
      <c r="J72" s="4" t="e">
        <f>#REF!</f>
        <v>#REF!</v>
      </c>
      <c r="K72" s="4" t="e">
        <f>#REF!</f>
        <v>#REF!</v>
      </c>
      <c r="L72" s="4" t="e">
        <f>#REF!</f>
        <v>#REF!</v>
      </c>
      <c r="M72" s="4" t="e">
        <f>#REF!</f>
        <v>#REF!</v>
      </c>
      <c r="N72" s="4" t="e">
        <f>#REF!</f>
        <v>#REF!</v>
      </c>
      <c r="O72" s="4" t="e">
        <f>#REF!</f>
        <v>#REF!</v>
      </c>
      <c r="P72" s="4" t="e">
        <f>#REF!</f>
        <v>#REF!</v>
      </c>
      <c r="Q72" s="4" t="e">
        <f>#REF!</f>
        <v>#REF!</v>
      </c>
      <c r="R72" s="4" t="e">
        <f>#REF!</f>
        <v>#REF!</v>
      </c>
      <c r="S72" s="4" t="e">
        <f>#REF!</f>
        <v>#REF!</v>
      </c>
      <c r="T72" s="4" t="e">
        <f>#REF!</f>
        <v>#REF!</v>
      </c>
      <c r="U72" s="4" t="e">
        <f>#REF!</f>
        <v>#REF!</v>
      </c>
      <c r="V72" s="4" t="e">
        <f>#REF!</f>
        <v>#REF!</v>
      </c>
      <c r="W72" s="4" t="e">
        <f>#REF!</f>
        <v>#REF!</v>
      </c>
      <c r="X72" s="4" t="e">
        <f>#REF!</f>
        <v>#REF!</v>
      </c>
      <c r="Y72" s="4" t="e">
        <f>#REF!</f>
        <v>#REF!</v>
      </c>
      <c r="Z72" s="4" t="e">
        <f>#REF!</f>
        <v>#REF!</v>
      </c>
      <c r="AA72" s="4" t="e">
        <f>#REF!</f>
        <v>#REF!</v>
      </c>
      <c r="AB72" s="213" t="e">
        <f>#REF!</f>
        <v>#REF!</v>
      </c>
      <c r="AC72" s="3" t="e">
        <f>#REF!</f>
        <v>#REF!</v>
      </c>
    </row>
    <row r="73" spans="1:29" ht="40.200000000000003" customHeight="1">
      <c r="A73" s="3">
        <f t="shared" si="1"/>
        <v>62</v>
      </c>
      <c r="B73" s="3" t="e">
        <f>#REF!</f>
        <v>#REF!</v>
      </c>
      <c r="C73" s="213" t="e">
        <f>#REF!</f>
        <v>#REF!</v>
      </c>
      <c r="D73" s="4" t="e">
        <f>#REF!</f>
        <v>#REF!</v>
      </c>
      <c r="E73" s="4" t="e">
        <f>#REF!</f>
        <v>#REF!</v>
      </c>
      <c r="F73" s="4" t="e">
        <f>#REF!</f>
        <v>#REF!</v>
      </c>
      <c r="G73" s="4" t="e">
        <f>#REF!</f>
        <v>#REF!</v>
      </c>
      <c r="H73" s="4" t="e">
        <f>#REF!</f>
        <v>#REF!</v>
      </c>
      <c r="I73" s="4" t="e">
        <f>#REF!</f>
        <v>#REF!</v>
      </c>
      <c r="J73" s="4" t="e">
        <f>#REF!</f>
        <v>#REF!</v>
      </c>
      <c r="K73" s="4" t="e">
        <f>#REF!</f>
        <v>#REF!</v>
      </c>
      <c r="L73" s="4" t="e">
        <f>#REF!</f>
        <v>#REF!</v>
      </c>
      <c r="M73" s="4" t="e">
        <f>#REF!</f>
        <v>#REF!</v>
      </c>
      <c r="N73" s="4" t="e">
        <f>#REF!</f>
        <v>#REF!</v>
      </c>
      <c r="O73" s="4" t="e">
        <f>#REF!</f>
        <v>#REF!</v>
      </c>
      <c r="P73" s="4" t="e">
        <f>#REF!</f>
        <v>#REF!</v>
      </c>
      <c r="Q73" s="4" t="e">
        <f>#REF!</f>
        <v>#REF!</v>
      </c>
      <c r="R73" s="4" t="e">
        <f>#REF!</f>
        <v>#REF!</v>
      </c>
      <c r="S73" s="4" t="e">
        <f>#REF!</f>
        <v>#REF!</v>
      </c>
      <c r="T73" s="4" t="e">
        <f>#REF!</f>
        <v>#REF!</v>
      </c>
      <c r="U73" s="4" t="e">
        <f>#REF!</f>
        <v>#REF!</v>
      </c>
      <c r="V73" s="4" t="e">
        <f>#REF!</f>
        <v>#REF!</v>
      </c>
      <c r="W73" s="4" t="e">
        <f>#REF!</f>
        <v>#REF!</v>
      </c>
      <c r="X73" s="4" t="e">
        <f>#REF!</f>
        <v>#REF!</v>
      </c>
      <c r="Y73" s="4" t="e">
        <f>#REF!</f>
        <v>#REF!</v>
      </c>
      <c r="Z73" s="4" t="e">
        <f>#REF!</f>
        <v>#REF!</v>
      </c>
      <c r="AA73" s="4" t="e">
        <f>#REF!</f>
        <v>#REF!</v>
      </c>
      <c r="AB73" s="213" t="e">
        <f>#REF!</f>
        <v>#REF!</v>
      </c>
      <c r="AC73" s="3" t="e">
        <f>#REF!</f>
        <v>#REF!</v>
      </c>
    </row>
    <row r="74" spans="1:29" ht="40.200000000000003" customHeight="1">
      <c r="A74" s="3">
        <f t="shared" si="1"/>
        <v>63</v>
      </c>
      <c r="B74" s="3" t="e">
        <f>#REF!</f>
        <v>#REF!</v>
      </c>
      <c r="C74" s="213" t="e">
        <f>#REF!</f>
        <v>#REF!</v>
      </c>
      <c r="D74" s="4" t="e">
        <f>#REF!</f>
        <v>#REF!</v>
      </c>
      <c r="E74" s="4" t="e">
        <f>#REF!</f>
        <v>#REF!</v>
      </c>
      <c r="F74" s="4" t="e">
        <f>#REF!</f>
        <v>#REF!</v>
      </c>
      <c r="G74" s="4" t="e">
        <f>#REF!</f>
        <v>#REF!</v>
      </c>
      <c r="H74" s="4" t="e">
        <f>#REF!</f>
        <v>#REF!</v>
      </c>
      <c r="I74" s="4" t="e">
        <f>#REF!</f>
        <v>#REF!</v>
      </c>
      <c r="J74" s="4" t="e">
        <f>#REF!</f>
        <v>#REF!</v>
      </c>
      <c r="K74" s="4" t="e">
        <f>#REF!</f>
        <v>#REF!</v>
      </c>
      <c r="L74" s="4" t="e">
        <f>#REF!</f>
        <v>#REF!</v>
      </c>
      <c r="M74" s="4" t="e">
        <f>#REF!</f>
        <v>#REF!</v>
      </c>
      <c r="N74" s="4" t="e">
        <f>#REF!</f>
        <v>#REF!</v>
      </c>
      <c r="O74" s="4" t="e">
        <f>#REF!</f>
        <v>#REF!</v>
      </c>
      <c r="P74" s="4" t="e">
        <f>#REF!</f>
        <v>#REF!</v>
      </c>
      <c r="Q74" s="4" t="e">
        <f>#REF!</f>
        <v>#REF!</v>
      </c>
      <c r="R74" s="4" t="e">
        <f>#REF!</f>
        <v>#REF!</v>
      </c>
      <c r="S74" s="4" t="e">
        <f>#REF!</f>
        <v>#REF!</v>
      </c>
      <c r="T74" s="4" t="e">
        <f>#REF!</f>
        <v>#REF!</v>
      </c>
      <c r="U74" s="4" t="e">
        <f>#REF!</f>
        <v>#REF!</v>
      </c>
      <c r="V74" s="4" t="e">
        <f>#REF!</f>
        <v>#REF!</v>
      </c>
      <c r="W74" s="4" t="e">
        <f>#REF!</f>
        <v>#REF!</v>
      </c>
      <c r="X74" s="4" t="e">
        <f>#REF!</f>
        <v>#REF!</v>
      </c>
      <c r="Y74" s="4" t="e">
        <f>#REF!</f>
        <v>#REF!</v>
      </c>
      <c r="Z74" s="4" t="e">
        <f>#REF!</f>
        <v>#REF!</v>
      </c>
      <c r="AA74" s="4" t="e">
        <f>#REF!</f>
        <v>#REF!</v>
      </c>
      <c r="AB74" s="213" t="e">
        <f>#REF!</f>
        <v>#REF!</v>
      </c>
      <c r="AC74" s="3" t="e">
        <f>#REF!</f>
        <v>#REF!</v>
      </c>
    </row>
    <row r="75" spans="1:29" ht="40.200000000000003" customHeight="1">
      <c r="A75" s="3">
        <f t="shared" si="1"/>
        <v>64</v>
      </c>
      <c r="B75" s="3" t="e">
        <f>#REF!</f>
        <v>#REF!</v>
      </c>
      <c r="C75" s="213" t="e">
        <f>#REF!</f>
        <v>#REF!</v>
      </c>
      <c r="D75" s="4" t="e">
        <f>#REF!</f>
        <v>#REF!</v>
      </c>
      <c r="E75" s="4" t="e">
        <f>#REF!</f>
        <v>#REF!</v>
      </c>
      <c r="F75" s="4" t="e">
        <f>#REF!</f>
        <v>#REF!</v>
      </c>
      <c r="G75" s="4" t="e">
        <f>#REF!</f>
        <v>#REF!</v>
      </c>
      <c r="H75" s="4" t="e">
        <f>#REF!</f>
        <v>#REF!</v>
      </c>
      <c r="I75" s="4" t="e">
        <f>#REF!</f>
        <v>#REF!</v>
      </c>
      <c r="J75" s="4" t="e">
        <f>#REF!</f>
        <v>#REF!</v>
      </c>
      <c r="K75" s="4" t="e">
        <f>#REF!</f>
        <v>#REF!</v>
      </c>
      <c r="L75" s="4" t="e">
        <f>#REF!</f>
        <v>#REF!</v>
      </c>
      <c r="M75" s="4" t="e">
        <f>#REF!</f>
        <v>#REF!</v>
      </c>
      <c r="N75" s="4" t="e">
        <f>#REF!</f>
        <v>#REF!</v>
      </c>
      <c r="O75" s="4" t="e">
        <f>#REF!</f>
        <v>#REF!</v>
      </c>
      <c r="P75" s="4" t="e">
        <f>#REF!</f>
        <v>#REF!</v>
      </c>
      <c r="Q75" s="4" t="e">
        <f>#REF!</f>
        <v>#REF!</v>
      </c>
      <c r="R75" s="4" t="e">
        <f>#REF!</f>
        <v>#REF!</v>
      </c>
      <c r="S75" s="4" t="e">
        <f>#REF!</f>
        <v>#REF!</v>
      </c>
      <c r="T75" s="4" t="e">
        <f>#REF!</f>
        <v>#REF!</v>
      </c>
      <c r="U75" s="4" t="e">
        <f>#REF!</f>
        <v>#REF!</v>
      </c>
      <c r="V75" s="4" t="e">
        <f>#REF!</f>
        <v>#REF!</v>
      </c>
      <c r="W75" s="4" t="e">
        <f>#REF!</f>
        <v>#REF!</v>
      </c>
      <c r="X75" s="4" t="e">
        <f>#REF!</f>
        <v>#REF!</v>
      </c>
      <c r="Y75" s="4" t="e">
        <f>#REF!</f>
        <v>#REF!</v>
      </c>
      <c r="Z75" s="4" t="e">
        <f>#REF!</f>
        <v>#REF!</v>
      </c>
      <c r="AA75" s="4" t="e">
        <f>#REF!</f>
        <v>#REF!</v>
      </c>
      <c r="AB75" s="213" t="e">
        <f>#REF!</f>
        <v>#REF!</v>
      </c>
      <c r="AC75" s="3" t="e">
        <f>#REF!</f>
        <v>#REF!</v>
      </c>
    </row>
    <row r="76" spans="1:29" ht="40.200000000000003" customHeight="1">
      <c r="A76" s="3">
        <f t="shared" si="1"/>
        <v>65</v>
      </c>
      <c r="B76" s="3" t="e">
        <f>#REF!</f>
        <v>#REF!</v>
      </c>
      <c r="C76" s="213" t="e">
        <f>#REF!</f>
        <v>#REF!</v>
      </c>
      <c r="D76" s="4" t="e">
        <f>#REF!</f>
        <v>#REF!</v>
      </c>
      <c r="E76" s="4" t="e">
        <f>#REF!</f>
        <v>#REF!</v>
      </c>
      <c r="F76" s="4" t="e">
        <f>#REF!</f>
        <v>#REF!</v>
      </c>
      <c r="G76" s="4" t="e">
        <f>#REF!</f>
        <v>#REF!</v>
      </c>
      <c r="H76" s="4" t="e">
        <f>#REF!</f>
        <v>#REF!</v>
      </c>
      <c r="I76" s="4" t="e">
        <f>#REF!</f>
        <v>#REF!</v>
      </c>
      <c r="J76" s="4" t="e">
        <f>#REF!</f>
        <v>#REF!</v>
      </c>
      <c r="K76" s="4" t="e">
        <f>#REF!</f>
        <v>#REF!</v>
      </c>
      <c r="L76" s="4" t="e">
        <f>#REF!</f>
        <v>#REF!</v>
      </c>
      <c r="M76" s="4" t="e">
        <f>#REF!</f>
        <v>#REF!</v>
      </c>
      <c r="N76" s="4" t="e">
        <f>#REF!</f>
        <v>#REF!</v>
      </c>
      <c r="O76" s="4" t="e">
        <f>#REF!</f>
        <v>#REF!</v>
      </c>
      <c r="P76" s="4" t="e">
        <f>#REF!</f>
        <v>#REF!</v>
      </c>
      <c r="Q76" s="4" t="e">
        <f>#REF!</f>
        <v>#REF!</v>
      </c>
      <c r="R76" s="4" t="e">
        <f>#REF!</f>
        <v>#REF!</v>
      </c>
      <c r="S76" s="4" t="e">
        <f>#REF!</f>
        <v>#REF!</v>
      </c>
      <c r="T76" s="4" t="e">
        <f>#REF!</f>
        <v>#REF!</v>
      </c>
      <c r="U76" s="4" t="e">
        <f>#REF!</f>
        <v>#REF!</v>
      </c>
      <c r="V76" s="4" t="e">
        <f>#REF!</f>
        <v>#REF!</v>
      </c>
      <c r="W76" s="4" t="e">
        <f>#REF!</f>
        <v>#REF!</v>
      </c>
      <c r="X76" s="4" t="e">
        <f>#REF!</f>
        <v>#REF!</v>
      </c>
      <c r="Y76" s="4" t="e">
        <f>#REF!</f>
        <v>#REF!</v>
      </c>
      <c r="Z76" s="4" t="e">
        <f>#REF!</f>
        <v>#REF!</v>
      </c>
      <c r="AA76" s="4" t="e">
        <f>#REF!</f>
        <v>#REF!</v>
      </c>
      <c r="AB76" s="213" t="e">
        <f>#REF!</f>
        <v>#REF!</v>
      </c>
      <c r="AC76" s="3" t="e">
        <f>#REF!</f>
        <v>#REF!</v>
      </c>
    </row>
    <row r="77" spans="1:29" ht="40.200000000000003" customHeight="1">
      <c r="A77" s="3">
        <f t="shared" si="1"/>
        <v>66</v>
      </c>
      <c r="B77" s="3" t="e">
        <f>#REF!</f>
        <v>#REF!</v>
      </c>
      <c r="C77" s="213" t="e">
        <f>#REF!</f>
        <v>#REF!</v>
      </c>
      <c r="D77" s="4" t="e">
        <f>#REF!</f>
        <v>#REF!</v>
      </c>
      <c r="E77" s="4" t="e">
        <f>#REF!</f>
        <v>#REF!</v>
      </c>
      <c r="F77" s="4" t="e">
        <f>#REF!</f>
        <v>#REF!</v>
      </c>
      <c r="G77" s="4" t="e">
        <f>#REF!</f>
        <v>#REF!</v>
      </c>
      <c r="H77" s="4" t="e">
        <f>#REF!</f>
        <v>#REF!</v>
      </c>
      <c r="I77" s="4" t="e">
        <f>#REF!</f>
        <v>#REF!</v>
      </c>
      <c r="J77" s="4" t="e">
        <f>#REF!</f>
        <v>#REF!</v>
      </c>
      <c r="K77" s="4" t="e">
        <f>#REF!</f>
        <v>#REF!</v>
      </c>
      <c r="L77" s="4" t="e">
        <f>#REF!</f>
        <v>#REF!</v>
      </c>
      <c r="M77" s="4" t="e">
        <f>#REF!</f>
        <v>#REF!</v>
      </c>
      <c r="N77" s="4" t="e">
        <f>#REF!</f>
        <v>#REF!</v>
      </c>
      <c r="O77" s="4" t="e">
        <f>#REF!</f>
        <v>#REF!</v>
      </c>
      <c r="P77" s="4" t="e">
        <f>#REF!</f>
        <v>#REF!</v>
      </c>
      <c r="Q77" s="4" t="e">
        <f>#REF!</f>
        <v>#REF!</v>
      </c>
      <c r="R77" s="4" t="e">
        <f>#REF!</f>
        <v>#REF!</v>
      </c>
      <c r="S77" s="4" t="e">
        <f>#REF!</f>
        <v>#REF!</v>
      </c>
      <c r="T77" s="4" t="e">
        <f>#REF!</f>
        <v>#REF!</v>
      </c>
      <c r="U77" s="4" t="e">
        <f>#REF!</f>
        <v>#REF!</v>
      </c>
      <c r="V77" s="4" t="e">
        <f>#REF!</f>
        <v>#REF!</v>
      </c>
      <c r="W77" s="4" t="e">
        <f>#REF!</f>
        <v>#REF!</v>
      </c>
      <c r="X77" s="4" t="e">
        <f>#REF!</f>
        <v>#REF!</v>
      </c>
      <c r="Y77" s="4" t="e">
        <f>#REF!</f>
        <v>#REF!</v>
      </c>
      <c r="Z77" s="4" t="e">
        <f>#REF!</f>
        <v>#REF!</v>
      </c>
      <c r="AA77" s="4" t="e">
        <f>#REF!</f>
        <v>#REF!</v>
      </c>
      <c r="AB77" s="213" t="e">
        <f>#REF!</f>
        <v>#REF!</v>
      </c>
      <c r="AC77" s="3" t="e">
        <f>#REF!</f>
        <v>#REF!</v>
      </c>
    </row>
    <row r="78" spans="1:29" ht="40.200000000000003" customHeight="1">
      <c r="A78" s="3">
        <f t="shared" si="1"/>
        <v>67</v>
      </c>
      <c r="B78" s="3" t="e">
        <f>#REF!</f>
        <v>#REF!</v>
      </c>
      <c r="C78" s="213" t="e">
        <f>#REF!</f>
        <v>#REF!</v>
      </c>
      <c r="D78" s="4" t="e">
        <f>#REF!</f>
        <v>#REF!</v>
      </c>
      <c r="E78" s="4" t="e">
        <f>#REF!</f>
        <v>#REF!</v>
      </c>
      <c r="F78" s="4" t="e">
        <f>#REF!</f>
        <v>#REF!</v>
      </c>
      <c r="G78" s="4" t="e">
        <f>#REF!</f>
        <v>#REF!</v>
      </c>
      <c r="H78" s="4" t="e">
        <f>#REF!</f>
        <v>#REF!</v>
      </c>
      <c r="I78" s="4" t="e">
        <f>#REF!</f>
        <v>#REF!</v>
      </c>
      <c r="J78" s="4" t="e">
        <f>#REF!</f>
        <v>#REF!</v>
      </c>
      <c r="K78" s="4" t="e">
        <f>#REF!</f>
        <v>#REF!</v>
      </c>
      <c r="L78" s="4" t="e">
        <f>#REF!</f>
        <v>#REF!</v>
      </c>
      <c r="M78" s="4" t="e">
        <f>#REF!</f>
        <v>#REF!</v>
      </c>
      <c r="N78" s="4" t="e">
        <f>#REF!</f>
        <v>#REF!</v>
      </c>
      <c r="O78" s="4" t="e">
        <f>#REF!</f>
        <v>#REF!</v>
      </c>
      <c r="P78" s="4" t="e">
        <f>#REF!</f>
        <v>#REF!</v>
      </c>
      <c r="Q78" s="4" t="e">
        <f>#REF!</f>
        <v>#REF!</v>
      </c>
      <c r="R78" s="4" t="e">
        <f>#REF!</f>
        <v>#REF!</v>
      </c>
      <c r="S78" s="4" t="e">
        <f>#REF!</f>
        <v>#REF!</v>
      </c>
      <c r="T78" s="4" t="e">
        <f>#REF!</f>
        <v>#REF!</v>
      </c>
      <c r="U78" s="4" t="e">
        <f>#REF!</f>
        <v>#REF!</v>
      </c>
      <c r="V78" s="4" t="e">
        <f>#REF!</f>
        <v>#REF!</v>
      </c>
      <c r="W78" s="4" t="e">
        <f>#REF!</f>
        <v>#REF!</v>
      </c>
      <c r="X78" s="4" t="e">
        <f>#REF!</f>
        <v>#REF!</v>
      </c>
      <c r="Y78" s="4" t="e">
        <f>#REF!</f>
        <v>#REF!</v>
      </c>
      <c r="Z78" s="4" t="e">
        <f>#REF!</f>
        <v>#REF!</v>
      </c>
      <c r="AA78" s="4" t="e">
        <f>#REF!</f>
        <v>#REF!</v>
      </c>
      <c r="AB78" s="213" t="e">
        <f>#REF!</f>
        <v>#REF!</v>
      </c>
      <c r="AC78" s="3" t="e">
        <f>#REF!</f>
        <v>#REF!</v>
      </c>
    </row>
    <row r="79" spans="1:29" ht="40.200000000000003" customHeight="1">
      <c r="A79" s="3">
        <f t="shared" si="1"/>
        <v>68</v>
      </c>
      <c r="B79" s="3" t="e">
        <f>#REF!</f>
        <v>#REF!</v>
      </c>
      <c r="C79" s="213" t="e">
        <f>#REF!</f>
        <v>#REF!</v>
      </c>
      <c r="D79" s="4" t="e">
        <f>#REF!</f>
        <v>#REF!</v>
      </c>
      <c r="E79" s="4" t="e">
        <f>#REF!</f>
        <v>#REF!</v>
      </c>
      <c r="F79" s="4" t="e">
        <f>#REF!</f>
        <v>#REF!</v>
      </c>
      <c r="G79" s="4" t="e">
        <f>#REF!</f>
        <v>#REF!</v>
      </c>
      <c r="H79" s="4" t="e">
        <f>#REF!</f>
        <v>#REF!</v>
      </c>
      <c r="I79" s="4" t="e">
        <f>#REF!</f>
        <v>#REF!</v>
      </c>
      <c r="J79" s="4" t="e">
        <f>#REF!</f>
        <v>#REF!</v>
      </c>
      <c r="K79" s="4" t="e">
        <f>#REF!</f>
        <v>#REF!</v>
      </c>
      <c r="L79" s="4" t="e">
        <f>#REF!</f>
        <v>#REF!</v>
      </c>
      <c r="M79" s="4" t="e">
        <f>#REF!</f>
        <v>#REF!</v>
      </c>
      <c r="N79" s="4" t="e">
        <f>#REF!</f>
        <v>#REF!</v>
      </c>
      <c r="O79" s="4" t="e">
        <f>#REF!</f>
        <v>#REF!</v>
      </c>
      <c r="P79" s="4" t="e">
        <f>#REF!</f>
        <v>#REF!</v>
      </c>
      <c r="Q79" s="4" t="e">
        <f>#REF!</f>
        <v>#REF!</v>
      </c>
      <c r="R79" s="4" t="e">
        <f>#REF!</f>
        <v>#REF!</v>
      </c>
      <c r="S79" s="4" t="e">
        <f>#REF!</f>
        <v>#REF!</v>
      </c>
      <c r="T79" s="4" t="e">
        <f>#REF!</f>
        <v>#REF!</v>
      </c>
      <c r="U79" s="4" t="e">
        <f>#REF!</f>
        <v>#REF!</v>
      </c>
      <c r="V79" s="4" t="e">
        <f>#REF!</f>
        <v>#REF!</v>
      </c>
      <c r="W79" s="4" t="e">
        <f>#REF!</f>
        <v>#REF!</v>
      </c>
      <c r="X79" s="4" t="e">
        <f>#REF!</f>
        <v>#REF!</v>
      </c>
      <c r="Y79" s="4" t="e">
        <f>#REF!</f>
        <v>#REF!</v>
      </c>
      <c r="Z79" s="4" t="e">
        <f>#REF!</f>
        <v>#REF!</v>
      </c>
      <c r="AA79" s="4" t="e">
        <f>#REF!</f>
        <v>#REF!</v>
      </c>
      <c r="AB79" s="213" t="e">
        <f>#REF!</f>
        <v>#REF!</v>
      </c>
      <c r="AC79" s="3" t="e">
        <f>#REF!</f>
        <v>#REF!</v>
      </c>
    </row>
    <row r="80" spans="1:29" ht="40.200000000000003" customHeight="1">
      <c r="A80" s="3">
        <f t="shared" ref="A80:A121" si="8">A79+1</f>
        <v>69</v>
      </c>
      <c r="B80" s="3" t="e">
        <f>#REF!</f>
        <v>#REF!</v>
      </c>
      <c r="C80" s="213" t="e">
        <f>#REF!</f>
        <v>#REF!</v>
      </c>
      <c r="D80" s="4" t="e">
        <f>#REF!</f>
        <v>#REF!</v>
      </c>
      <c r="E80" s="4" t="e">
        <f>#REF!</f>
        <v>#REF!</v>
      </c>
      <c r="F80" s="4" t="e">
        <f>#REF!</f>
        <v>#REF!</v>
      </c>
      <c r="G80" s="4" t="e">
        <f>#REF!</f>
        <v>#REF!</v>
      </c>
      <c r="H80" s="4" t="e">
        <f>#REF!</f>
        <v>#REF!</v>
      </c>
      <c r="I80" s="4" t="e">
        <f>#REF!</f>
        <v>#REF!</v>
      </c>
      <c r="J80" s="4" t="e">
        <f>#REF!</f>
        <v>#REF!</v>
      </c>
      <c r="K80" s="4" t="e">
        <f>#REF!</f>
        <v>#REF!</v>
      </c>
      <c r="L80" s="4" t="e">
        <f>#REF!</f>
        <v>#REF!</v>
      </c>
      <c r="M80" s="4" t="e">
        <f>#REF!</f>
        <v>#REF!</v>
      </c>
      <c r="N80" s="4" t="e">
        <f>#REF!</f>
        <v>#REF!</v>
      </c>
      <c r="O80" s="4" t="e">
        <f>#REF!</f>
        <v>#REF!</v>
      </c>
      <c r="P80" s="4" t="e">
        <f>#REF!</f>
        <v>#REF!</v>
      </c>
      <c r="Q80" s="4" t="e">
        <f>#REF!</f>
        <v>#REF!</v>
      </c>
      <c r="R80" s="4" t="e">
        <f>#REF!</f>
        <v>#REF!</v>
      </c>
      <c r="S80" s="4" t="e">
        <f>#REF!</f>
        <v>#REF!</v>
      </c>
      <c r="T80" s="4" t="e">
        <f>#REF!</f>
        <v>#REF!</v>
      </c>
      <c r="U80" s="4" t="e">
        <f>#REF!</f>
        <v>#REF!</v>
      </c>
      <c r="V80" s="4" t="e">
        <f>#REF!</f>
        <v>#REF!</v>
      </c>
      <c r="W80" s="4" t="e">
        <f>#REF!</f>
        <v>#REF!</v>
      </c>
      <c r="X80" s="4" t="e">
        <f>#REF!</f>
        <v>#REF!</v>
      </c>
      <c r="Y80" s="4" t="e">
        <f>#REF!</f>
        <v>#REF!</v>
      </c>
      <c r="Z80" s="4" t="e">
        <f>#REF!</f>
        <v>#REF!</v>
      </c>
      <c r="AA80" s="4" t="e">
        <f>#REF!</f>
        <v>#REF!</v>
      </c>
      <c r="AB80" s="213" t="e">
        <f>#REF!</f>
        <v>#REF!</v>
      </c>
      <c r="AC80" s="3" t="e">
        <f>#REF!</f>
        <v>#REF!</v>
      </c>
    </row>
    <row r="81" spans="1:29" ht="40.200000000000003" customHeight="1">
      <c r="A81" s="3">
        <f t="shared" si="8"/>
        <v>70</v>
      </c>
      <c r="B81" s="3" t="e">
        <f>#REF!</f>
        <v>#REF!</v>
      </c>
      <c r="C81" s="213" t="e">
        <f>#REF!</f>
        <v>#REF!</v>
      </c>
      <c r="D81" s="4" t="e">
        <f>#REF!</f>
        <v>#REF!</v>
      </c>
      <c r="E81" s="4" t="e">
        <f>#REF!</f>
        <v>#REF!</v>
      </c>
      <c r="F81" s="4" t="e">
        <f>#REF!</f>
        <v>#REF!</v>
      </c>
      <c r="G81" s="4" t="e">
        <f>#REF!</f>
        <v>#REF!</v>
      </c>
      <c r="H81" s="4" t="e">
        <f>#REF!</f>
        <v>#REF!</v>
      </c>
      <c r="I81" s="4" t="e">
        <f>#REF!</f>
        <v>#REF!</v>
      </c>
      <c r="J81" s="4" t="e">
        <f>#REF!</f>
        <v>#REF!</v>
      </c>
      <c r="K81" s="4" t="e">
        <f>#REF!</f>
        <v>#REF!</v>
      </c>
      <c r="L81" s="4" t="e">
        <f>#REF!</f>
        <v>#REF!</v>
      </c>
      <c r="M81" s="4" t="e">
        <f>#REF!</f>
        <v>#REF!</v>
      </c>
      <c r="N81" s="4" t="e">
        <f>#REF!</f>
        <v>#REF!</v>
      </c>
      <c r="O81" s="4" t="e">
        <f>#REF!</f>
        <v>#REF!</v>
      </c>
      <c r="P81" s="4" t="e">
        <f>#REF!</f>
        <v>#REF!</v>
      </c>
      <c r="Q81" s="4" t="e">
        <f>#REF!</f>
        <v>#REF!</v>
      </c>
      <c r="R81" s="4" t="e">
        <f>#REF!</f>
        <v>#REF!</v>
      </c>
      <c r="S81" s="4" t="e">
        <f>#REF!</f>
        <v>#REF!</v>
      </c>
      <c r="T81" s="4" t="e">
        <f>#REF!</f>
        <v>#REF!</v>
      </c>
      <c r="U81" s="4" t="e">
        <f>#REF!</f>
        <v>#REF!</v>
      </c>
      <c r="V81" s="4" t="e">
        <f>#REF!</f>
        <v>#REF!</v>
      </c>
      <c r="W81" s="4" t="e">
        <f>#REF!</f>
        <v>#REF!</v>
      </c>
      <c r="X81" s="4" t="e">
        <f>#REF!</f>
        <v>#REF!</v>
      </c>
      <c r="Y81" s="4" t="e">
        <f>#REF!</f>
        <v>#REF!</v>
      </c>
      <c r="Z81" s="4" t="e">
        <f>#REF!</f>
        <v>#REF!</v>
      </c>
      <c r="AA81" s="4" t="e">
        <f>#REF!</f>
        <v>#REF!</v>
      </c>
      <c r="AB81" s="213" t="e">
        <f>#REF!</f>
        <v>#REF!</v>
      </c>
      <c r="AC81" s="3" t="e">
        <f>#REF!</f>
        <v>#REF!</v>
      </c>
    </row>
    <row r="82" spans="1:29" ht="40.200000000000003" customHeight="1">
      <c r="A82" s="3">
        <f t="shared" si="8"/>
        <v>71</v>
      </c>
      <c r="B82" s="3" t="e">
        <f>#REF!</f>
        <v>#REF!</v>
      </c>
      <c r="C82" s="213" t="e">
        <f>#REF!</f>
        <v>#REF!</v>
      </c>
      <c r="D82" s="4" t="e">
        <f>#REF!</f>
        <v>#REF!</v>
      </c>
      <c r="E82" s="4" t="e">
        <f>#REF!</f>
        <v>#REF!</v>
      </c>
      <c r="F82" s="4" t="e">
        <f>#REF!</f>
        <v>#REF!</v>
      </c>
      <c r="G82" s="4" t="e">
        <f>#REF!</f>
        <v>#REF!</v>
      </c>
      <c r="H82" s="4" t="e">
        <f>#REF!</f>
        <v>#REF!</v>
      </c>
      <c r="I82" s="4" t="e">
        <f>#REF!</f>
        <v>#REF!</v>
      </c>
      <c r="J82" s="4" t="e">
        <f>#REF!</f>
        <v>#REF!</v>
      </c>
      <c r="K82" s="4" t="e">
        <f>#REF!</f>
        <v>#REF!</v>
      </c>
      <c r="L82" s="4" t="e">
        <f>#REF!</f>
        <v>#REF!</v>
      </c>
      <c r="M82" s="4" t="e">
        <f>#REF!</f>
        <v>#REF!</v>
      </c>
      <c r="N82" s="4" t="e">
        <f>#REF!</f>
        <v>#REF!</v>
      </c>
      <c r="O82" s="4" t="e">
        <f>#REF!</f>
        <v>#REF!</v>
      </c>
      <c r="P82" s="4" t="e">
        <f>#REF!</f>
        <v>#REF!</v>
      </c>
      <c r="Q82" s="4" t="e">
        <f>#REF!</f>
        <v>#REF!</v>
      </c>
      <c r="R82" s="4" t="e">
        <f>#REF!</f>
        <v>#REF!</v>
      </c>
      <c r="S82" s="4" t="e">
        <f>#REF!</f>
        <v>#REF!</v>
      </c>
      <c r="T82" s="4" t="e">
        <f>#REF!</f>
        <v>#REF!</v>
      </c>
      <c r="U82" s="4" t="e">
        <f>#REF!</f>
        <v>#REF!</v>
      </c>
      <c r="V82" s="4" t="e">
        <f>#REF!</f>
        <v>#REF!</v>
      </c>
      <c r="W82" s="4" t="e">
        <f>#REF!</f>
        <v>#REF!</v>
      </c>
      <c r="X82" s="4" t="e">
        <f>#REF!</f>
        <v>#REF!</v>
      </c>
      <c r="Y82" s="4" t="e">
        <f>#REF!</f>
        <v>#REF!</v>
      </c>
      <c r="Z82" s="4" t="e">
        <f>#REF!</f>
        <v>#REF!</v>
      </c>
      <c r="AA82" s="4" t="e">
        <f>#REF!</f>
        <v>#REF!</v>
      </c>
      <c r="AB82" s="213" t="e">
        <f>#REF!</f>
        <v>#REF!</v>
      </c>
      <c r="AC82" s="3" t="e">
        <f>#REF!</f>
        <v>#REF!</v>
      </c>
    </row>
    <row r="83" spans="1:29" ht="40.200000000000003" customHeight="1">
      <c r="A83" s="3">
        <f t="shared" si="8"/>
        <v>72</v>
      </c>
      <c r="B83" s="3" t="e">
        <f>#REF!</f>
        <v>#REF!</v>
      </c>
      <c r="C83" s="213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4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213" t="e">
        <f>#REF!</f>
        <v>#REF!</v>
      </c>
      <c r="AC83" s="3" t="e">
        <f>#REF!</f>
        <v>#REF!</v>
      </c>
    </row>
    <row r="84" spans="1:29" ht="40.200000000000003" customHeight="1">
      <c r="A84" s="3">
        <f t="shared" si="8"/>
        <v>73</v>
      </c>
      <c r="B84" s="3" t="e">
        <f>#REF!</f>
        <v>#REF!</v>
      </c>
      <c r="C84" s="213" t="e">
        <f>#REF!</f>
        <v>#REF!</v>
      </c>
      <c r="D84" s="4" t="e">
        <f>#REF!</f>
        <v>#REF!</v>
      </c>
      <c r="E84" s="4" t="e">
        <f>#REF!</f>
        <v>#REF!</v>
      </c>
      <c r="F84" s="4" t="e">
        <f>#REF!</f>
        <v>#REF!</v>
      </c>
      <c r="G84" s="4" t="e">
        <f>#REF!</f>
        <v>#REF!</v>
      </c>
      <c r="H84" s="4" t="e">
        <f>#REF!</f>
        <v>#REF!</v>
      </c>
      <c r="I84" s="4" t="e">
        <f>#REF!</f>
        <v>#REF!</v>
      </c>
      <c r="J84" s="4" t="e">
        <f>#REF!</f>
        <v>#REF!</v>
      </c>
      <c r="K84" s="4" t="e">
        <f>#REF!</f>
        <v>#REF!</v>
      </c>
      <c r="L84" s="4" t="e">
        <f>#REF!</f>
        <v>#REF!</v>
      </c>
      <c r="M84" s="4" t="e">
        <f>#REF!</f>
        <v>#REF!</v>
      </c>
      <c r="N84" s="4" t="e">
        <f>#REF!</f>
        <v>#REF!</v>
      </c>
      <c r="O84" s="4" t="e">
        <f>#REF!</f>
        <v>#REF!</v>
      </c>
      <c r="P84" s="4" t="e">
        <f>#REF!</f>
        <v>#REF!</v>
      </c>
      <c r="Q84" s="4" t="e">
        <f>#REF!</f>
        <v>#REF!</v>
      </c>
      <c r="R84" s="4" t="e">
        <f>#REF!</f>
        <v>#REF!</v>
      </c>
      <c r="S84" s="4" t="e">
        <f>#REF!</f>
        <v>#REF!</v>
      </c>
      <c r="T84" s="4" t="e">
        <f>#REF!</f>
        <v>#REF!</v>
      </c>
      <c r="U84" s="4" t="e">
        <f>#REF!</f>
        <v>#REF!</v>
      </c>
      <c r="V84" s="4" t="e">
        <f>#REF!</f>
        <v>#REF!</v>
      </c>
      <c r="W84" s="4" t="e">
        <f>#REF!</f>
        <v>#REF!</v>
      </c>
      <c r="X84" s="4" t="e">
        <f>#REF!</f>
        <v>#REF!</v>
      </c>
      <c r="Y84" s="4" t="e">
        <f>#REF!</f>
        <v>#REF!</v>
      </c>
      <c r="Z84" s="4" t="e">
        <f>#REF!</f>
        <v>#REF!</v>
      </c>
      <c r="AA84" s="4" t="e">
        <f>#REF!</f>
        <v>#REF!</v>
      </c>
      <c r="AB84" s="213" t="e">
        <f>#REF!</f>
        <v>#REF!</v>
      </c>
      <c r="AC84" s="3" t="e">
        <f>#REF!</f>
        <v>#REF!</v>
      </c>
    </row>
    <row r="85" spans="1:29" ht="40.200000000000003" customHeight="1">
      <c r="A85" s="3">
        <f t="shared" si="8"/>
        <v>74</v>
      </c>
      <c r="B85" s="3" t="e">
        <f>#REF!</f>
        <v>#REF!</v>
      </c>
      <c r="C85" s="213" t="e">
        <f>#REF!</f>
        <v>#REF!</v>
      </c>
      <c r="D85" s="4" t="e">
        <f>#REF!</f>
        <v>#REF!</v>
      </c>
      <c r="E85" s="4" t="e">
        <f>#REF!</f>
        <v>#REF!</v>
      </c>
      <c r="F85" s="4" t="e">
        <f>#REF!</f>
        <v>#REF!</v>
      </c>
      <c r="G85" s="4" t="e">
        <f>#REF!</f>
        <v>#REF!</v>
      </c>
      <c r="H85" s="4" t="e">
        <f>#REF!</f>
        <v>#REF!</v>
      </c>
      <c r="I85" s="4" t="e">
        <f>#REF!</f>
        <v>#REF!</v>
      </c>
      <c r="J85" s="4" t="e">
        <f>#REF!</f>
        <v>#REF!</v>
      </c>
      <c r="K85" s="4" t="e">
        <f>#REF!</f>
        <v>#REF!</v>
      </c>
      <c r="L85" s="4" t="e">
        <f>#REF!</f>
        <v>#REF!</v>
      </c>
      <c r="M85" s="4" t="e">
        <f>#REF!</f>
        <v>#REF!</v>
      </c>
      <c r="N85" s="4" t="e">
        <f>#REF!</f>
        <v>#REF!</v>
      </c>
      <c r="O85" s="4" t="e">
        <f>#REF!</f>
        <v>#REF!</v>
      </c>
      <c r="P85" s="4" t="e">
        <f>#REF!</f>
        <v>#REF!</v>
      </c>
      <c r="Q85" s="4" t="e">
        <f>#REF!</f>
        <v>#REF!</v>
      </c>
      <c r="R85" s="4" t="e">
        <f>#REF!</f>
        <v>#REF!</v>
      </c>
      <c r="S85" s="4" t="e">
        <f>#REF!</f>
        <v>#REF!</v>
      </c>
      <c r="T85" s="4" t="e">
        <f>#REF!</f>
        <v>#REF!</v>
      </c>
      <c r="U85" s="4" t="e">
        <f>#REF!</f>
        <v>#REF!</v>
      </c>
      <c r="V85" s="4" t="e">
        <f>#REF!</f>
        <v>#REF!</v>
      </c>
      <c r="W85" s="4" t="e">
        <f>#REF!</f>
        <v>#REF!</v>
      </c>
      <c r="X85" s="4" t="e">
        <f>#REF!</f>
        <v>#REF!</v>
      </c>
      <c r="Y85" s="4" t="e">
        <f>#REF!</f>
        <v>#REF!</v>
      </c>
      <c r="Z85" s="4" t="e">
        <f>#REF!</f>
        <v>#REF!</v>
      </c>
      <c r="AA85" s="4" t="e">
        <f>#REF!</f>
        <v>#REF!</v>
      </c>
      <c r="AB85" s="213" t="e">
        <f>#REF!</f>
        <v>#REF!</v>
      </c>
      <c r="AC85" s="3" t="e">
        <f>#REF!</f>
        <v>#REF!</v>
      </c>
    </row>
    <row r="86" spans="1:29" ht="40.200000000000003" customHeight="1">
      <c r="A86" s="3">
        <f t="shared" si="8"/>
        <v>75</v>
      </c>
      <c r="B86" s="3" t="e">
        <f>#REF!</f>
        <v>#REF!</v>
      </c>
      <c r="C86" s="213" t="e">
        <f>#REF!</f>
        <v>#REF!</v>
      </c>
      <c r="D86" s="4" t="e">
        <f>#REF!</f>
        <v>#REF!</v>
      </c>
      <c r="E86" s="4" t="e">
        <f>#REF!</f>
        <v>#REF!</v>
      </c>
      <c r="F86" s="4" t="e">
        <f>#REF!</f>
        <v>#REF!</v>
      </c>
      <c r="G86" s="4" t="e">
        <f>#REF!</f>
        <v>#REF!</v>
      </c>
      <c r="H86" s="4" t="e">
        <f>#REF!</f>
        <v>#REF!</v>
      </c>
      <c r="I86" s="4" t="e">
        <f>#REF!</f>
        <v>#REF!</v>
      </c>
      <c r="J86" s="4" t="e">
        <f>#REF!</f>
        <v>#REF!</v>
      </c>
      <c r="K86" s="4" t="e">
        <f>#REF!</f>
        <v>#REF!</v>
      </c>
      <c r="L86" s="4" t="e">
        <f>#REF!</f>
        <v>#REF!</v>
      </c>
      <c r="M86" s="4" t="e">
        <f>#REF!</f>
        <v>#REF!</v>
      </c>
      <c r="N86" s="4" t="e">
        <f>#REF!</f>
        <v>#REF!</v>
      </c>
      <c r="O86" s="4" t="e">
        <f>#REF!</f>
        <v>#REF!</v>
      </c>
      <c r="P86" s="4" t="e">
        <f>#REF!</f>
        <v>#REF!</v>
      </c>
      <c r="Q86" s="4" t="e">
        <f>#REF!</f>
        <v>#REF!</v>
      </c>
      <c r="R86" s="4" t="e">
        <f>#REF!</f>
        <v>#REF!</v>
      </c>
      <c r="S86" s="4" t="e">
        <f>#REF!</f>
        <v>#REF!</v>
      </c>
      <c r="T86" s="4" t="e">
        <f>#REF!</f>
        <v>#REF!</v>
      </c>
      <c r="U86" s="4" t="e">
        <f>#REF!</f>
        <v>#REF!</v>
      </c>
      <c r="V86" s="4" t="e">
        <f>#REF!</f>
        <v>#REF!</v>
      </c>
      <c r="W86" s="4" t="e">
        <f>#REF!</f>
        <v>#REF!</v>
      </c>
      <c r="X86" s="4" t="e">
        <f>#REF!</f>
        <v>#REF!</v>
      </c>
      <c r="Y86" s="4" t="e">
        <f>#REF!</f>
        <v>#REF!</v>
      </c>
      <c r="Z86" s="4" t="e">
        <f>#REF!</f>
        <v>#REF!</v>
      </c>
      <c r="AA86" s="4" t="e">
        <f>#REF!</f>
        <v>#REF!</v>
      </c>
      <c r="AB86" s="213" t="e">
        <f>#REF!</f>
        <v>#REF!</v>
      </c>
      <c r="AC86" s="3" t="e">
        <f>#REF!</f>
        <v>#REF!</v>
      </c>
    </row>
    <row r="87" spans="1:29" ht="40.200000000000003" customHeight="1">
      <c r="A87" s="3">
        <f t="shared" si="8"/>
        <v>76</v>
      </c>
      <c r="B87" s="3" t="e">
        <f>#REF!</f>
        <v>#REF!</v>
      </c>
      <c r="C87" s="213" t="e">
        <f>#REF!</f>
        <v>#REF!</v>
      </c>
      <c r="D87" s="4" t="e">
        <f>#REF!</f>
        <v>#REF!</v>
      </c>
      <c r="E87" s="4" t="e">
        <f>#REF!</f>
        <v>#REF!</v>
      </c>
      <c r="F87" s="4" t="e">
        <f>#REF!</f>
        <v>#REF!</v>
      </c>
      <c r="G87" s="4" t="e">
        <f>#REF!</f>
        <v>#REF!</v>
      </c>
      <c r="H87" s="4" t="e">
        <f>#REF!</f>
        <v>#REF!</v>
      </c>
      <c r="I87" s="4" t="e">
        <f>#REF!</f>
        <v>#REF!</v>
      </c>
      <c r="J87" s="4" t="e">
        <f>#REF!</f>
        <v>#REF!</v>
      </c>
      <c r="K87" s="4" t="e">
        <f>#REF!</f>
        <v>#REF!</v>
      </c>
      <c r="L87" s="4" t="e">
        <f>#REF!</f>
        <v>#REF!</v>
      </c>
      <c r="M87" s="4" t="e">
        <f>#REF!</f>
        <v>#REF!</v>
      </c>
      <c r="N87" s="4" t="e">
        <f>#REF!</f>
        <v>#REF!</v>
      </c>
      <c r="O87" s="4" t="e">
        <f>#REF!</f>
        <v>#REF!</v>
      </c>
      <c r="P87" s="4" t="e">
        <f>#REF!</f>
        <v>#REF!</v>
      </c>
      <c r="Q87" s="4" t="e">
        <f>#REF!</f>
        <v>#REF!</v>
      </c>
      <c r="R87" s="4" t="e">
        <f>#REF!</f>
        <v>#REF!</v>
      </c>
      <c r="S87" s="4" t="e">
        <f>#REF!</f>
        <v>#REF!</v>
      </c>
      <c r="T87" s="4" t="e">
        <f>#REF!</f>
        <v>#REF!</v>
      </c>
      <c r="U87" s="4" t="e">
        <f>#REF!</f>
        <v>#REF!</v>
      </c>
      <c r="V87" s="4" t="e">
        <f>#REF!</f>
        <v>#REF!</v>
      </c>
      <c r="W87" s="4" t="e">
        <f>#REF!</f>
        <v>#REF!</v>
      </c>
      <c r="X87" s="4" t="e">
        <f>#REF!</f>
        <v>#REF!</v>
      </c>
      <c r="Y87" s="4" t="e">
        <f>#REF!</f>
        <v>#REF!</v>
      </c>
      <c r="Z87" s="4" t="e">
        <f>#REF!</f>
        <v>#REF!</v>
      </c>
      <c r="AA87" s="4" t="e">
        <f>#REF!</f>
        <v>#REF!</v>
      </c>
      <c r="AB87" s="213" t="e">
        <f>#REF!</f>
        <v>#REF!</v>
      </c>
      <c r="AC87" s="3" t="e">
        <f>#REF!</f>
        <v>#REF!</v>
      </c>
    </row>
    <row r="88" spans="1:29" ht="40.200000000000003" customHeight="1">
      <c r="A88" s="3">
        <f t="shared" si="8"/>
        <v>77</v>
      </c>
      <c r="B88" s="3" t="e">
        <f>#REF!</f>
        <v>#REF!</v>
      </c>
      <c r="C88" s="213" t="e">
        <f>#REF!</f>
        <v>#REF!</v>
      </c>
      <c r="D88" s="4" t="e">
        <f>#REF!</f>
        <v>#REF!</v>
      </c>
      <c r="E88" s="4" t="e">
        <f>#REF!</f>
        <v>#REF!</v>
      </c>
      <c r="F88" s="4" t="e">
        <f>#REF!</f>
        <v>#REF!</v>
      </c>
      <c r="G88" s="4" t="e">
        <f>#REF!</f>
        <v>#REF!</v>
      </c>
      <c r="H88" s="4" t="e">
        <f>#REF!</f>
        <v>#REF!</v>
      </c>
      <c r="I88" s="4" t="e">
        <f>#REF!</f>
        <v>#REF!</v>
      </c>
      <c r="J88" s="4" t="e">
        <f>#REF!</f>
        <v>#REF!</v>
      </c>
      <c r="K88" s="4" t="e">
        <f>#REF!</f>
        <v>#REF!</v>
      </c>
      <c r="L88" s="4" t="e">
        <f>#REF!</f>
        <v>#REF!</v>
      </c>
      <c r="M88" s="4" t="e">
        <f>#REF!</f>
        <v>#REF!</v>
      </c>
      <c r="N88" s="4" t="e">
        <f>#REF!</f>
        <v>#REF!</v>
      </c>
      <c r="O88" s="4" t="e">
        <f>#REF!</f>
        <v>#REF!</v>
      </c>
      <c r="P88" s="4" t="e">
        <f>#REF!</f>
        <v>#REF!</v>
      </c>
      <c r="Q88" s="4" t="e">
        <f>#REF!</f>
        <v>#REF!</v>
      </c>
      <c r="R88" s="4" t="e">
        <f>#REF!</f>
        <v>#REF!</v>
      </c>
      <c r="S88" s="4" t="e">
        <f>#REF!</f>
        <v>#REF!</v>
      </c>
      <c r="T88" s="4" t="e">
        <f>#REF!</f>
        <v>#REF!</v>
      </c>
      <c r="U88" s="4" t="e">
        <f>#REF!</f>
        <v>#REF!</v>
      </c>
      <c r="V88" s="4" t="e">
        <f>#REF!</f>
        <v>#REF!</v>
      </c>
      <c r="W88" s="4" t="e">
        <f>#REF!</f>
        <v>#REF!</v>
      </c>
      <c r="X88" s="4" t="e">
        <f>#REF!</f>
        <v>#REF!</v>
      </c>
      <c r="Y88" s="4" t="e">
        <f>#REF!</f>
        <v>#REF!</v>
      </c>
      <c r="Z88" s="4" t="e">
        <f>#REF!</f>
        <v>#REF!</v>
      </c>
      <c r="AA88" s="4" t="e">
        <f>#REF!</f>
        <v>#REF!</v>
      </c>
      <c r="AB88" s="213" t="e">
        <f>#REF!</f>
        <v>#REF!</v>
      </c>
      <c r="AC88" s="3" t="e">
        <f>#REF!</f>
        <v>#REF!</v>
      </c>
    </row>
    <row r="89" spans="1:29" ht="40.200000000000003" customHeight="1">
      <c r="A89" s="3">
        <f t="shared" si="8"/>
        <v>78</v>
      </c>
      <c r="B89" s="3" t="e">
        <f>#REF!</f>
        <v>#REF!</v>
      </c>
      <c r="C89" s="213" t="e">
        <f>#REF!</f>
        <v>#REF!</v>
      </c>
      <c r="D89" s="4" t="e">
        <f>#REF!</f>
        <v>#REF!</v>
      </c>
      <c r="E89" s="4" t="e">
        <f>#REF!</f>
        <v>#REF!</v>
      </c>
      <c r="F89" s="4" t="e">
        <f>#REF!</f>
        <v>#REF!</v>
      </c>
      <c r="G89" s="4" t="e">
        <f>#REF!</f>
        <v>#REF!</v>
      </c>
      <c r="H89" s="4" t="e">
        <f>#REF!</f>
        <v>#REF!</v>
      </c>
      <c r="I89" s="4" t="e">
        <f>#REF!</f>
        <v>#REF!</v>
      </c>
      <c r="J89" s="4" t="e">
        <f>#REF!</f>
        <v>#REF!</v>
      </c>
      <c r="K89" s="4" t="e">
        <f>#REF!</f>
        <v>#REF!</v>
      </c>
      <c r="L89" s="4" t="e">
        <f>#REF!</f>
        <v>#REF!</v>
      </c>
      <c r="M89" s="4" t="e">
        <f>#REF!</f>
        <v>#REF!</v>
      </c>
      <c r="N89" s="4" t="e">
        <f>#REF!</f>
        <v>#REF!</v>
      </c>
      <c r="O89" s="4" t="e">
        <f>#REF!</f>
        <v>#REF!</v>
      </c>
      <c r="P89" s="4" t="e">
        <f>#REF!</f>
        <v>#REF!</v>
      </c>
      <c r="Q89" s="4" t="e">
        <f>#REF!</f>
        <v>#REF!</v>
      </c>
      <c r="R89" s="4" t="e">
        <f>#REF!</f>
        <v>#REF!</v>
      </c>
      <c r="S89" s="4" t="e">
        <f>#REF!</f>
        <v>#REF!</v>
      </c>
      <c r="T89" s="4" t="e">
        <f>#REF!</f>
        <v>#REF!</v>
      </c>
      <c r="U89" s="4" t="e">
        <f>#REF!</f>
        <v>#REF!</v>
      </c>
      <c r="V89" s="4" t="e">
        <f>#REF!</f>
        <v>#REF!</v>
      </c>
      <c r="W89" s="4" t="e">
        <f>#REF!</f>
        <v>#REF!</v>
      </c>
      <c r="X89" s="4" t="e">
        <f>#REF!</f>
        <v>#REF!</v>
      </c>
      <c r="Y89" s="4" t="e">
        <f>#REF!</f>
        <v>#REF!</v>
      </c>
      <c r="Z89" s="4" t="e">
        <f>#REF!</f>
        <v>#REF!</v>
      </c>
      <c r="AA89" s="4" t="e">
        <f>#REF!</f>
        <v>#REF!</v>
      </c>
      <c r="AB89" s="213" t="e">
        <f>#REF!</f>
        <v>#REF!</v>
      </c>
      <c r="AC89" s="3" t="e">
        <f>#REF!</f>
        <v>#REF!</v>
      </c>
    </row>
    <row r="90" spans="1:29" ht="40.200000000000003" customHeight="1">
      <c r="A90" s="3">
        <f t="shared" si="8"/>
        <v>79</v>
      </c>
      <c r="B90" s="3" t="e">
        <f>#REF!</f>
        <v>#REF!</v>
      </c>
      <c r="C90" s="213" t="e">
        <f>#REF!</f>
        <v>#REF!</v>
      </c>
      <c r="D90" s="4" t="e">
        <f>#REF!</f>
        <v>#REF!</v>
      </c>
      <c r="E90" s="4" t="e">
        <f>#REF!</f>
        <v>#REF!</v>
      </c>
      <c r="F90" s="4" t="e">
        <f>#REF!</f>
        <v>#REF!</v>
      </c>
      <c r="G90" s="4" t="e">
        <f>#REF!</f>
        <v>#REF!</v>
      </c>
      <c r="H90" s="4" t="e">
        <f>#REF!</f>
        <v>#REF!</v>
      </c>
      <c r="I90" s="4" t="e">
        <f>#REF!</f>
        <v>#REF!</v>
      </c>
      <c r="J90" s="4" t="e">
        <f>#REF!</f>
        <v>#REF!</v>
      </c>
      <c r="K90" s="4" t="e">
        <f>#REF!</f>
        <v>#REF!</v>
      </c>
      <c r="L90" s="4" t="e">
        <f>#REF!</f>
        <v>#REF!</v>
      </c>
      <c r="M90" s="4" t="e">
        <f>#REF!</f>
        <v>#REF!</v>
      </c>
      <c r="N90" s="4" t="e">
        <f>#REF!</f>
        <v>#REF!</v>
      </c>
      <c r="O90" s="4" t="e">
        <f>#REF!</f>
        <v>#REF!</v>
      </c>
      <c r="P90" s="4" t="e">
        <f>#REF!</f>
        <v>#REF!</v>
      </c>
      <c r="Q90" s="4" t="e">
        <f>#REF!</f>
        <v>#REF!</v>
      </c>
      <c r="R90" s="4" t="e">
        <f>#REF!</f>
        <v>#REF!</v>
      </c>
      <c r="S90" s="4" t="e">
        <f>#REF!</f>
        <v>#REF!</v>
      </c>
      <c r="T90" s="4" t="e">
        <f>#REF!</f>
        <v>#REF!</v>
      </c>
      <c r="U90" s="4" t="e">
        <f>#REF!</f>
        <v>#REF!</v>
      </c>
      <c r="V90" s="4" t="e">
        <f>#REF!</f>
        <v>#REF!</v>
      </c>
      <c r="W90" s="4" t="e">
        <f>#REF!</f>
        <v>#REF!</v>
      </c>
      <c r="X90" s="4" t="e">
        <f>#REF!</f>
        <v>#REF!</v>
      </c>
      <c r="Y90" s="4" t="e">
        <f>#REF!</f>
        <v>#REF!</v>
      </c>
      <c r="Z90" s="4" t="e">
        <f>#REF!</f>
        <v>#REF!</v>
      </c>
      <c r="AA90" s="4" t="e">
        <f>#REF!</f>
        <v>#REF!</v>
      </c>
      <c r="AB90" s="213" t="e">
        <f>#REF!</f>
        <v>#REF!</v>
      </c>
      <c r="AC90" s="3" t="e">
        <f>#REF!</f>
        <v>#REF!</v>
      </c>
    </row>
    <row r="91" spans="1:29" s="409" customFormat="1" ht="40.200000000000003" customHeight="1">
      <c r="A91" s="7"/>
      <c r="B91" s="7"/>
      <c r="C91" s="13" t="s">
        <v>529</v>
      </c>
      <c r="D91" s="8" t="e">
        <f t="shared" ref="D91:AA91" si="9">SUM(D62:D90)</f>
        <v>#REF!</v>
      </c>
      <c r="E91" s="8" t="e">
        <f t="shared" si="9"/>
        <v>#REF!</v>
      </c>
      <c r="F91" s="8" t="e">
        <f t="shared" si="9"/>
        <v>#REF!</v>
      </c>
      <c r="G91" s="8" t="e">
        <f t="shared" si="9"/>
        <v>#REF!</v>
      </c>
      <c r="H91" s="8" t="e">
        <f t="shared" si="9"/>
        <v>#REF!</v>
      </c>
      <c r="I91" s="8" t="e">
        <f t="shared" si="9"/>
        <v>#REF!</v>
      </c>
      <c r="J91" s="8" t="e">
        <f t="shared" si="9"/>
        <v>#REF!</v>
      </c>
      <c r="K91" s="8" t="e">
        <f t="shared" si="9"/>
        <v>#REF!</v>
      </c>
      <c r="L91" s="8" t="e">
        <f t="shared" si="9"/>
        <v>#REF!</v>
      </c>
      <c r="M91" s="8" t="e">
        <f t="shared" si="9"/>
        <v>#REF!</v>
      </c>
      <c r="N91" s="8" t="e">
        <f t="shared" si="9"/>
        <v>#REF!</v>
      </c>
      <c r="O91" s="8" t="e">
        <f t="shared" si="9"/>
        <v>#REF!</v>
      </c>
      <c r="P91" s="8" t="e">
        <f t="shared" si="9"/>
        <v>#REF!</v>
      </c>
      <c r="Q91" s="8" t="e">
        <f t="shared" si="9"/>
        <v>#REF!</v>
      </c>
      <c r="R91" s="8" t="e">
        <f t="shared" si="9"/>
        <v>#REF!</v>
      </c>
      <c r="S91" s="8" t="e">
        <f t="shared" si="9"/>
        <v>#REF!</v>
      </c>
      <c r="T91" s="8" t="e">
        <f t="shared" si="9"/>
        <v>#REF!</v>
      </c>
      <c r="U91" s="8" t="e">
        <f t="shared" si="9"/>
        <v>#REF!</v>
      </c>
      <c r="V91" s="8" t="e">
        <f t="shared" si="9"/>
        <v>#REF!</v>
      </c>
      <c r="W91" s="8" t="e">
        <f t="shared" si="9"/>
        <v>#REF!</v>
      </c>
      <c r="X91" s="8" t="e">
        <f t="shared" si="9"/>
        <v>#REF!</v>
      </c>
      <c r="Y91" s="8" t="e">
        <f t="shared" si="9"/>
        <v>#REF!</v>
      </c>
      <c r="Z91" s="8" t="e">
        <f t="shared" si="9"/>
        <v>#REF!</v>
      </c>
      <c r="AA91" s="8" t="e">
        <f t="shared" si="9"/>
        <v>#REF!</v>
      </c>
      <c r="AB91" s="13"/>
      <c r="AC91" s="7"/>
    </row>
    <row r="92" spans="1:29" ht="40.200000000000003" customHeight="1">
      <c r="A92" s="3">
        <f>A90+1</f>
        <v>80</v>
      </c>
      <c r="B92" s="3" t="e">
        <f>#REF!</f>
        <v>#REF!</v>
      </c>
      <c r="C92" s="213" t="e">
        <f>#REF!</f>
        <v>#REF!</v>
      </c>
      <c r="D92" s="4" t="e">
        <f>#REF!</f>
        <v>#REF!</v>
      </c>
      <c r="E92" s="4" t="e">
        <f>#REF!</f>
        <v>#REF!</v>
      </c>
      <c r="F92" s="4" t="e">
        <f>#REF!</f>
        <v>#REF!</v>
      </c>
      <c r="G92" s="4" t="e">
        <f>#REF!</f>
        <v>#REF!</v>
      </c>
      <c r="H92" s="4" t="e">
        <f>#REF!</f>
        <v>#REF!</v>
      </c>
      <c r="I92" s="4" t="e">
        <f>#REF!</f>
        <v>#REF!</v>
      </c>
      <c r="J92" s="4" t="e">
        <f>#REF!</f>
        <v>#REF!</v>
      </c>
      <c r="K92" s="4" t="e">
        <f>#REF!</f>
        <v>#REF!</v>
      </c>
      <c r="L92" s="4" t="e">
        <f>#REF!</f>
        <v>#REF!</v>
      </c>
      <c r="M92" s="4" t="e">
        <f>#REF!</f>
        <v>#REF!</v>
      </c>
      <c r="N92" s="4" t="e">
        <f>#REF!</f>
        <v>#REF!</v>
      </c>
      <c r="O92" s="4" t="e">
        <f>#REF!</f>
        <v>#REF!</v>
      </c>
      <c r="P92" s="4" t="e">
        <f>#REF!</f>
        <v>#REF!</v>
      </c>
      <c r="Q92" s="4" t="e">
        <f>#REF!</f>
        <v>#REF!</v>
      </c>
      <c r="R92" s="4" t="e">
        <f>#REF!</f>
        <v>#REF!</v>
      </c>
      <c r="S92" s="4" t="e">
        <f>#REF!</f>
        <v>#REF!</v>
      </c>
      <c r="T92" s="4" t="e">
        <f>#REF!</f>
        <v>#REF!</v>
      </c>
      <c r="U92" s="4" t="e">
        <f>#REF!</f>
        <v>#REF!</v>
      </c>
      <c r="V92" s="4" t="e">
        <f>#REF!</f>
        <v>#REF!</v>
      </c>
      <c r="W92" s="4" t="e">
        <f>#REF!</f>
        <v>#REF!</v>
      </c>
      <c r="X92" s="4" t="e">
        <f>#REF!</f>
        <v>#REF!</v>
      </c>
      <c r="Y92" s="4" t="e">
        <f>#REF!</f>
        <v>#REF!</v>
      </c>
      <c r="Z92" s="4" t="e">
        <f>#REF!</f>
        <v>#REF!</v>
      </c>
      <c r="AA92" s="4" t="e">
        <f>#REF!</f>
        <v>#REF!</v>
      </c>
      <c r="AB92" s="213" t="e">
        <f>#REF!</f>
        <v>#REF!</v>
      </c>
      <c r="AC92" s="3" t="e">
        <f>#REF!</f>
        <v>#REF!</v>
      </c>
    </row>
    <row r="93" spans="1:29" ht="40.200000000000003" customHeight="1">
      <c r="A93" s="3">
        <f t="shared" si="8"/>
        <v>81</v>
      </c>
      <c r="B93" s="3" t="e">
        <f>#REF!</f>
        <v>#REF!</v>
      </c>
      <c r="C93" s="213" t="e">
        <f>#REF!</f>
        <v>#REF!</v>
      </c>
      <c r="D93" s="4" t="e">
        <f>#REF!</f>
        <v>#REF!</v>
      </c>
      <c r="E93" s="4" t="e">
        <f>#REF!</f>
        <v>#REF!</v>
      </c>
      <c r="F93" s="4" t="e">
        <f>#REF!</f>
        <v>#REF!</v>
      </c>
      <c r="G93" s="4" t="e">
        <f>#REF!</f>
        <v>#REF!</v>
      </c>
      <c r="H93" s="4" t="e">
        <f>#REF!</f>
        <v>#REF!</v>
      </c>
      <c r="I93" s="4" t="e">
        <f>#REF!</f>
        <v>#REF!</v>
      </c>
      <c r="J93" s="4" t="e">
        <f>#REF!</f>
        <v>#REF!</v>
      </c>
      <c r="K93" s="4" t="e">
        <f>#REF!</f>
        <v>#REF!</v>
      </c>
      <c r="L93" s="4" t="e">
        <f>#REF!</f>
        <v>#REF!</v>
      </c>
      <c r="M93" s="4" t="e">
        <f>#REF!</f>
        <v>#REF!</v>
      </c>
      <c r="N93" s="4" t="e">
        <f>#REF!</f>
        <v>#REF!</v>
      </c>
      <c r="O93" s="4" t="e">
        <f>#REF!</f>
        <v>#REF!</v>
      </c>
      <c r="P93" s="4" t="e">
        <f>#REF!</f>
        <v>#REF!</v>
      </c>
      <c r="Q93" s="4" t="e">
        <f>#REF!</f>
        <v>#REF!</v>
      </c>
      <c r="R93" s="4" t="e">
        <f>#REF!</f>
        <v>#REF!</v>
      </c>
      <c r="S93" s="4" t="e">
        <f>#REF!</f>
        <v>#REF!</v>
      </c>
      <c r="T93" s="4" t="e">
        <f>#REF!</f>
        <v>#REF!</v>
      </c>
      <c r="U93" s="4" t="e">
        <f>#REF!</f>
        <v>#REF!</v>
      </c>
      <c r="V93" s="4" t="e">
        <f>#REF!</f>
        <v>#REF!</v>
      </c>
      <c r="W93" s="4" t="e">
        <f>#REF!</f>
        <v>#REF!</v>
      </c>
      <c r="X93" s="4" t="e">
        <f>#REF!</f>
        <v>#REF!</v>
      </c>
      <c r="Y93" s="4" t="e">
        <f>#REF!</f>
        <v>#REF!</v>
      </c>
      <c r="Z93" s="4" t="e">
        <f>#REF!</f>
        <v>#REF!</v>
      </c>
      <c r="AA93" s="4" t="e">
        <f>#REF!</f>
        <v>#REF!</v>
      </c>
      <c r="AB93" s="213" t="e">
        <f>#REF!</f>
        <v>#REF!</v>
      </c>
      <c r="AC93" s="3" t="e">
        <f>#REF!</f>
        <v>#REF!</v>
      </c>
    </row>
    <row r="94" spans="1:29" ht="40.200000000000003" customHeight="1">
      <c r="A94" s="3">
        <f t="shared" si="8"/>
        <v>82</v>
      </c>
      <c r="B94" s="3" t="e">
        <f>#REF!</f>
        <v>#REF!</v>
      </c>
      <c r="C94" s="213" t="e">
        <f>#REF!</f>
        <v>#REF!</v>
      </c>
      <c r="D94" s="4" t="e">
        <f>#REF!</f>
        <v>#REF!</v>
      </c>
      <c r="E94" s="4" t="e">
        <f>#REF!</f>
        <v>#REF!</v>
      </c>
      <c r="F94" s="4" t="e">
        <f>#REF!</f>
        <v>#REF!</v>
      </c>
      <c r="G94" s="4" t="e">
        <f>#REF!</f>
        <v>#REF!</v>
      </c>
      <c r="H94" s="4" t="e">
        <f>#REF!</f>
        <v>#REF!</v>
      </c>
      <c r="I94" s="4" t="e">
        <f>#REF!</f>
        <v>#REF!</v>
      </c>
      <c r="J94" s="4" t="e">
        <f>#REF!</f>
        <v>#REF!</v>
      </c>
      <c r="K94" s="4" t="e">
        <f>#REF!</f>
        <v>#REF!</v>
      </c>
      <c r="L94" s="4" t="e">
        <f>#REF!</f>
        <v>#REF!</v>
      </c>
      <c r="M94" s="4" t="e">
        <f>#REF!</f>
        <v>#REF!</v>
      </c>
      <c r="N94" s="4" t="e">
        <f>#REF!</f>
        <v>#REF!</v>
      </c>
      <c r="O94" s="4" t="e">
        <f>#REF!</f>
        <v>#REF!</v>
      </c>
      <c r="P94" s="4" t="e">
        <f>#REF!</f>
        <v>#REF!</v>
      </c>
      <c r="Q94" s="4" t="e">
        <f>#REF!</f>
        <v>#REF!</v>
      </c>
      <c r="R94" s="4" t="e">
        <f>#REF!</f>
        <v>#REF!</v>
      </c>
      <c r="S94" s="4" t="e">
        <f>#REF!</f>
        <v>#REF!</v>
      </c>
      <c r="T94" s="4" t="e">
        <f>#REF!</f>
        <v>#REF!</v>
      </c>
      <c r="U94" s="4" t="e">
        <f>#REF!</f>
        <v>#REF!</v>
      </c>
      <c r="V94" s="4" t="e">
        <f>#REF!</f>
        <v>#REF!</v>
      </c>
      <c r="W94" s="4" t="e">
        <f>#REF!</f>
        <v>#REF!</v>
      </c>
      <c r="X94" s="4" t="e">
        <f>#REF!</f>
        <v>#REF!</v>
      </c>
      <c r="Y94" s="4" t="e">
        <f>#REF!</f>
        <v>#REF!</v>
      </c>
      <c r="Z94" s="4" t="e">
        <f>#REF!</f>
        <v>#REF!</v>
      </c>
      <c r="AA94" s="4" t="e">
        <f>#REF!</f>
        <v>#REF!</v>
      </c>
      <c r="AB94" s="213" t="e">
        <f>#REF!</f>
        <v>#REF!</v>
      </c>
      <c r="AC94" s="3" t="e">
        <f>#REF!</f>
        <v>#REF!</v>
      </c>
    </row>
    <row r="95" spans="1:29" ht="40.200000000000003" customHeight="1">
      <c r="A95" s="3">
        <f t="shared" si="8"/>
        <v>83</v>
      </c>
      <c r="B95" s="3" t="e">
        <f>#REF!</f>
        <v>#REF!</v>
      </c>
      <c r="C95" s="213" t="e">
        <f>#REF!</f>
        <v>#REF!</v>
      </c>
      <c r="D95" s="4" t="e">
        <f>#REF!</f>
        <v>#REF!</v>
      </c>
      <c r="E95" s="4" t="e">
        <f>#REF!</f>
        <v>#REF!</v>
      </c>
      <c r="F95" s="4" t="e">
        <f>#REF!</f>
        <v>#REF!</v>
      </c>
      <c r="G95" s="4" t="e">
        <f>#REF!</f>
        <v>#REF!</v>
      </c>
      <c r="H95" s="4" t="e">
        <f>#REF!</f>
        <v>#REF!</v>
      </c>
      <c r="I95" s="4" t="e">
        <f>#REF!</f>
        <v>#REF!</v>
      </c>
      <c r="J95" s="4" t="e">
        <f>#REF!</f>
        <v>#REF!</v>
      </c>
      <c r="K95" s="4" t="e">
        <f>#REF!</f>
        <v>#REF!</v>
      </c>
      <c r="L95" s="4" t="e">
        <f>#REF!</f>
        <v>#REF!</v>
      </c>
      <c r="M95" s="4" t="e">
        <f>#REF!</f>
        <v>#REF!</v>
      </c>
      <c r="N95" s="4" t="e">
        <f>#REF!</f>
        <v>#REF!</v>
      </c>
      <c r="O95" s="4" t="e">
        <f>#REF!</f>
        <v>#REF!</v>
      </c>
      <c r="P95" s="4" t="e">
        <f>#REF!</f>
        <v>#REF!</v>
      </c>
      <c r="Q95" s="4" t="e">
        <f>#REF!</f>
        <v>#REF!</v>
      </c>
      <c r="R95" s="4" t="e">
        <f>#REF!</f>
        <v>#REF!</v>
      </c>
      <c r="S95" s="4" t="e">
        <f>#REF!</f>
        <v>#REF!</v>
      </c>
      <c r="T95" s="4" t="e">
        <f>#REF!</f>
        <v>#REF!</v>
      </c>
      <c r="U95" s="4" t="e">
        <f>#REF!</f>
        <v>#REF!</v>
      </c>
      <c r="V95" s="4" t="e">
        <f>#REF!</f>
        <v>#REF!</v>
      </c>
      <c r="W95" s="4" t="e">
        <f>#REF!</f>
        <v>#REF!</v>
      </c>
      <c r="X95" s="4" t="e">
        <f>#REF!</f>
        <v>#REF!</v>
      </c>
      <c r="Y95" s="4" t="e">
        <f>#REF!</f>
        <v>#REF!</v>
      </c>
      <c r="Z95" s="4" t="e">
        <f>#REF!</f>
        <v>#REF!</v>
      </c>
      <c r="AA95" s="4" t="e">
        <f>#REF!</f>
        <v>#REF!</v>
      </c>
      <c r="AB95" s="213" t="e">
        <f>#REF!</f>
        <v>#REF!</v>
      </c>
      <c r="AC95" s="3" t="e">
        <f>#REF!</f>
        <v>#REF!</v>
      </c>
    </row>
    <row r="96" spans="1:29" ht="40.200000000000003" customHeight="1">
      <c r="A96" s="3">
        <f t="shared" si="8"/>
        <v>84</v>
      </c>
      <c r="B96" s="3" t="e">
        <f>#REF!</f>
        <v>#REF!</v>
      </c>
      <c r="C96" s="213" t="e">
        <f>#REF!</f>
        <v>#REF!</v>
      </c>
      <c r="D96" s="4" t="e">
        <f>#REF!</f>
        <v>#REF!</v>
      </c>
      <c r="E96" s="4" t="e">
        <f>#REF!</f>
        <v>#REF!</v>
      </c>
      <c r="F96" s="4" t="e">
        <f>#REF!</f>
        <v>#REF!</v>
      </c>
      <c r="G96" s="4" t="e">
        <f>#REF!</f>
        <v>#REF!</v>
      </c>
      <c r="H96" s="4" t="e">
        <f>#REF!</f>
        <v>#REF!</v>
      </c>
      <c r="I96" s="4" t="e">
        <f>#REF!</f>
        <v>#REF!</v>
      </c>
      <c r="J96" s="4" t="e">
        <f>#REF!</f>
        <v>#REF!</v>
      </c>
      <c r="K96" s="4" t="e">
        <f>#REF!</f>
        <v>#REF!</v>
      </c>
      <c r="L96" s="4" t="e">
        <f>#REF!</f>
        <v>#REF!</v>
      </c>
      <c r="M96" s="4" t="e">
        <f>#REF!</f>
        <v>#REF!</v>
      </c>
      <c r="N96" s="4" t="e">
        <f>#REF!</f>
        <v>#REF!</v>
      </c>
      <c r="O96" s="4" t="e">
        <f>#REF!</f>
        <v>#REF!</v>
      </c>
      <c r="P96" s="4" t="e">
        <f>#REF!</f>
        <v>#REF!</v>
      </c>
      <c r="Q96" s="4" t="e">
        <f>#REF!</f>
        <v>#REF!</v>
      </c>
      <c r="R96" s="4" t="e">
        <f>#REF!</f>
        <v>#REF!</v>
      </c>
      <c r="S96" s="4" t="e">
        <f>#REF!</f>
        <v>#REF!</v>
      </c>
      <c r="T96" s="4" t="e">
        <f>#REF!</f>
        <v>#REF!</v>
      </c>
      <c r="U96" s="4" t="e">
        <f>#REF!</f>
        <v>#REF!</v>
      </c>
      <c r="V96" s="4" t="e">
        <f>#REF!</f>
        <v>#REF!</v>
      </c>
      <c r="W96" s="4" t="e">
        <f>#REF!</f>
        <v>#REF!</v>
      </c>
      <c r="X96" s="4" t="e">
        <f>#REF!</f>
        <v>#REF!</v>
      </c>
      <c r="Y96" s="4" t="e">
        <f>#REF!</f>
        <v>#REF!</v>
      </c>
      <c r="Z96" s="4" t="e">
        <f>#REF!</f>
        <v>#REF!</v>
      </c>
      <c r="AA96" s="4" t="e">
        <f>#REF!</f>
        <v>#REF!</v>
      </c>
      <c r="AB96" s="213" t="e">
        <f>#REF!</f>
        <v>#REF!</v>
      </c>
      <c r="AC96" s="3" t="e">
        <f>#REF!</f>
        <v>#REF!</v>
      </c>
    </row>
    <row r="97" spans="1:29" ht="40.200000000000003" customHeight="1">
      <c r="A97" s="3">
        <f t="shared" si="8"/>
        <v>85</v>
      </c>
      <c r="B97" s="3" t="e">
        <f>#REF!</f>
        <v>#REF!</v>
      </c>
      <c r="C97" s="213" t="e">
        <f>#REF!</f>
        <v>#REF!</v>
      </c>
      <c r="D97" s="4" t="e">
        <f>#REF!</f>
        <v>#REF!</v>
      </c>
      <c r="E97" s="4" t="e">
        <f>#REF!</f>
        <v>#REF!</v>
      </c>
      <c r="F97" s="4" t="e">
        <f>#REF!</f>
        <v>#REF!</v>
      </c>
      <c r="G97" s="4" t="e">
        <f>#REF!</f>
        <v>#REF!</v>
      </c>
      <c r="H97" s="4" t="e">
        <f>#REF!</f>
        <v>#REF!</v>
      </c>
      <c r="I97" s="4" t="e">
        <f>#REF!</f>
        <v>#REF!</v>
      </c>
      <c r="J97" s="4" t="e">
        <f>#REF!</f>
        <v>#REF!</v>
      </c>
      <c r="K97" s="4" t="e">
        <f>#REF!</f>
        <v>#REF!</v>
      </c>
      <c r="L97" s="4" t="e">
        <f>#REF!</f>
        <v>#REF!</v>
      </c>
      <c r="M97" s="4" t="e">
        <f>#REF!</f>
        <v>#REF!</v>
      </c>
      <c r="N97" s="4" t="e">
        <f>#REF!</f>
        <v>#REF!</v>
      </c>
      <c r="O97" s="4" t="e">
        <f>#REF!</f>
        <v>#REF!</v>
      </c>
      <c r="P97" s="4" t="e">
        <f>#REF!</f>
        <v>#REF!</v>
      </c>
      <c r="Q97" s="4" t="e">
        <f>#REF!</f>
        <v>#REF!</v>
      </c>
      <c r="R97" s="4" t="e">
        <f>#REF!</f>
        <v>#REF!</v>
      </c>
      <c r="S97" s="4" t="e">
        <f>#REF!</f>
        <v>#REF!</v>
      </c>
      <c r="T97" s="4" t="e">
        <f>#REF!</f>
        <v>#REF!</v>
      </c>
      <c r="U97" s="4" t="e">
        <f>#REF!</f>
        <v>#REF!</v>
      </c>
      <c r="V97" s="4" t="e">
        <f>#REF!</f>
        <v>#REF!</v>
      </c>
      <c r="W97" s="4" t="e">
        <f>#REF!</f>
        <v>#REF!</v>
      </c>
      <c r="X97" s="4" t="e">
        <f>#REF!</f>
        <v>#REF!</v>
      </c>
      <c r="Y97" s="4" t="e">
        <f>#REF!</f>
        <v>#REF!</v>
      </c>
      <c r="Z97" s="4" t="e">
        <f>#REF!</f>
        <v>#REF!</v>
      </c>
      <c r="AA97" s="4" t="e">
        <f>#REF!</f>
        <v>#REF!</v>
      </c>
      <c r="AB97" s="213" t="e">
        <f>#REF!</f>
        <v>#REF!</v>
      </c>
      <c r="AC97" s="3" t="e">
        <f>#REF!</f>
        <v>#REF!</v>
      </c>
    </row>
    <row r="98" spans="1:29" ht="40.200000000000003" customHeight="1">
      <c r="A98" s="3">
        <f t="shared" si="8"/>
        <v>86</v>
      </c>
      <c r="B98" s="3" t="e">
        <f>#REF!</f>
        <v>#REF!</v>
      </c>
      <c r="C98" s="213" t="e">
        <f>#REF!</f>
        <v>#REF!</v>
      </c>
      <c r="D98" s="4" t="e">
        <f>#REF!</f>
        <v>#REF!</v>
      </c>
      <c r="E98" s="4" t="e">
        <f>#REF!</f>
        <v>#REF!</v>
      </c>
      <c r="F98" s="4" t="e">
        <f>#REF!</f>
        <v>#REF!</v>
      </c>
      <c r="G98" s="4" t="e">
        <f>#REF!</f>
        <v>#REF!</v>
      </c>
      <c r="H98" s="4" t="e">
        <f>#REF!</f>
        <v>#REF!</v>
      </c>
      <c r="I98" s="4" t="e">
        <f>#REF!</f>
        <v>#REF!</v>
      </c>
      <c r="J98" s="4" t="e">
        <f>#REF!</f>
        <v>#REF!</v>
      </c>
      <c r="K98" s="4" t="e">
        <f>#REF!</f>
        <v>#REF!</v>
      </c>
      <c r="L98" s="4" t="e">
        <f>#REF!</f>
        <v>#REF!</v>
      </c>
      <c r="M98" s="4" t="e">
        <f>#REF!</f>
        <v>#REF!</v>
      </c>
      <c r="N98" s="4" t="e">
        <f>#REF!</f>
        <v>#REF!</v>
      </c>
      <c r="O98" s="4" t="e">
        <f>#REF!</f>
        <v>#REF!</v>
      </c>
      <c r="P98" s="4" t="e">
        <f>#REF!</f>
        <v>#REF!</v>
      </c>
      <c r="Q98" s="4" t="e">
        <f>#REF!</f>
        <v>#REF!</v>
      </c>
      <c r="R98" s="4" t="e">
        <f>#REF!</f>
        <v>#REF!</v>
      </c>
      <c r="S98" s="4" t="e">
        <f>#REF!</f>
        <v>#REF!</v>
      </c>
      <c r="T98" s="4" t="e">
        <f>#REF!</f>
        <v>#REF!</v>
      </c>
      <c r="U98" s="4" t="e">
        <f>#REF!</f>
        <v>#REF!</v>
      </c>
      <c r="V98" s="4" t="e">
        <f>#REF!</f>
        <v>#REF!</v>
      </c>
      <c r="W98" s="4" t="e">
        <f>#REF!</f>
        <v>#REF!</v>
      </c>
      <c r="X98" s="4" t="e">
        <f>#REF!</f>
        <v>#REF!</v>
      </c>
      <c r="Y98" s="4" t="e">
        <f>#REF!</f>
        <v>#REF!</v>
      </c>
      <c r="Z98" s="4" t="e">
        <f>#REF!</f>
        <v>#REF!</v>
      </c>
      <c r="AA98" s="4" t="e">
        <f>#REF!</f>
        <v>#REF!</v>
      </c>
      <c r="AB98" s="213" t="e">
        <f>#REF!</f>
        <v>#REF!</v>
      </c>
      <c r="AC98" s="3" t="e">
        <f>#REF!</f>
        <v>#REF!</v>
      </c>
    </row>
    <row r="99" spans="1:29" ht="40.200000000000003" customHeight="1">
      <c r="A99" s="3">
        <f t="shared" si="8"/>
        <v>87</v>
      </c>
      <c r="B99" s="3" t="e">
        <f>#REF!</f>
        <v>#REF!</v>
      </c>
      <c r="C99" s="213" t="e">
        <f>#REF!</f>
        <v>#REF!</v>
      </c>
      <c r="D99" s="4" t="e">
        <f>#REF!</f>
        <v>#REF!</v>
      </c>
      <c r="E99" s="4" t="e">
        <f>#REF!</f>
        <v>#REF!</v>
      </c>
      <c r="F99" s="4" t="e">
        <f>#REF!</f>
        <v>#REF!</v>
      </c>
      <c r="G99" s="4" t="e">
        <f>#REF!</f>
        <v>#REF!</v>
      </c>
      <c r="H99" s="4" t="e">
        <f>#REF!</f>
        <v>#REF!</v>
      </c>
      <c r="I99" s="4" t="e">
        <f>#REF!</f>
        <v>#REF!</v>
      </c>
      <c r="J99" s="4" t="e">
        <f>#REF!</f>
        <v>#REF!</v>
      </c>
      <c r="K99" s="4" t="e">
        <f>#REF!</f>
        <v>#REF!</v>
      </c>
      <c r="L99" s="4" t="e">
        <f>#REF!</f>
        <v>#REF!</v>
      </c>
      <c r="M99" s="4" t="e">
        <f>#REF!</f>
        <v>#REF!</v>
      </c>
      <c r="N99" s="4" t="e">
        <f>#REF!</f>
        <v>#REF!</v>
      </c>
      <c r="O99" s="4" t="e">
        <f>#REF!</f>
        <v>#REF!</v>
      </c>
      <c r="P99" s="4" t="e">
        <f>#REF!</f>
        <v>#REF!</v>
      </c>
      <c r="Q99" s="4" t="e">
        <f>#REF!</f>
        <v>#REF!</v>
      </c>
      <c r="R99" s="4" t="e">
        <f>#REF!</f>
        <v>#REF!</v>
      </c>
      <c r="S99" s="4" t="e">
        <f>#REF!</f>
        <v>#REF!</v>
      </c>
      <c r="T99" s="4" t="e">
        <f>#REF!</f>
        <v>#REF!</v>
      </c>
      <c r="U99" s="4" t="e">
        <f>#REF!</f>
        <v>#REF!</v>
      </c>
      <c r="V99" s="4" t="e">
        <f>#REF!</f>
        <v>#REF!</v>
      </c>
      <c r="W99" s="4" t="e">
        <f>#REF!</f>
        <v>#REF!</v>
      </c>
      <c r="X99" s="4" t="e">
        <f>#REF!</f>
        <v>#REF!</v>
      </c>
      <c r="Y99" s="4" t="e">
        <f>#REF!</f>
        <v>#REF!</v>
      </c>
      <c r="Z99" s="4" t="e">
        <f>#REF!</f>
        <v>#REF!</v>
      </c>
      <c r="AA99" s="4" t="e">
        <f>#REF!</f>
        <v>#REF!</v>
      </c>
      <c r="AB99" s="213" t="e">
        <f>#REF!</f>
        <v>#REF!</v>
      </c>
      <c r="AC99" s="3" t="e">
        <f>#REF!</f>
        <v>#REF!</v>
      </c>
    </row>
    <row r="100" spans="1:29" ht="40.200000000000003" customHeight="1">
      <c r="A100" s="3">
        <f t="shared" si="8"/>
        <v>88</v>
      </c>
      <c r="B100" s="3" t="e">
        <f>#REF!</f>
        <v>#REF!</v>
      </c>
      <c r="C100" s="213" t="e">
        <f>#REF!</f>
        <v>#REF!</v>
      </c>
      <c r="D100" s="4" t="e">
        <f>#REF!</f>
        <v>#REF!</v>
      </c>
      <c r="E100" s="4" t="e">
        <f>#REF!</f>
        <v>#REF!</v>
      </c>
      <c r="F100" s="4" t="e">
        <f>#REF!</f>
        <v>#REF!</v>
      </c>
      <c r="G100" s="4" t="e">
        <f>#REF!</f>
        <v>#REF!</v>
      </c>
      <c r="H100" s="4" t="e">
        <f>#REF!</f>
        <v>#REF!</v>
      </c>
      <c r="I100" s="4" t="e">
        <f>#REF!</f>
        <v>#REF!</v>
      </c>
      <c r="J100" s="4" t="e">
        <f>#REF!</f>
        <v>#REF!</v>
      </c>
      <c r="K100" s="4" t="e">
        <f>#REF!</f>
        <v>#REF!</v>
      </c>
      <c r="L100" s="4" t="e">
        <f>#REF!</f>
        <v>#REF!</v>
      </c>
      <c r="M100" s="4" t="e">
        <f>#REF!</f>
        <v>#REF!</v>
      </c>
      <c r="N100" s="4" t="e">
        <f>#REF!</f>
        <v>#REF!</v>
      </c>
      <c r="O100" s="4" t="e">
        <f>#REF!</f>
        <v>#REF!</v>
      </c>
      <c r="P100" s="4" t="e">
        <f>#REF!</f>
        <v>#REF!</v>
      </c>
      <c r="Q100" s="4" t="e">
        <f>#REF!</f>
        <v>#REF!</v>
      </c>
      <c r="R100" s="4" t="e">
        <f>#REF!</f>
        <v>#REF!</v>
      </c>
      <c r="S100" s="4" t="e">
        <f>#REF!</f>
        <v>#REF!</v>
      </c>
      <c r="T100" s="4" t="e">
        <f>#REF!</f>
        <v>#REF!</v>
      </c>
      <c r="U100" s="4" t="e">
        <f>#REF!</f>
        <v>#REF!</v>
      </c>
      <c r="V100" s="4" t="e">
        <f>#REF!</f>
        <v>#REF!</v>
      </c>
      <c r="W100" s="4" t="e">
        <f>#REF!</f>
        <v>#REF!</v>
      </c>
      <c r="X100" s="4" t="e">
        <f>#REF!</f>
        <v>#REF!</v>
      </c>
      <c r="Y100" s="4" t="e">
        <f>#REF!</f>
        <v>#REF!</v>
      </c>
      <c r="Z100" s="4" t="e">
        <f>#REF!</f>
        <v>#REF!</v>
      </c>
      <c r="AA100" s="4" t="e">
        <f>#REF!</f>
        <v>#REF!</v>
      </c>
      <c r="AB100" s="213" t="e">
        <f>#REF!</f>
        <v>#REF!</v>
      </c>
      <c r="AC100" s="3" t="e">
        <f>#REF!</f>
        <v>#REF!</v>
      </c>
    </row>
    <row r="101" spans="1:29" s="409" customFormat="1" ht="40.200000000000003" customHeight="1">
      <c r="A101" s="7"/>
      <c r="B101" s="7"/>
      <c r="C101" s="13" t="s">
        <v>530</v>
      </c>
      <c r="D101" s="8" t="e">
        <f>SUM(D92:D100)</f>
        <v>#REF!</v>
      </c>
      <c r="E101" s="8" t="e">
        <f t="shared" ref="E101:AA101" si="10">SUM(E92:E100)</f>
        <v>#REF!</v>
      </c>
      <c r="F101" s="8" t="e">
        <f t="shared" si="10"/>
        <v>#REF!</v>
      </c>
      <c r="G101" s="8" t="e">
        <f t="shared" si="10"/>
        <v>#REF!</v>
      </c>
      <c r="H101" s="8" t="e">
        <f t="shared" si="10"/>
        <v>#REF!</v>
      </c>
      <c r="I101" s="8" t="e">
        <f t="shared" si="10"/>
        <v>#REF!</v>
      </c>
      <c r="J101" s="8" t="e">
        <f t="shared" si="10"/>
        <v>#REF!</v>
      </c>
      <c r="K101" s="8" t="e">
        <f t="shared" si="10"/>
        <v>#REF!</v>
      </c>
      <c r="L101" s="8" t="e">
        <f t="shared" si="10"/>
        <v>#REF!</v>
      </c>
      <c r="M101" s="8" t="e">
        <f t="shared" si="10"/>
        <v>#REF!</v>
      </c>
      <c r="N101" s="8" t="e">
        <f t="shared" si="10"/>
        <v>#REF!</v>
      </c>
      <c r="O101" s="8" t="e">
        <f t="shared" si="10"/>
        <v>#REF!</v>
      </c>
      <c r="P101" s="8" t="e">
        <f t="shared" si="10"/>
        <v>#REF!</v>
      </c>
      <c r="Q101" s="8" t="e">
        <f t="shared" si="10"/>
        <v>#REF!</v>
      </c>
      <c r="R101" s="8" t="e">
        <f t="shared" si="10"/>
        <v>#REF!</v>
      </c>
      <c r="S101" s="8" t="e">
        <f t="shared" si="10"/>
        <v>#REF!</v>
      </c>
      <c r="T101" s="8" t="e">
        <f t="shared" si="10"/>
        <v>#REF!</v>
      </c>
      <c r="U101" s="8" t="e">
        <f t="shared" si="10"/>
        <v>#REF!</v>
      </c>
      <c r="V101" s="8" t="e">
        <f t="shared" si="10"/>
        <v>#REF!</v>
      </c>
      <c r="W101" s="8" t="e">
        <f t="shared" si="10"/>
        <v>#REF!</v>
      </c>
      <c r="X101" s="8" t="e">
        <f t="shared" si="10"/>
        <v>#REF!</v>
      </c>
      <c r="Y101" s="8" t="e">
        <f t="shared" si="10"/>
        <v>#REF!</v>
      </c>
      <c r="Z101" s="8" t="e">
        <f t="shared" si="10"/>
        <v>#REF!</v>
      </c>
      <c r="AA101" s="8" t="e">
        <f t="shared" si="10"/>
        <v>#REF!</v>
      </c>
      <c r="AB101" s="13"/>
      <c r="AC101" s="7"/>
    </row>
    <row r="102" spans="1:29" ht="40.200000000000003" customHeight="1">
      <c r="A102" s="3">
        <f>A100+1</f>
        <v>89</v>
      </c>
      <c r="B102" s="3" t="e">
        <f>#REF!</f>
        <v>#REF!</v>
      </c>
      <c r="C102" s="213" t="e">
        <f>#REF!</f>
        <v>#REF!</v>
      </c>
      <c r="D102" s="4" t="e">
        <f>#REF!</f>
        <v>#REF!</v>
      </c>
      <c r="E102" s="4" t="e">
        <f>#REF!</f>
        <v>#REF!</v>
      </c>
      <c r="F102" s="4" t="e">
        <f>#REF!</f>
        <v>#REF!</v>
      </c>
      <c r="G102" s="4" t="e">
        <f>#REF!</f>
        <v>#REF!</v>
      </c>
      <c r="H102" s="4" t="e">
        <f>#REF!</f>
        <v>#REF!</v>
      </c>
      <c r="I102" s="4" t="e">
        <f>#REF!</f>
        <v>#REF!</v>
      </c>
      <c r="J102" s="4" t="e">
        <f>#REF!</f>
        <v>#REF!</v>
      </c>
      <c r="K102" s="4" t="e">
        <f>#REF!</f>
        <v>#REF!</v>
      </c>
      <c r="L102" s="4" t="e">
        <f>#REF!</f>
        <v>#REF!</v>
      </c>
      <c r="M102" s="4" t="e">
        <f>#REF!</f>
        <v>#REF!</v>
      </c>
      <c r="N102" s="4" t="e">
        <f>#REF!</f>
        <v>#REF!</v>
      </c>
      <c r="O102" s="4" t="e">
        <f>#REF!</f>
        <v>#REF!</v>
      </c>
      <c r="P102" s="4" t="e">
        <f>#REF!</f>
        <v>#REF!</v>
      </c>
      <c r="Q102" s="4" t="e">
        <f>#REF!</f>
        <v>#REF!</v>
      </c>
      <c r="R102" s="4" t="e">
        <f>#REF!</f>
        <v>#REF!</v>
      </c>
      <c r="S102" s="4" t="e">
        <f>#REF!</f>
        <v>#REF!</v>
      </c>
      <c r="T102" s="4" t="e">
        <f>#REF!</f>
        <v>#REF!</v>
      </c>
      <c r="U102" s="4" t="e">
        <f>#REF!</f>
        <v>#REF!</v>
      </c>
      <c r="V102" s="4" t="e">
        <f>#REF!</f>
        <v>#REF!</v>
      </c>
      <c r="W102" s="4" t="e">
        <f>#REF!</f>
        <v>#REF!</v>
      </c>
      <c r="X102" s="4" t="e">
        <f>#REF!</f>
        <v>#REF!</v>
      </c>
      <c r="Y102" s="4" t="e">
        <f>#REF!</f>
        <v>#REF!</v>
      </c>
      <c r="Z102" s="4" t="e">
        <f>#REF!</f>
        <v>#REF!</v>
      </c>
      <c r="AA102" s="4" t="e">
        <f>#REF!</f>
        <v>#REF!</v>
      </c>
      <c r="AB102" s="213" t="e">
        <f>#REF!</f>
        <v>#REF!</v>
      </c>
      <c r="AC102" s="3" t="e">
        <f>#REF!</f>
        <v>#REF!</v>
      </c>
    </row>
    <row r="103" spans="1:29" ht="40.200000000000003" customHeight="1">
      <c r="A103" s="3">
        <f t="shared" si="8"/>
        <v>90</v>
      </c>
      <c r="B103" s="3" t="e">
        <f>#REF!</f>
        <v>#REF!</v>
      </c>
      <c r="C103" s="213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4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213" t="e">
        <f>#REF!</f>
        <v>#REF!</v>
      </c>
      <c r="AC103" s="3" t="e">
        <f>#REF!</f>
        <v>#REF!</v>
      </c>
    </row>
    <row r="104" spans="1:29" ht="40.200000000000003" customHeight="1">
      <c r="A104" s="3">
        <f t="shared" si="8"/>
        <v>91</v>
      </c>
      <c r="B104" s="3" t="e">
        <f>#REF!</f>
        <v>#REF!</v>
      </c>
      <c r="C104" s="213" t="e">
        <f>#REF!</f>
        <v>#REF!</v>
      </c>
      <c r="D104" s="4" t="e">
        <f>#REF!</f>
        <v>#REF!</v>
      </c>
      <c r="E104" s="4" t="e">
        <f>#REF!</f>
        <v>#REF!</v>
      </c>
      <c r="F104" s="4" t="e">
        <f>#REF!</f>
        <v>#REF!</v>
      </c>
      <c r="G104" s="4" t="e">
        <f>#REF!</f>
        <v>#REF!</v>
      </c>
      <c r="H104" s="4" t="e">
        <f>#REF!</f>
        <v>#REF!</v>
      </c>
      <c r="I104" s="4" t="e">
        <f>#REF!</f>
        <v>#REF!</v>
      </c>
      <c r="J104" s="4" t="e">
        <f>#REF!</f>
        <v>#REF!</v>
      </c>
      <c r="K104" s="4" t="e">
        <f>#REF!</f>
        <v>#REF!</v>
      </c>
      <c r="L104" s="4" t="e">
        <f>#REF!</f>
        <v>#REF!</v>
      </c>
      <c r="M104" s="4" t="e">
        <f>#REF!</f>
        <v>#REF!</v>
      </c>
      <c r="N104" s="4" t="e">
        <f>#REF!</f>
        <v>#REF!</v>
      </c>
      <c r="O104" s="4" t="e">
        <f>#REF!</f>
        <v>#REF!</v>
      </c>
      <c r="P104" s="4" t="e">
        <f>#REF!</f>
        <v>#REF!</v>
      </c>
      <c r="Q104" s="4" t="e">
        <f>#REF!</f>
        <v>#REF!</v>
      </c>
      <c r="R104" s="4" t="e">
        <f>#REF!</f>
        <v>#REF!</v>
      </c>
      <c r="S104" s="4" t="e">
        <f>#REF!</f>
        <v>#REF!</v>
      </c>
      <c r="T104" s="4" t="e">
        <f>#REF!</f>
        <v>#REF!</v>
      </c>
      <c r="U104" s="4" t="e">
        <f>#REF!</f>
        <v>#REF!</v>
      </c>
      <c r="V104" s="4" t="e">
        <f>#REF!</f>
        <v>#REF!</v>
      </c>
      <c r="W104" s="4" t="e">
        <f>#REF!</f>
        <v>#REF!</v>
      </c>
      <c r="X104" s="4" t="e">
        <f>#REF!</f>
        <v>#REF!</v>
      </c>
      <c r="Y104" s="4" t="e">
        <f>#REF!</f>
        <v>#REF!</v>
      </c>
      <c r="Z104" s="4" t="e">
        <f>#REF!</f>
        <v>#REF!</v>
      </c>
      <c r="AA104" s="4" t="e">
        <f>#REF!</f>
        <v>#REF!</v>
      </c>
      <c r="AB104" s="213" t="e">
        <f>#REF!</f>
        <v>#REF!</v>
      </c>
      <c r="AC104" s="3" t="e">
        <f>#REF!</f>
        <v>#REF!</v>
      </c>
    </row>
    <row r="105" spans="1:29" s="409" customFormat="1" ht="40.200000000000003" customHeight="1">
      <c r="A105" s="7"/>
      <c r="B105" s="7"/>
      <c r="C105" s="13" t="s">
        <v>537</v>
      </c>
      <c r="D105" s="8" t="e">
        <f>SUM(D102:D104)</f>
        <v>#REF!</v>
      </c>
      <c r="E105" s="8" t="e">
        <f t="shared" ref="E105:AA105" si="11">SUM(E102:E104)</f>
        <v>#REF!</v>
      </c>
      <c r="F105" s="8" t="e">
        <f t="shared" si="11"/>
        <v>#REF!</v>
      </c>
      <c r="G105" s="8" t="e">
        <f t="shared" si="11"/>
        <v>#REF!</v>
      </c>
      <c r="H105" s="8" t="e">
        <f t="shared" si="11"/>
        <v>#REF!</v>
      </c>
      <c r="I105" s="8" t="e">
        <f t="shared" si="11"/>
        <v>#REF!</v>
      </c>
      <c r="J105" s="8" t="e">
        <f t="shared" si="11"/>
        <v>#REF!</v>
      </c>
      <c r="K105" s="8" t="e">
        <f t="shared" si="11"/>
        <v>#REF!</v>
      </c>
      <c r="L105" s="8" t="e">
        <f t="shared" si="11"/>
        <v>#REF!</v>
      </c>
      <c r="M105" s="8" t="e">
        <f t="shared" si="11"/>
        <v>#REF!</v>
      </c>
      <c r="N105" s="8" t="e">
        <f t="shared" si="11"/>
        <v>#REF!</v>
      </c>
      <c r="O105" s="8" t="e">
        <f t="shared" si="11"/>
        <v>#REF!</v>
      </c>
      <c r="P105" s="8" t="e">
        <f t="shared" si="11"/>
        <v>#REF!</v>
      </c>
      <c r="Q105" s="8" t="e">
        <f t="shared" si="11"/>
        <v>#REF!</v>
      </c>
      <c r="R105" s="8" t="e">
        <f t="shared" si="11"/>
        <v>#REF!</v>
      </c>
      <c r="S105" s="8" t="e">
        <f t="shared" si="11"/>
        <v>#REF!</v>
      </c>
      <c r="T105" s="8" t="e">
        <f t="shared" si="11"/>
        <v>#REF!</v>
      </c>
      <c r="U105" s="8" t="e">
        <f t="shared" si="11"/>
        <v>#REF!</v>
      </c>
      <c r="V105" s="8" t="e">
        <f t="shared" si="11"/>
        <v>#REF!</v>
      </c>
      <c r="W105" s="8" t="e">
        <f t="shared" si="11"/>
        <v>#REF!</v>
      </c>
      <c r="X105" s="8" t="e">
        <f t="shared" si="11"/>
        <v>#REF!</v>
      </c>
      <c r="Y105" s="8" t="e">
        <f t="shared" si="11"/>
        <v>#REF!</v>
      </c>
      <c r="Z105" s="8" t="e">
        <f t="shared" si="11"/>
        <v>#REF!</v>
      </c>
      <c r="AA105" s="8" t="e">
        <f t="shared" si="11"/>
        <v>#REF!</v>
      </c>
      <c r="AB105" s="13"/>
      <c r="AC105" s="7"/>
    </row>
    <row r="106" spans="1:29" ht="40.200000000000003" customHeight="1">
      <c r="A106" s="3">
        <f>A104+1</f>
        <v>92</v>
      </c>
      <c r="B106" s="3" t="e">
        <f>#REF!</f>
        <v>#REF!</v>
      </c>
      <c r="C106" s="213" t="e">
        <f>#REF!</f>
        <v>#REF!</v>
      </c>
      <c r="D106" s="4" t="e">
        <f>#REF!</f>
        <v>#REF!</v>
      </c>
      <c r="E106" s="4" t="e">
        <f>#REF!</f>
        <v>#REF!</v>
      </c>
      <c r="F106" s="4" t="e">
        <f>#REF!</f>
        <v>#REF!</v>
      </c>
      <c r="G106" s="4" t="e">
        <f>#REF!</f>
        <v>#REF!</v>
      </c>
      <c r="H106" s="4" t="e">
        <f>#REF!</f>
        <v>#REF!</v>
      </c>
      <c r="I106" s="4" t="e">
        <f>#REF!</f>
        <v>#REF!</v>
      </c>
      <c r="J106" s="4" t="e">
        <f>#REF!</f>
        <v>#REF!</v>
      </c>
      <c r="K106" s="4" t="e">
        <f>#REF!</f>
        <v>#REF!</v>
      </c>
      <c r="L106" s="4" t="e">
        <f>#REF!</f>
        <v>#REF!</v>
      </c>
      <c r="M106" s="4" t="e">
        <f>#REF!</f>
        <v>#REF!</v>
      </c>
      <c r="N106" s="4" t="e">
        <f>#REF!</f>
        <v>#REF!</v>
      </c>
      <c r="O106" s="4" t="e">
        <f>#REF!</f>
        <v>#REF!</v>
      </c>
      <c r="P106" s="4" t="e">
        <f>#REF!</f>
        <v>#REF!</v>
      </c>
      <c r="Q106" s="4" t="e">
        <f>#REF!</f>
        <v>#REF!</v>
      </c>
      <c r="R106" s="4" t="e">
        <f>#REF!</f>
        <v>#REF!</v>
      </c>
      <c r="S106" s="4" t="e">
        <f>#REF!</f>
        <v>#REF!</v>
      </c>
      <c r="T106" s="4" t="e">
        <f>#REF!</f>
        <v>#REF!</v>
      </c>
      <c r="U106" s="4" t="e">
        <f>#REF!</f>
        <v>#REF!</v>
      </c>
      <c r="V106" s="4" t="e">
        <f>#REF!</f>
        <v>#REF!</v>
      </c>
      <c r="W106" s="4" t="e">
        <f>#REF!</f>
        <v>#REF!</v>
      </c>
      <c r="X106" s="4" t="e">
        <f>#REF!</f>
        <v>#REF!</v>
      </c>
      <c r="Y106" s="4" t="e">
        <f>#REF!</f>
        <v>#REF!</v>
      </c>
      <c r="Z106" s="4" t="e">
        <f>#REF!</f>
        <v>#REF!</v>
      </c>
      <c r="AA106" s="4" t="e">
        <f>#REF!</f>
        <v>#REF!</v>
      </c>
      <c r="AB106" s="213" t="e">
        <f>#REF!</f>
        <v>#REF!</v>
      </c>
      <c r="AC106" s="3" t="e">
        <f>#REF!</f>
        <v>#REF!</v>
      </c>
    </row>
    <row r="107" spans="1:29" ht="40.200000000000003" customHeight="1">
      <c r="A107" s="3">
        <f t="shared" si="8"/>
        <v>93</v>
      </c>
      <c r="B107" s="3" t="e">
        <f>#REF!</f>
        <v>#REF!</v>
      </c>
      <c r="C107" s="213" t="e">
        <f>#REF!</f>
        <v>#REF!</v>
      </c>
      <c r="D107" s="4" t="e">
        <f>#REF!</f>
        <v>#REF!</v>
      </c>
      <c r="E107" s="4" t="e">
        <f>#REF!</f>
        <v>#REF!</v>
      </c>
      <c r="F107" s="4" t="e">
        <f>#REF!</f>
        <v>#REF!</v>
      </c>
      <c r="G107" s="4" t="e">
        <f>#REF!</f>
        <v>#REF!</v>
      </c>
      <c r="H107" s="4" t="e">
        <f>#REF!</f>
        <v>#REF!</v>
      </c>
      <c r="I107" s="4" t="e">
        <f>#REF!</f>
        <v>#REF!</v>
      </c>
      <c r="J107" s="4" t="e">
        <f>#REF!</f>
        <v>#REF!</v>
      </c>
      <c r="K107" s="4" t="e">
        <f>#REF!</f>
        <v>#REF!</v>
      </c>
      <c r="L107" s="4" t="e">
        <f>#REF!</f>
        <v>#REF!</v>
      </c>
      <c r="M107" s="4" t="e">
        <f>#REF!</f>
        <v>#REF!</v>
      </c>
      <c r="N107" s="4" t="e">
        <f>#REF!</f>
        <v>#REF!</v>
      </c>
      <c r="O107" s="4" t="e">
        <f>#REF!</f>
        <v>#REF!</v>
      </c>
      <c r="P107" s="4" t="e">
        <f>#REF!</f>
        <v>#REF!</v>
      </c>
      <c r="Q107" s="4" t="e">
        <f>#REF!</f>
        <v>#REF!</v>
      </c>
      <c r="R107" s="4" t="e">
        <f>#REF!</f>
        <v>#REF!</v>
      </c>
      <c r="S107" s="4" t="e">
        <f>#REF!</f>
        <v>#REF!</v>
      </c>
      <c r="T107" s="4" t="e">
        <f>#REF!</f>
        <v>#REF!</v>
      </c>
      <c r="U107" s="4" t="e">
        <f>#REF!</f>
        <v>#REF!</v>
      </c>
      <c r="V107" s="4" t="e">
        <f>#REF!</f>
        <v>#REF!</v>
      </c>
      <c r="W107" s="4" t="e">
        <f>#REF!</f>
        <v>#REF!</v>
      </c>
      <c r="X107" s="4" t="e">
        <f>#REF!</f>
        <v>#REF!</v>
      </c>
      <c r="Y107" s="4" t="e">
        <f>#REF!</f>
        <v>#REF!</v>
      </c>
      <c r="Z107" s="4" t="e">
        <f>#REF!</f>
        <v>#REF!</v>
      </c>
      <c r="AA107" s="4" t="e">
        <f>#REF!</f>
        <v>#REF!</v>
      </c>
      <c r="AB107" s="213" t="e">
        <f>#REF!</f>
        <v>#REF!</v>
      </c>
      <c r="AC107" s="3" t="e">
        <f>#REF!</f>
        <v>#REF!</v>
      </c>
    </row>
    <row r="108" spans="1:29" s="409" customFormat="1" ht="40.200000000000003" customHeight="1">
      <c r="A108" s="7"/>
      <c r="B108" s="7"/>
      <c r="C108" s="13" t="s">
        <v>532</v>
      </c>
      <c r="D108" s="8" t="e">
        <f>SUM(D106:D107)</f>
        <v>#REF!</v>
      </c>
      <c r="E108" s="8" t="e">
        <f t="shared" ref="E108:AA108" si="12">SUM(E106:E107)</f>
        <v>#REF!</v>
      </c>
      <c r="F108" s="8" t="e">
        <f t="shared" si="12"/>
        <v>#REF!</v>
      </c>
      <c r="G108" s="8" t="e">
        <f t="shared" si="12"/>
        <v>#REF!</v>
      </c>
      <c r="H108" s="8" t="e">
        <f t="shared" si="12"/>
        <v>#REF!</v>
      </c>
      <c r="I108" s="8" t="e">
        <f t="shared" si="12"/>
        <v>#REF!</v>
      </c>
      <c r="J108" s="8" t="e">
        <f t="shared" si="12"/>
        <v>#REF!</v>
      </c>
      <c r="K108" s="8" t="e">
        <f t="shared" si="12"/>
        <v>#REF!</v>
      </c>
      <c r="L108" s="8" t="e">
        <f t="shared" si="12"/>
        <v>#REF!</v>
      </c>
      <c r="M108" s="8" t="e">
        <f t="shared" si="12"/>
        <v>#REF!</v>
      </c>
      <c r="N108" s="8" t="e">
        <f t="shared" si="12"/>
        <v>#REF!</v>
      </c>
      <c r="O108" s="8" t="e">
        <f t="shared" si="12"/>
        <v>#REF!</v>
      </c>
      <c r="P108" s="8" t="e">
        <f t="shared" si="12"/>
        <v>#REF!</v>
      </c>
      <c r="Q108" s="8" t="e">
        <f t="shared" si="12"/>
        <v>#REF!</v>
      </c>
      <c r="R108" s="8" t="e">
        <f t="shared" si="12"/>
        <v>#REF!</v>
      </c>
      <c r="S108" s="8" t="e">
        <f t="shared" si="12"/>
        <v>#REF!</v>
      </c>
      <c r="T108" s="8" t="e">
        <f t="shared" si="12"/>
        <v>#REF!</v>
      </c>
      <c r="U108" s="8" t="e">
        <f t="shared" si="12"/>
        <v>#REF!</v>
      </c>
      <c r="V108" s="8" t="e">
        <f t="shared" si="12"/>
        <v>#REF!</v>
      </c>
      <c r="W108" s="8" t="e">
        <f t="shared" si="12"/>
        <v>#REF!</v>
      </c>
      <c r="X108" s="8" t="e">
        <f t="shared" si="12"/>
        <v>#REF!</v>
      </c>
      <c r="Y108" s="8" t="e">
        <f t="shared" si="12"/>
        <v>#REF!</v>
      </c>
      <c r="Z108" s="8" t="e">
        <f t="shared" si="12"/>
        <v>#REF!</v>
      </c>
      <c r="AA108" s="8" t="e">
        <f t="shared" si="12"/>
        <v>#REF!</v>
      </c>
      <c r="AB108" s="13"/>
      <c r="AC108" s="7"/>
    </row>
    <row r="109" spans="1:29" ht="40.200000000000003" customHeight="1">
      <c r="A109" s="3">
        <f>A107+1</f>
        <v>94</v>
      </c>
      <c r="B109" s="3" t="e">
        <f>#REF!</f>
        <v>#REF!</v>
      </c>
      <c r="C109" s="213" t="e">
        <f>#REF!</f>
        <v>#REF!</v>
      </c>
      <c r="D109" s="4" t="e">
        <f>#REF!</f>
        <v>#REF!</v>
      </c>
      <c r="E109" s="4" t="e">
        <f>#REF!</f>
        <v>#REF!</v>
      </c>
      <c r="F109" s="4" t="e">
        <f>#REF!</f>
        <v>#REF!</v>
      </c>
      <c r="G109" s="4" t="e">
        <f>#REF!</f>
        <v>#REF!</v>
      </c>
      <c r="H109" s="4" t="e">
        <f>#REF!</f>
        <v>#REF!</v>
      </c>
      <c r="I109" s="4" t="e">
        <f>#REF!</f>
        <v>#REF!</v>
      </c>
      <c r="J109" s="4" t="e">
        <f>#REF!</f>
        <v>#REF!</v>
      </c>
      <c r="K109" s="4" t="e">
        <f>#REF!</f>
        <v>#REF!</v>
      </c>
      <c r="L109" s="4" t="e">
        <f>#REF!</f>
        <v>#REF!</v>
      </c>
      <c r="M109" s="4" t="e">
        <f>#REF!</f>
        <v>#REF!</v>
      </c>
      <c r="N109" s="4" t="e">
        <f>#REF!</f>
        <v>#REF!</v>
      </c>
      <c r="O109" s="4" t="e">
        <f>#REF!</f>
        <v>#REF!</v>
      </c>
      <c r="P109" s="4" t="e">
        <f>#REF!</f>
        <v>#REF!</v>
      </c>
      <c r="Q109" s="4" t="e">
        <f>#REF!</f>
        <v>#REF!</v>
      </c>
      <c r="R109" s="4" t="e">
        <f>#REF!</f>
        <v>#REF!</v>
      </c>
      <c r="S109" s="4" t="e">
        <f>#REF!</f>
        <v>#REF!</v>
      </c>
      <c r="T109" s="4" t="e">
        <f>#REF!</f>
        <v>#REF!</v>
      </c>
      <c r="U109" s="4" t="e">
        <f>#REF!</f>
        <v>#REF!</v>
      </c>
      <c r="V109" s="4" t="e">
        <f>#REF!</f>
        <v>#REF!</v>
      </c>
      <c r="W109" s="4" t="e">
        <f>#REF!</f>
        <v>#REF!</v>
      </c>
      <c r="X109" s="4" t="e">
        <f>#REF!</f>
        <v>#REF!</v>
      </c>
      <c r="Y109" s="4" t="e">
        <f>#REF!</f>
        <v>#REF!</v>
      </c>
      <c r="Z109" s="4" t="e">
        <f>#REF!</f>
        <v>#REF!</v>
      </c>
      <c r="AA109" s="4" t="e">
        <f>#REF!</f>
        <v>#REF!</v>
      </c>
      <c r="AB109" s="213" t="e">
        <f>#REF!</f>
        <v>#REF!</v>
      </c>
      <c r="AC109" s="3" t="e">
        <f>#REF!</f>
        <v>#REF!</v>
      </c>
    </row>
    <row r="110" spans="1:29" ht="40.200000000000003" customHeight="1">
      <c r="A110" s="3">
        <f t="shared" si="8"/>
        <v>95</v>
      </c>
      <c r="B110" s="3" t="e">
        <f>#REF!</f>
        <v>#REF!</v>
      </c>
      <c r="C110" s="213" t="e">
        <f>#REF!</f>
        <v>#REF!</v>
      </c>
      <c r="D110" s="4" t="e">
        <f>#REF!</f>
        <v>#REF!</v>
      </c>
      <c r="E110" s="4" t="e">
        <f>#REF!</f>
        <v>#REF!</v>
      </c>
      <c r="F110" s="4" t="e">
        <f>#REF!</f>
        <v>#REF!</v>
      </c>
      <c r="G110" s="4" t="e">
        <f>#REF!</f>
        <v>#REF!</v>
      </c>
      <c r="H110" s="4" t="e">
        <f>#REF!</f>
        <v>#REF!</v>
      </c>
      <c r="I110" s="4" t="e">
        <f>#REF!</f>
        <v>#REF!</v>
      </c>
      <c r="J110" s="4" t="e">
        <f>#REF!</f>
        <v>#REF!</v>
      </c>
      <c r="K110" s="4" t="e">
        <f>#REF!</f>
        <v>#REF!</v>
      </c>
      <c r="L110" s="4" t="e">
        <f>#REF!</f>
        <v>#REF!</v>
      </c>
      <c r="M110" s="4" t="e">
        <f>#REF!</f>
        <v>#REF!</v>
      </c>
      <c r="N110" s="4" t="e">
        <f>#REF!</f>
        <v>#REF!</v>
      </c>
      <c r="O110" s="4" t="e">
        <f>#REF!</f>
        <v>#REF!</v>
      </c>
      <c r="P110" s="4" t="e">
        <f>#REF!</f>
        <v>#REF!</v>
      </c>
      <c r="Q110" s="4" t="e">
        <f>#REF!</f>
        <v>#REF!</v>
      </c>
      <c r="R110" s="4" t="e">
        <f>#REF!</f>
        <v>#REF!</v>
      </c>
      <c r="S110" s="4" t="e">
        <f>#REF!</f>
        <v>#REF!</v>
      </c>
      <c r="T110" s="4" t="e">
        <f>#REF!</f>
        <v>#REF!</v>
      </c>
      <c r="U110" s="4" t="e">
        <f>#REF!</f>
        <v>#REF!</v>
      </c>
      <c r="V110" s="4" t="e">
        <f>#REF!</f>
        <v>#REF!</v>
      </c>
      <c r="W110" s="4" t="e">
        <f>#REF!</f>
        <v>#REF!</v>
      </c>
      <c r="X110" s="4" t="e">
        <f>#REF!</f>
        <v>#REF!</v>
      </c>
      <c r="Y110" s="4" t="e">
        <f>#REF!</f>
        <v>#REF!</v>
      </c>
      <c r="Z110" s="4" t="e">
        <f>#REF!</f>
        <v>#REF!</v>
      </c>
      <c r="AA110" s="4" t="e">
        <f>#REF!</f>
        <v>#REF!</v>
      </c>
      <c r="AB110" s="213" t="e">
        <f>#REF!</f>
        <v>#REF!</v>
      </c>
      <c r="AC110" s="3" t="e">
        <f>#REF!</f>
        <v>#REF!</v>
      </c>
    </row>
    <row r="111" spans="1:29" ht="40.200000000000003" customHeight="1">
      <c r="A111" s="3">
        <f t="shared" si="8"/>
        <v>96</v>
      </c>
      <c r="B111" s="3" t="e">
        <f>#REF!</f>
        <v>#REF!</v>
      </c>
      <c r="C111" s="213" t="e">
        <f>#REF!</f>
        <v>#REF!</v>
      </c>
      <c r="D111" s="4" t="e">
        <f>#REF!</f>
        <v>#REF!</v>
      </c>
      <c r="E111" s="4" t="e">
        <f>#REF!</f>
        <v>#REF!</v>
      </c>
      <c r="F111" s="4" t="e">
        <f>#REF!</f>
        <v>#REF!</v>
      </c>
      <c r="G111" s="4" t="e">
        <f>#REF!</f>
        <v>#REF!</v>
      </c>
      <c r="H111" s="4" t="e">
        <f>#REF!</f>
        <v>#REF!</v>
      </c>
      <c r="I111" s="4" t="e">
        <f>#REF!</f>
        <v>#REF!</v>
      </c>
      <c r="J111" s="4" t="e">
        <f>#REF!</f>
        <v>#REF!</v>
      </c>
      <c r="K111" s="4" t="e">
        <f>#REF!</f>
        <v>#REF!</v>
      </c>
      <c r="L111" s="4" t="e">
        <f>#REF!</f>
        <v>#REF!</v>
      </c>
      <c r="M111" s="4" t="e">
        <f>#REF!</f>
        <v>#REF!</v>
      </c>
      <c r="N111" s="4" t="e">
        <f>#REF!</f>
        <v>#REF!</v>
      </c>
      <c r="O111" s="4" t="e">
        <f>#REF!</f>
        <v>#REF!</v>
      </c>
      <c r="P111" s="4" t="e">
        <f>#REF!</f>
        <v>#REF!</v>
      </c>
      <c r="Q111" s="4" t="e">
        <f>#REF!</f>
        <v>#REF!</v>
      </c>
      <c r="R111" s="4" t="e">
        <f>#REF!</f>
        <v>#REF!</v>
      </c>
      <c r="S111" s="4" t="e">
        <f>#REF!</f>
        <v>#REF!</v>
      </c>
      <c r="T111" s="4" t="e">
        <f>#REF!</f>
        <v>#REF!</v>
      </c>
      <c r="U111" s="4" t="e">
        <f>#REF!</f>
        <v>#REF!</v>
      </c>
      <c r="V111" s="4" t="e">
        <f>#REF!</f>
        <v>#REF!</v>
      </c>
      <c r="W111" s="4" t="e">
        <f>#REF!</f>
        <v>#REF!</v>
      </c>
      <c r="X111" s="4" t="e">
        <f>#REF!</f>
        <v>#REF!</v>
      </c>
      <c r="Y111" s="4" t="e">
        <f>#REF!</f>
        <v>#REF!</v>
      </c>
      <c r="Z111" s="4" t="e">
        <f>#REF!</f>
        <v>#REF!</v>
      </c>
      <c r="AA111" s="4" t="e">
        <f>#REF!</f>
        <v>#REF!</v>
      </c>
      <c r="AB111" s="213" t="e">
        <f>#REF!</f>
        <v>#REF!</v>
      </c>
      <c r="AC111" s="3" t="e">
        <f>#REF!</f>
        <v>#REF!</v>
      </c>
    </row>
    <row r="112" spans="1:29" ht="40.200000000000003" customHeight="1">
      <c r="A112" s="3">
        <f t="shared" si="8"/>
        <v>97</v>
      </c>
      <c r="B112" s="3" t="e">
        <f>#REF!</f>
        <v>#REF!</v>
      </c>
      <c r="C112" s="213" t="e">
        <f>#REF!</f>
        <v>#REF!</v>
      </c>
      <c r="D112" s="4" t="e">
        <f>#REF!</f>
        <v>#REF!</v>
      </c>
      <c r="E112" s="4" t="e">
        <f>#REF!</f>
        <v>#REF!</v>
      </c>
      <c r="F112" s="4" t="e">
        <f>#REF!</f>
        <v>#REF!</v>
      </c>
      <c r="G112" s="4" t="e">
        <f>#REF!</f>
        <v>#REF!</v>
      </c>
      <c r="H112" s="4" t="e">
        <f>#REF!</f>
        <v>#REF!</v>
      </c>
      <c r="I112" s="4" t="e">
        <f>#REF!</f>
        <v>#REF!</v>
      </c>
      <c r="J112" s="4" t="e">
        <f>#REF!</f>
        <v>#REF!</v>
      </c>
      <c r="K112" s="4" t="e">
        <f>#REF!</f>
        <v>#REF!</v>
      </c>
      <c r="L112" s="4" t="e">
        <f>#REF!</f>
        <v>#REF!</v>
      </c>
      <c r="M112" s="4" t="e">
        <f>#REF!</f>
        <v>#REF!</v>
      </c>
      <c r="N112" s="4" t="e">
        <f>#REF!</f>
        <v>#REF!</v>
      </c>
      <c r="O112" s="4" t="e">
        <f>#REF!</f>
        <v>#REF!</v>
      </c>
      <c r="P112" s="4" t="e">
        <f>#REF!</f>
        <v>#REF!</v>
      </c>
      <c r="Q112" s="4" t="e">
        <f>#REF!</f>
        <v>#REF!</v>
      </c>
      <c r="R112" s="4" t="e">
        <f>#REF!</f>
        <v>#REF!</v>
      </c>
      <c r="S112" s="4" t="e">
        <f>#REF!</f>
        <v>#REF!</v>
      </c>
      <c r="T112" s="4" t="e">
        <f>#REF!</f>
        <v>#REF!</v>
      </c>
      <c r="U112" s="4" t="e">
        <f>#REF!</f>
        <v>#REF!</v>
      </c>
      <c r="V112" s="4" t="e">
        <f>#REF!</f>
        <v>#REF!</v>
      </c>
      <c r="W112" s="4" t="e">
        <f>#REF!</f>
        <v>#REF!</v>
      </c>
      <c r="X112" s="4" t="e">
        <f>#REF!</f>
        <v>#REF!</v>
      </c>
      <c r="Y112" s="4" t="e">
        <f>#REF!</f>
        <v>#REF!</v>
      </c>
      <c r="Z112" s="4" t="e">
        <f>#REF!</f>
        <v>#REF!</v>
      </c>
      <c r="AA112" s="4" t="e">
        <f>#REF!</f>
        <v>#REF!</v>
      </c>
      <c r="AB112" s="213" t="e">
        <f>#REF!</f>
        <v>#REF!</v>
      </c>
      <c r="AC112" s="3" t="e">
        <f>#REF!</f>
        <v>#REF!</v>
      </c>
    </row>
    <row r="113" spans="1:29" ht="40.200000000000003" customHeight="1">
      <c r="A113" s="3">
        <f t="shared" si="8"/>
        <v>98</v>
      </c>
      <c r="B113" s="3" t="e">
        <f>#REF!</f>
        <v>#REF!</v>
      </c>
      <c r="C113" s="213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4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213" t="e">
        <f>#REF!</f>
        <v>#REF!</v>
      </c>
      <c r="AC113" s="3" t="e">
        <f>#REF!</f>
        <v>#REF!</v>
      </c>
    </row>
    <row r="114" spans="1:29" s="409" customFormat="1" ht="40.200000000000003" customHeight="1">
      <c r="A114" s="7"/>
      <c r="B114" s="7"/>
      <c r="C114" s="13" t="s">
        <v>533</v>
      </c>
      <c r="D114" s="8" t="e">
        <f>SUM(D109:D113)</f>
        <v>#REF!</v>
      </c>
      <c r="E114" s="8" t="e">
        <f t="shared" ref="E114:AA114" si="13">SUM(E109:E113)</f>
        <v>#REF!</v>
      </c>
      <c r="F114" s="8" t="e">
        <f t="shared" si="13"/>
        <v>#REF!</v>
      </c>
      <c r="G114" s="8" t="e">
        <f t="shared" si="13"/>
        <v>#REF!</v>
      </c>
      <c r="H114" s="8" t="e">
        <f t="shared" si="13"/>
        <v>#REF!</v>
      </c>
      <c r="I114" s="8" t="e">
        <f t="shared" si="13"/>
        <v>#REF!</v>
      </c>
      <c r="J114" s="8" t="e">
        <f t="shared" si="13"/>
        <v>#REF!</v>
      </c>
      <c r="K114" s="8" t="e">
        <f t="shared" si="13"/>
        <v>#REF!</v>
      </c>
      <c r="L114" s="8" t="e">
        <f t="shared" si="13"/>
        <v>#REF!</v>
      </c>
      <c r="M114" s="8" t="e">
        <f t="shared" si="13"/>
        <v>#REF!</v>
      </c>
      <c r="N114" s="8" t="e">
        <f t="shared" si="13"/>
        <v>#REF!</v>
      </c>
      <c r="O114" s="8" t="e">
        <f t="shared" si="13"/>
        <v>#REF!</v>
      </c>
      <c r="P114" s="8" t="e">
        <f t="shared" si="13"/>
        <v>#REF!</v>
      </c>
      <c r="Q114" s="8" t="e">
        <f t="shared" si="13"/>
        <v>#REF!</v>
      </c>
      <c r="R114" s="8" t="e">
        <f t="shared" si="13"/>
        <v>#REF!</v>
      </c>
      <c r="S114" s="8" t="e">
        <f t="shared" si="13"/>
        <v>#REF!</v>
      </c>
      <c r="T114" s="8" t="e">
        <f t="shared" si="13"/>
        <v>#REF!</v>
      </c>
      <c r="U114" s="8" t="e">
        <f t="shared" si="13"/>
        <v>#REF!</v>
      </c>
      <c r="V114" s="8" t="e">
        <f t="shared" si="13"/>
        <v>#REF!</v>
      </c>
      <c r="W114" s="8" t="e">
        <f t="shared" si="13"/>
        <v>#REF!</v>
      </c>
      <c r="X114" s="8" t="e">
        <f t="shared" si="13"/>
        <v>#REF!</v>
      </c>
      <c r="Y114" s="8" t="e">
        <f t="shared" si="13"/>
        <v>#REF!</v>
      </c>
      <c r="Z114" s="8" t="e">
        <f t="shared" si="13"/>
        <v>#REF!</v>
      </c>
      <c r="AA114" s="8" t="e">
        <f t="shared" si="13"/>
        <v>#REF!</v>
      </c>
      <c r="AB114" s="13"/>
      <c r="AC114" s="7"/>
    </row>
    <row r="115" spans="1:29" ht="40.200000000000003" customHeight="1">
      <c r="A115" s="3">
        <f>A113+1</f>
        <v>99</v>
      </c>
      <c r="B115" s="3" t="e">
        <f>#REF!</f>
        <v>#REF!</v>
      </c>
      <c r="C115" s="213" t="e">
        <f>#REF!</f>
        <v>#REF!</v>
      </c>
      <c r="D115" s="4" t="e">
        <f>#REF!</f>
        <v>#REF!</v>
      </c>
      <c r="E115" s="4" t="e">
        <f>#REF!</f>
        <v>#REF!</v>
      </c>
      <c r="F115" s="4" t="e">
        <f>#REF!</f>
        <v>#REF!</v>
      </c>
      <c r="G115" s="4" t="e">
        <f>#REF!</f>
        <v>#REF!</v>
      </c>
      <c r="H115" s="4" t="e">
        <f>#REF!</f>
        <v>#REF!</v>
      </c>
      <c r="I115" s="4" t="e">
        <f>#REF!</f>
        <v>#REF!</v>
      </c>
      <c r="J115" s="4" t="e">
        <f>#REF!</f>
        <v>#REF!</v>
      </c>
      <c r="K115" s="4" t="e">
        <f>#REF!</f>
        <v>#REF!</v>
      </c>
      <c r="L115" s="4" t="e">
        <f>#REF!</f>
        <v>#REF!</v>
      </c>
      <c r="M115" s="4" t="e">
        <f>#REF!</f>
        <v>#REF!</v>
      </c>
      <c r="N115" s="4" t="e">
        <f>#REF!</f>
        <v>#REF!</v>
      </c>
      <c r="O115" s="4" t="e">
        <f>#REF!</f>
        <v>#REF!</v>
      </c>
      <c r="P115" s="4" t="e">
        <f>#REF!</f>
        <v>#REF!</v>
      </c>
      <c r="Q115" s="4" t="e">
        <f>#REF!</f>
        <v>#REF!</v>
      </c>
      <c r="R115" s="4" t="e">
        <f>#REF!</f>
        <v>#REF!</v>
      </c>
      <c r="S115" s="4" t="e">
        <f>#REF!</f>
        <v>#REF!</v>
      </c>
      <c r="T115" s="4" t="e">
        <f>#REF!</f>
        <v>#REF!</v>
      </c>
      <c r="U115" s="4" t="e">
        <f>#REF!</f>
        <v>#REF!</v>
      </c>
      <c r="V115" s="4" t="e">
        <f>#REF!</f>
        <v>#REF!</v>
      </c>
      <c r="W115" s="4" t="e">
        <f>#REF!</f>
        <v>#REF!</v>
      </c>
      <c r="X115" s="4" t="e">
        <f>#REF!</f>
        <v>#REF!</v>
      </c>
      <c r="Y115" s="4" t="e">
        <f>#REF!</f>
        <v>#REF!</v>
      </c>
      <c r="Z115" s="4" t="e">
        <f>#REF!</f>
        <v>#REF!</v>
      </c>
      <c r="AA115" s="4" t="e">
        <f>#REF!</f>
        <v>#REF!</v>
      </c>
      <c r="AB115" s="213" t="e">
        <f>#REF!</f>
        <v>#REF!</v>
      </c>
      <c r="AC115" s="3" t="e">
        <f>#REF!</f>
        <v>#REF!</v>
      </c>
    </row>
    <row r="116" spans="1:29" ht="40.200000000000003" customHeight="1">
      <c r="A116" s="3">
        <f t="shared" si="8"/>
        <v>100</v>
      </c>
      <c r="B116" s="3" t="e">
        <f>#REF!</f>
        <v>#REF!</v>
      </c>
      <c r="C116" s="213" t="e">
        <f>#REF!</f>
        <v>#REF!</v>
      </c>
      <c r="D116" s="4" t="e">
        <f>#REF!</f>
        <v>#REF!</v>
      </c>
      <c r="E116" s="4" t="e">
        <f>#REF!</f>
        <v>#REF!</v>
      </c>
      <c r="F116" s="4" t="e">
        <f>#REF!</f>
        <v>#REF!</v>
      </c>
      <c r="G116" s="4" t="e">
        <f>#REF!</f>
        <v>#REF!</v>
      </c>
      <c r="H116" s="4" t="e">
        <f>#REF!</f>
        <v>#REF!</v>
      </c>
      <c r="I116" s="4" t="e">
        <f>#REF!</f>
        <v>#REF!</v>
      </c>
      <c r="J116" s="4" t="e">
        <f>#REF!</f>
        <v>#REF!</v>
      </c>
      <c r="K116" s="4" t="e">
        <f>#REF!</f>
        <v>#REF!</v>
      </c>
      <c r="L116" s="4" t="e">
        <f>#REF!</f>
        <v>#REF!</v>
      </c>
      <c r="M116" s="4" t="e">
        <f>#REF!</f>
        <v>#REF!</v>
      </c>
      <c r="N116" s="4" t="e">
        <f>#REF!</f>
        <v>#REF!</v>
      </c>
      <c r="O116" s="4" t="e">
        <f>#REF!</f>
        <v>#REF!</v>
      </c>
      <c r="P116" s="4" t="e">
        <f>#REF!</f>
        <v>#REF!</v>
      </c>
      <c r="Q116" s="4" t="e">
        <f>#REF!</f>
        <v>#REF!</v>
      </c>
      <c r="R116" s="4" t="e">
        <f>#REF!</f>
        <v>#REF!</v>
      </c>
      <c r="S116" s="4" t="e">
        <f>#REF!</f>
        <v>#REF!</v>
      </c>
      <c r="T116" s="4" t="e">
        <f>#REF!</f>
        <v>#REF!</v>
      </c>
      <c r="U116" s="4" t="e">
        <f>#REF!</f>
        <v>#REF!</v>
      </c>
      <c r="V116" s="4" t="e">
        <f>#REF!</f>
        <v>#REF!</v>
      </c>
      <c r="W116" s="4" t="e">
        <f>#REF!</f>
        <v>#REF!</v>
      </c>
      <c r="X116" s="4" t="e">
        <f>#REF!</f>
        <v>#REF!</v>
      </c>
      <c r="Y116" s="4" t="e">
        <f>#REF!</f>
        <v>#REF!</v>
      </c>
      <c r="Z116" s="4" t="e">
        <f>#REF!</f>
        <v>#REF!</v>
      </c>
      <c r="AA116" s="4" t="e">
        <f>#REF!</f>
        <v>#REF!</v>
      </c>
      <c r="AB116" s="213" t="e">
        <f>#REF!</f>
        <v>#REF!</v>
      </c>
      <c r="AC116" s="3" t="e">
        <f>#REF!</f>
        <v>#REF!</v>
      </c>
    </row>
    <row r="117" spans="1:29" ht="40.200000000000003" customHeight="1">
      <c r="A117" s="3">
        <f t="shared" si="8"/>
        <v>101</v>
      </c>
      <c r="B117" s="3" t="e">
        <f>#REF!</f>
        <v>#REF!</v>
      </c>
      <c r="C117" s="213" t="e">
        <f>#REF!</f>
        <v>#REF!</v>
      </c>
      <c r="D117" s="4" t="e">
        <f>#REF!</f>
        <v>#REF!</v>
      </c>
      <c r="E117" s="4" t="e">
        <f>#REF!</f>
        <v>#REF!</v>
      </c>
      <c r="F117" s="4" t="e">
        <f>#REF!</f>
        <v>#REF!</v>
      </c>
      <c r="G117" s="4" t="e">
        <f>#REF!</f>
        <v>#REF!</v>
      </c>
      <c r="H117" s="4" t="e">
        <f>#REF!</f>
        <v>#REF!</v>
      </c>
      <c r="I117" s="4" t="e">
        <f>#REF!</f>
        <v>#REF!</v>
      </c>
      <c r="J117" s="4" t="e">
        <f>#REF!</f>
        <v>#REF!</v>
      </c>
      <c r="K117" s="4" t="e">
        <f>#REF!</f>
        <v>#REF!</v>
      </c>
      <c r="L117" s="4" t="e">
        <f>#REF!</f>
        <v>#REF!</v>
      </c>
      <c r="M117" s="4" t="e">
        <f>#REF!</f>
        <v>#REF!</v>
      </c>
      <c r="N117" s="4" t="e">
        <f>#REF!</f>
        <v>#REF!</v>
      </c>
      <c r="O117" s="4" t="e">
        <f>#REF!</f>
        <v>#REF!</v>
      </c>
      <c r="P117" s="4" t="e">
        <f>#REF!</f>
        <v>#REF!</v>
      </c>
      <c r="Q117" s="4" t="e">
        <f>#REF!</f>
        <v>#REF!</v>
      </c>
      <c r="R117" s="4" t="e">
        <f>#REF!</f>
        <v>#REF!</v>
      </c>
      <c r="S117" s="4" t="e">
        <f>#REF!</f>
        <v>#REF!</v>
      </c>
      <c r="T117" s="4" t="e">
        <f>#REF!</f>
        <v>#REF!</v>
      </c>
      <c r="U117" s="4" t="e">
        <f>#REF!</f>
        <v>#REF!</v>
      </c>
      <c r="V117" s="4" t="e">
        <f>#REF!</f>
        <v>#REF!</v>
      </c>
      <c r="W117" s="4" t="e">
        <f>#REF!</f>
        <v>#REF!</v>
      </c>
      <c r="X117" s="4" t="e">
        <f>#REF!</f>
        <v>#REF!</v>
      </c>
      <c r="Y117" s="4" t="e">
        <f>#REF!</f>
        <v>#REF!</v>
      </c>
      <c r="Z117" s="4" t="e">
        <f>#REF!</f>
        <v>#REF!</v>
      </c>
      <c r="AA117" s="4" t="e">
        <f>#REF!</f>
        <v>#REF!</v>
      </c>
      <c r="AB117" s="213" t="e">
        <f>#REF!</f>
        <v>#REF!</v>
      </c>
      <c r="AC117" s="3" t="e">
        <f>#REF!</f>
        <v>#REF!</v>
      </c>
    </row>
    <row r="118" spans="1:29" ht="40.200000000000003" customHeight="1">
      <c r="A118" s="3">
        <f t="shared" si="8"/>
        <v>102</v>
      </c>
      <c r="B118" s="3" t="e">
        <f>#REF!</f>
        <v>#REF!</v>
      </c>
      <c r="C118" s="213" t="e">
        <f>#REF!</f>
        <v>#REF!</v>
      </c>
      <c r="D118" s="4" t="e">
        <f>#REF!</f>
        <v>#REF!</v>
      </c>
      <c r="E118" s="4" t="e">
        <f>#REF!</f>
        <v>#REF!</v>
      </c>
      <c r="F118" s="4" t="e">
        <f>#REF!</f>
        <v>#REF!</v>
      </c>
      <c r="G118" s="4" t="e">
        <f>#REF!</f>
        <v>#REF!</v>
      </c>
      <c r="H118" s="4" t="e">
        <f>#REF!</f>
        <v>#REF!</v>
      </c>
      <c r="I118" s="4" t="e">
        <f>#REF!</f>
        <v>#REF!</v>
      </c>
      <c r="J118" s="4" t="e">
        <f>#REF!</f>
        <v>#REF!</v>
      </c>
      <c r="K118" s="4" t="e">
        <f>#REF!</f>
        <v>#REF!</v>
      </c>
      <c r="L118" s="4" t="e">
        <f>#REF!</f>
        <v>#REF!</v>
      </c>
      <c r="M118" s="4" t="e">
        <f>#REF!</f>
        <v>#REF!</v>
      </c>
      <c r="N118" s="4" t="e">
        <f>#REF!</f>
        <v>#REF!</v>
      </c>
      <c r="O118" s="4" t="e">
        <f>#REF!</f>
        <v>#REF!</v>
      </c>
      <c r="P118" s="4" t="e">
        <f>#REF!</f>
        <v>#REF!</v>
      </c>
      <c r="Q118" s="4" t="e">
        <f>#REF!</f>
        <v>#REF!</v>
      </c>
      <c r="R118" s="4" t="e">
        <f>#REF!</f>
        <v>#REF!</v>
      </c>
      <c r="S118" s="4" t="e">
        <f>#REF!</f>
        <v>#REF!</v>
      </c>
      <c r="T118" s="4" t="e">
        <f>#REF!</f>
        <v>#REF!</v>
      </c>
      <c r="U118" s="4" t="e">
        <f>#REF!</f>
        <v>#REF!</v>
      </c>
      <c r="V118" s="4" t="e">
        <f>#REF!</f>
        <v>#REF!</v>
      </c>
      <c r="W118" s="4" t="e">
        <f>#REF!</f>
        <v>#REF!</v>
      </c>
      <c r="X118" s="4" t="e">
        <f>#REF!</f>
        <v>#REF!</v>
      </c>
      <c r="Y118" s="4" t="e">
        <f>#REF!</f>
        <v>#REF!</v>
      </c>
      <c r="Z118" s="4" t="e">
        <f>#REF!</f>
        <v>#REF!</v>
      </c>
      <c r="AA118" s="4" t="e">
        <f>#REF!</f>
        <v>#REF!</v>
      </c>
      <c r="AB118" s="213" t="e">
        <f>#REF!</f>
        <v>#REF!</v>
      </c>
      <c r="AC118" s="3" t="e">
        <f>#REF!</f>
        <v>#REF!</v>
      </c>
    </row>
    <row r="119" spans="1:29" ht="40.200000000000003" customHeight="1">
      <c r="A119" s="3">
        <f t="shared" si="8"/>
        <v>103</v>
      </c>
      <c r="B119" s="3" t="e">
        <f>#REF!</f>
        <v>#REF!</v>
      </c>
      <c r="C119" s="213" t="e">
        <f>#REF!</f>
        <v>#REF!</v>
      </c>
      <c r="D119" s="4" t="e">
        <f>#REF!</f>
        <v>#REF!</v>
      </c>
      <c r="E119" s="4" t="e">
        <f>#REF!</f>
        <v>#REF!</v>
      </c>
      <c r="F119" s="4" t="e">
        <f>#REF!</f>
        <v>#REF!</v>
      </c>
      <c r="G119" s="4" t="e">
        <f>#REF!</f>
        <v>#REF!</v>
      </c>
      <c r="H119" s="4" t="e">
        <f>#REF!</f>
        <v>#REF!</v>
      </c>
      <c r="I119" s="4" t="e">
        <f>#REF!</f>
        <v>#REF!</v>
      </c>
      <c r="J119" s="4" t="e">
        <f>#REF!</f>
        <v>#REF!</v>
      </c>
      <c r="K119" s="4" t="e">
        <f>#REF!</f>
        <v>#REF!</v>
      </c>
      <c r="L119" s="4" t="e">
        <f>#REF!</f>
        <v>#REF!</v>
      </c>
      <c r="M119" s="4" t="e">
        <f>#REF!</f>
        <v>#REF!</v>
      </c>
      <c r="N119" s="4" t="e">
        <f>#REF!</f>
        <v>#REF!</v>
      </c>
      <c r="O119" s="4" t="e">
        <f>#REF!</f>
        <v>#REF!</v>
      </c>
      <c r="P119" s="4" t="e">
        <f>#REF!</f>
        <v>#REF!</v>
      </c>
      <c r="Q119" s="4" t="e">
        <f>#REF!</f>
        <v>#REF!</v>
      </c>
      <c r="R119" s="4" t="e">
        <f>#REF!</f>
        <v>#REF!</v>
      </c>
      <c r="S119" s="4" t="e">
        <f>#REF!</f>
        <v>#REF!</v>
      </c>
      <c r="T119" s="4" t="e">
        <f>#REF!</f>
        <v>#REF!</v>
      </c>
      <c r="U119" s="4" t="e">
        <f>#REF!</f>
        <v>#REF!</v>
      </c>
      <c r="V119" s="4" t="e">
        <f>#REF!</f>
        <v>#REF!</v>
      </c>
      <c r="W119" s="4" t="e">
        <f>#REF!</f>
        <v>#REF!</v>
      </c>
      <c r="X119" s="4" t="e">
        <f>#REF!</f>
        <v>#REF!</v>
      </c>
      <c r="Y119" s="4" t="e">
        <f>#REF!</f>
        <v>#REF!</v>
      </c>
      <c r="Z119" s="4" t="e">
        <f>#REF!</f>
        <v>#REF!</v>
      </c>
      <c r="AA119" s="4" t="e">
        <f>#REF!</f>
        <v>#REF!</v>
      </c>
      <c r="AB119" s="213" t="e">
        <f>#REF!</f>
        <v>#REF!</v>
      </c>
      <c r="AC119" s="3" t="e">
        <f>#REF!</f>
        <v>#REF!</v>
      </c>
    </row>
    <row r="120" spans="1:29" ht="40.200000000000003" customHeight="1">
      <c r="A120" s="3">
        <f t="shared" si="8"/>
        <v>104</v>
      </c>
      <c r="B120" s="3" t="e">
        <f>#REF!</f>
        <v>#REF!</v>
      </c>
      <c r="C120" s="213" t="e">
        <f>#REF!</f>
        <v>#REF!</v>
      </c>
      <c r="D120" s="4" t="e">
        <f>#REF!</f>
        <v>#REF!</v>
      </c>
      <c r="E120" s="4" t="e">
        <f>#REF!</f>
        <v>#REF!</v>
      </c>
      <c r="F120" s="4" t="e">
        <f>#REF!</f>
        <v>#REF!</v>
      </c>
      <c r="G120" s="4" t="e">
        <f>#REF!</f>
        <v>#REF!</v>
      </c>
      <c r="H120" s="4" t="e">
        <f>#REF!</f>
        <v>#REF!</v>
      </c>
      <c r="I120" s="4" t="e">
        <f>#REF!</f>
        <v>#REF!</v>
      </c>
      <c r="J120" s="4" t="e">
        <f>#REF!</f>
        <v>#REF!</v>
      </c>
      <c r="K120" s="4" t="e">
        <f>#REF!</f>
        <v>#REF!</v>
      </c>
      <c r="L120" s="4" t="e">
        <f>#REF!</f>
        <v>#REF!</v>
      </c>
      <c r="M120" s="4" t="e">
        <f>#REF!</f>
        <v>#REF!</v>
      </c>
      <c r="N120" s="4" t="e">
        <f>#REF!</f>
        <v>#REF!</v>
      </c>
      <c r="O120" s="4" t="e">
        <f>#REF!</f>
        <v>#REF!</v>
      </c>
      <c r="P120" s="4" t="e">
        <f>#REF!</f>
        <v>#REF!</v>
      </c>
      <c r="Q120" s="4" t="e">
        <f>#REF!</f>
        <v>#REF!</v>
      </c>
      <c r="R120" s="4" t="e">
        <f>#REF!</f>
        <v>#REF!</v>
      </c>
      <c r="S120" s="4" t="e">
        <f>#REF!</f>
        <v>#REF!</v>
      </c>
      <c r="T120" s="4" t="e">
        <f>#REF!</f>
        <v>#REF!</v>
      </c>
      <c r="U120" s="4" t="e">
        <f>#REF!</f>
        <v>#REF!</v>
      </c>
      <c r="V120" s="4" t="e">
        <f>#REF!</f>
        <v>#REF!</v>
      </c>
      <c r="W120" s="4" t="e">
        <f>#REF!</f>
        <v>#REF!</v>
      </c>
      <c r="X120" s="4" t="e">
        <f>#REF!</f>
        <v>#REF!</v>
      </c>
      <c r="Y120" s="4" t="e">
        <f>#REF!</f>
        <v>#REF!</v>
      </c>
      <c r="Z120" s="4" t="e">
        <f>#REF!</f>
        <v>#REF!</v>
      </c>
      <c r="AA120" s="4" t="e">
        <f>#REF!</f>
        <v>#REF!</v>
      </c>
      <c r="AB120" s="213" t="e">
        <f>#REF!</f>
        <v>#REF!</v>
      </c>
      <c r="AC120" s="3" t="e">
        <f>#REF!</f>
        <v>#REF!</v>
      </c>
    </row>
    <row r="121" spans="1:29" ht="40.200000000000003" customHeight="1">
      <c r="A121" s="3">
        <f t="shared" si="8"/>
        <v>105</v>
      </c>
      <c r="B121" s="3" t="e">
        <f>#REF!</f>
        <v>#REF!</v>
      </c>
      <c r="C121" s="213" t="e">
        <f>#REF!</f>
        <v>#REF!</v>
      </c>
      <c r="D121" s="4" t="e">
        <f>#REF!</f>
        <v>#REF!</v>
      </c>
      <c r="E121" s="4" t="e">
        <f>#REF!</f>
        <v>#REF!</v>
      </c>
      <c r="F121" s="4" t="e">
        <f>#REF!</f>
        <v>#REF!</v>
      </c>
      <c r="G121" s="4" t="e">
        <f>#REF!</f>
        <v>#REF!</v>
      </c>
      <c r="H121" s="4" t="e">
        <f>#REF!</f>
        <v>#REF!</v>
      </c>
      <c r="I121" s="4" t="e">
        <f>#REF!</f>
        <v>#REF!</v>
      </c>
      <c r="J121" s="4" t="e">
        <f>#REF!</f>
        <v>#REF!</v>
      </c>
      <c r="K121" s="4" t="e">
        <f>#REF!</f>
        <v>#REF!</v>
      </c>
      <c r="L121" s="4" t="e">
        <f>#REF!</f>
        <v>#REF!</v>
      </c>
      <c r="M121" s="4" t="e">
        <f>#REF!</f>
        <v>#REF!</v>
      </c>
      <c r="N121" s="4" t="e">
        <f>#REF!</f>
        <v>#REF!</v>
      </c>
      <c r="O121" s="4" t="e">
        <f>#REF!</f>
        <v>#REF!</v>
      </c>
      <c r="P121" s="4" t="e">
        <f>#REF!</f>
        <v>#REF!</v>
      </c>
      <c r="Q121" s="4" t="e">
        <f>#REF!</f>
        <v>#REF!</v>
      </c>
      <c r="R121" s="4" t="e">
        <f>#REF!</f>
        <v>#REF!</v>
      </c>
      <c r="S121" s="4" t="e">
        <f>#REF!</f>
        <v>#REF!</v>
      </c>
      <c r="T121" s="4" t="e">
        <f>#REF!</f>
        <v>#REF!</v>
      </c>
      <c r="U121" s="4" t="e">
        <f>#REF!</f>
        <v>#REF!</v>
      </c>
      <c r="V121" s="4" t="e">
        <f>#REF!</f>
        <v>#REF!</v>
      </c>
      <c r="W121" s="4" t="e">
        <f>#REF!</f>
        <v>#REF!</v>
      </c>
      <c r="X121" s="4" t="e">
        <f>#REF!</f>
        <v>#REF!</v>
      </c>
      <c r="Y121" s="4" t="e">
        <f>#REF!</f>
        <v>#REF!</v>
      </c>
      <c r="Z121" s="4" t="e">
        <f>#REF!</f>
        <v>#REF!</v>
      </c>
      <c r="AA121" s="4" t="e">
        <f>#REF!</f>
        <v>#REF!</v>
      </c>
      <c r="AB121" s="213" t="e">
        <f>#REF!</f>
        <v>#REF!</v>
      </c>
      <c r="AC121" s="3" t="e">
        <f>#REF!</f>
        <v>#REF!</v>
      </c>
    </row>
    <row r="122" spans="1:29" s="409" customFormat="1" ht="40.200000000000003" customHeight="1">
      <c r="A122" s="7"/>
      <c r="B122" s="7"/>
      <c r="C122" s="13" t="s">
        <v>534</v>
      </c>
      <c r="D122" s="8" t="e">
        <f>SUM(D115:D121)</f>
        <v>#REF!</v>
      </c>
      <c r="E122" s="8" t="e">
        <f t="shared" ref="E122:AA122" si="14">SUM(E115:E121)</f>
        <v>#REF!</v>
      </c>
      <c r="F122" s="8" t="e">
        <f t="shared" si="14"/>
        <v>#REF!</v>
      </c>
      <c r="G122" s="8" t="e">
        <f t="shared" si="14"/>
        <v>#REF!</v>
      </c>
      <c r="H122" s="8" t="e">
        <f t="shared" si="14"/>
        <v>#REF!</v>
      </c>
      <c r="I122" s="8" t="e">
        <f t="shared" si="14"/>
        <v>#REF!</v>
      </c>
      <c r="J122" s="8" t="e">
        <f t="shared" si="14"/>
        <v>#REF!</v>
      </c>
      <c r="K122" s="8" t="e">
        <f t="shared" si="14"/>
        <v>#REF!</v>
      </c>
      <c r="L122" s="8" t="e">
        <f t="shared" si="14"/>
        <v>#REF!</v>
      </c>
      <c r="M122" s="8" t="e">
        <f t="shared" si="14"/>
        <v>#REF!</v>
      </c>
      <c r="N122" s="8" t="e">
        <f t="shared" si="14"/>
        <v>#REF!</v>
      </c>
      <c r="O122" s="8" t="e">
        <f t="shared" si="14"/>
        <v>#REF!</v>
      </c>
      <c r="P122" s="8" t="e">
        <f t="shared" si="14"/>
        <v>#REF!</v>
      </c>
      <c r="Q122" s="8" t="e">
        <f t="shared" si="14"/>
        <v>#REF!</v>
      </c>
      <c r="R122" s="8" t="e">
        <f t="shared" si="14"/>
        <v>#REF!</v>
      </c>
      <c r="S122" s="8" t="e">
        <f t="shared" si="14"/>
        <v>#REF!</v>
      </c>
      <c r="T122" s="8" t="e">
        <f t="shared" si="14"/>
        <v>#REF!</v>
      </c>
      <c r="U122" s="8" t="e">
        <f t="shared" si="14"/>
        <v>#REF!</v>
      </c>
      <c r="V122" s="8" t="e">
        <f t="shared" si="14"/>
        <v>#REF!</v>
      </c>
      <c r="W122" s="8" t="e">
        <f t="shared" si="14"/>
        <v>#REF!</v>
      </c>
      <c r="X122" s="8" t="e">
        <f t="shared" si="14"/>
        <v>#REF!</v>
      </c>
      <c r="Y122" s="8" t="e">
        <f t="shared" si="14"/>
        <v>#REF!</v>
      </c>
      <c r="Z122" s="8" t="e">
        <f t="shared" si="14"/>
        <v>#REF!</v>
      </c>
      <c r="AA122" s="8" t="e">
        <f t="shared" si="14"/>
        <v>#REF!</v>
      </c>
      <c r="AB122" s="13"/>
      <c r="AC122" s="7"/>
    </row>
    <row r="123" spans="1:29" ht="40.200000000000003" customHeight="1">
      <c r="A123" s="20">
        <f>A121</f>
        <v>105</v>
      </c>
      <c r="B123" s="20"/>
      <c r="C123" s="20" t="s">
        <v>668</v>
      </c>
      <c r="D123" s="50" t="e">
        <f t="shared" ref="D123:AA123" si="15">D122+D114+D108+D105+D101+D91+D61+D59+D57+D37+D16+D14+D6</f>
        <v>#REF!</v>
      </c>
      <c r="E123" s="50" t="e">
        <f t="shared" si="15"/>
        <v>#REF!</v>
      </c>
      <c r="F123" s="50" t="e">
        <f t="shared" si="15"/>
        <v>#REF!</v>
      </c>
      <c r="G123" s="50" t="e">
        <f t="shared" si="15"/>
        <v>#REF!</v>
      </c>
      <c r="H123" s="50" t="e">
        <f t="shared" si="15"/>
        <v>#REF!</v>
      </c>
      <c r="I123" s="50" t="e">
        <f t="shared" si="15"/>
        <v>#REF!</v>
      </c>
      <c r="J123" s="50" t="e">
        <f t="shared" si="15"/>
        <v>#REF!</v>
      </c>
      <c r="K123" s="50" t="e">
        <f t="shared" si="15"/>
        <v>#REF!</v>
      </c>
      <c r="L123" s="50" t="e">
        <f t="shared" si="15"/>
        <v>#REF!</v>
      </c>
      <c r="M123" s="50" t="e">
        <f t="shared" si="15"/>
        <v>#REF!</v>
      </c>
      <c r="N123" s="50" t="e">
        <f t="shared" si="15"/>
        <v>#REF!</v>
      </c>
      <c r="O123" s="50" t="e">
        <f t="shared" si="15"/>
        <v>#REF!</v>
      </c>
      <c r="P123" s="50" t="e">
        <f t="shared" si="15"/>
        <v>#REF!</v>
      </c>
      <c r="Q123" s="50" t="e">
        <f t="shared" si="15"/>
        <v>#REF!</v>
      </c>
      <c r="R123" s="50" t="e">
        <f t="shared" si="15"/>
        <v>#REF!</v>
      </c>
      <c r="S123" s="50" t="e">
        <f t="shared" si="15"/>
        <v>#REF!</v>
      </c>
      <c r="T123" s="50" t="e">
        <f t="shared" si="15"/>
        <v>#REF!</v>
      </c>
      <c r="U123" s="50" t="e">
        <f t="shared" si="15"/>
        <v>#REF!</v>
      </c>
      <c r="V123" s="50" t="e">
        <f t="shared" si="15"/>
        <v>#REF!</v>
      </c>
      <c r="W123" s="50" t="e">
        <f t="shared" si="15"/>
        <v>#REF!</v>
      </c>
      <c r="X123" s="50" t="e">
        <f t="shared" si="15"/>
        <v>#REF!</v>
      </c>
      <c r="Y123" s="50" t="e">
        <f t="shared" si="15"/>
        <v>#REF!</v>
      </c>
      <c r="Z123" s="50" t="e">
        <f t="shared" si="15"/>
        <v>#REF!</v>
      </c>
      <c r="AA123" s="50" t="e">
        <f t="shared" si="15"/>
        <v>#REF!</v>
      </c>
      <c r="AB123" s="20"/>
      <c r="AC123" s="20"/>
    </row>
    <row r="124" spans="1:29" ht="25.2" customHeight="1">
      <c r="A124" s="48"/>
      <c r="B124" s="48"/>
      <c r="C124" s="48"/>
      <c r="D124" s="360"/>
      <c r="E124" s="360"/>
      <c r="F124" s="360"/>
      <c r="G124" s="360"/>
      <c r="H124" s="360"/>
      <c r="I124" s="360"/>
      <c r="J124" s="360"/>
      <c r="K124" s="360"/>
      <c r="L124" s="360" t="e">
        <f>H123+K123</f>
        <v>#REF!</v>
      </c>
      <c r="M124" s="360"/>
      <c r="N124" s="360"/>
      <c r="O124" s="360"/>
      <c r="P124" s="360" t="e">
        <f>G123-L123</f>
        <v>#REF!</v>
      </c>
      <c r="Q124" s="360"/>
      <c r="R124" s="360"/>
      <c r="S124" s="360"/>
      <c r="T124" s="360" t="e">
        <f>P124+S123-M123</f>
        <v>#REF!</v>
      </c>
      <c r="U124" s="360"/>
      <c r="V124" s="360"/>
      <c r="W124" s="360"/>
      <c r="X124" s="360"/>
      <c r="Y124" s="360"/>
      <c r="Z124" s="360"/>
      <c r="AA124" s="360"/>
      <c r="AB124" s="48"/>
      <c r="AC124" s="48"/>
    </row>
    <row r="125" spans="1:29" ht="13.95" customHeight="1">
      <c r="A125" s="386"/>
      <c r="B125" s="361"/>
      <c r="C125" s="361"/>
      <c r="D125" s="10"/>
      <c r="N125" s="340"/>
      <c r="O125" s="358"/>
      <c r="Q125" s="358"/>
    </row>
  </sheetData>
  <sortState ref="A5:AG120">
    <sortCondition ref="AC5:AC120"/>
  </sortState>
  <conditionalFormatting sqref="AB4">
    <cfRule type="cellIs" dxfId="41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35"/>
  <sheetViews>
    <sheetView showZeros="0" rightToLeft="1" zoomScaleNormal="100" workbookViewId="0">
      <pane xSplit="4" ySplit="4" topLeftCell="E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477" customWidth="1"/>
    <col min="2" max="2" width="5.6640625" style="477" customWidth="1"/>
    <col min="3" max="3" width="17.109375" style="477" customWidth="1"/>
    <col min="4" max="4" width="10.109375" style="477" customWidth="1"/>
    <col min="5" max="5" width="11.88671875" style="477" hidden="1" customWidth="1"/>
    <col min="6" max="6" width="11" style="477" hidden="1" customWidth="1"/>
    <col min="7" max="8" width="11.109375" style="477" hidden="1" customWidth="1"/>
    <col min="9" max="10" width="10.109375" style="477" hidden="1" customWidth="1"/>
    <col min="11" max="11" width="10.44140625" style="477" hidden="1" customWidth="1"/>
    <col min="12" max="12" width="10" style="477" customWidth="1"/>
    <col min="13" max="13" width="9.44140625" style="477" customWidth="1"/>
    <col min="14" max="14" width="10.33203125" style="477" customWidth="1"/>
    <col min="15" max="15" width="10.44140625" style="477" customWidth="1"/>
    <col min="16" max="16" width="10.109375" style="477" hidden="1" customWidth="1"/>
    <col min="17" max="17" width="9.88671875" style="477" hidden="1" customWidth="1"/>
    <col min="18" max="18" width="8.88671875" style="477" hidden="1" customWidth="1"/>
    <col min="19" max="19" width="10.6640625" style="477" hidden="1" customWidth="1"/>
    <col min="20" max="20" width="9" style="477" customWidth="1"/>
    <col min="21" max="21" width="9.109375" style="477" customWidth="1"/>
    <col min="22" max="22" width="8.88671875" style="477" customWidth="1"/>
    <col min="23" max="23" width="12.5546875" style="477" customWidth="1"/>
    <col min="24" max="24" width="6.33203125" style="477" hidden="1" customWidth="1"/>
    <col min="25" max="25" width="9.109375" style="477" customWidth="1"/>
    <col min="26" max="26" width="9.5546875" style="477" hidden="1" customWidth="1"/>
    <col min="27" max="27" width="9.6640625" style="477" customWidth="1"/>
    <col min="28" max="28" width="30.33203125" style="157" customWidth="1"/>
    <col min="29" max="29" width="6.88671875" style="157" hidden="1" customWidth="1"/>
    <col min="30" max="30" width="31.33203125" style="756" customWidth="1"/>
    <col min="31" max="31" width="28.6640625" style="756" customWidth="1"/>
    <col min="32" max="32" width="14.6640625" style="756" customWidth="1"/>
    <col min="33" max="33" width="31.33203125" style="756" customWidth="1"/>
    <col min="34" max="34" width="6.44140625" style="756" customWidth="1"/>
    <col min="35" max="35" width="14.6640625" style="756" customWidth="1"/>
    <col min="36" max="36" width="19.44140625" style="756" customWidth="1"/>
    <col min="37" max="37" width="26.33203125" style="756" customWidth="1"/>
    <col min="38" max="39" width="9.44140625" style="756" customWidth="1"/>
    <col min="40" max="40" width="13" style="756" customWidth="1"/>
    <col min="41" max="41" width="26.44140625" style="756" customWidth="1"/>
    <col min="42" max="42" width="10.33203125" style="756" customWidth="1"/>
    <col min="43" max="43" width="32.88671875" customWidth="1"/>
    <col min="44" max="49" width="10.6640625" customWidth="1"/>
    <col min="50" max="50" width="11.33203125" customWidth="1"/>
    <col min="51" max="51" width="22.44140625" customWidth="1"/>
    <col min="52" max="52" width="12.44140625" customWidth="1"/>
    <col min="53" max="53" width="14.88671875" customWidth="1"/>
  </cols>
  <sheetData>
    <row r="1" spans="1:29">
      <c r="A1" s="475"/>
      <c r="B1" s="476"/>
      <c r="C1" s="476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4"/>
    </row>
    <row r="2" spans="1:29" ht="18">
      <c r="A2" s="433" t="s">
        <v>598</v>
      </c>
      <c r="B2" s="433"/>
      <c r="C2" s="476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4"/>
    </row>
    <row r="3" spans="1:29" ht="21">
      <c r="B3" s="478"/>
      <c r="C3" s="478"/>
      <c r="D3" s="423"/>
      <c r="E3" s="423"/>
      <c r="F3" s="423"/>
      <c r="G3" s="423"/>
      <c r="H3" s="423"/>
      <c r="I3" s="423"/>
      <c r="J3" s="423"/>
      <c r="K3" s="423"/>
      <c r="L3" s="423"/>
      <c r="M3" s="479"/>
      <c r="N3" s="423"/>
      <c r="O3" s="423"/>
      <c r="P3" s="423"/>
      <c r="Q3" s="423"/>
      <c r="R3" s="423"/>
      <c r="S3" s="423"/>
      <c r="T3" s="423"/>
      <c r="U3" s="424"/>
      <c r="AB3" s="440"/>
      <c r="AC3" s="424"/>
    </row>
    <row r="4" spans="1:29" ht="82.8">
      <c r="A4" s="480" t="s">
        <v>0</v>
      </c>
      <c r="B4" s="480" t="s">
        <v>1</v>
      </c>
      <c r="C4" s="480" t="s">
        <v>2</v>
      </c>
      <c r="D4" s="480" t="s">
        <v>3</v>
      </c>
      <c r="E4" s="480" t="s">
        <v>4</v>
      </c>
      <c r="F4" s="480" t="s">
        <v>5</v>
      </c>
      <c r="G4" s="480" t="s">
        <v>6</v>
      </c>
      <c r="H4" s="480" t="s">
        <v>7</v>
      </c>
      <c r="I4" s="480" t="s">
        <v>9</v>
      </c>
      <c r="J4" s="480" t="s">
        <v>125</v>
      </c>
      <c r="K4" s="480" t="s">
        <v>10</v>
      </c>
      <c r="L4" s="480" t="s">
        <v>11</v>
      </c>
      <c r="M4" s="480" t="s">
        <v>917</v>
      </c>
      <c r="N4" s="480" t="s">
        <v>918</v>
      </c>
      <c r="O4" s="421" t="s">
        <v>919</v>
      </c>
      <c r="P4" s="481" t="s">
        <v>12</v>
      </c>
      <c r="Q4" s="480" t="s">
        <v>920</v>
      </c>
      <c r="R4" s="480" t="s">
        <v>921</v>
      </c>
      <c r="S4" s="421" t="s">
        <v>922</v>
      </c>
      <c r="T4" s="421" t="s">
        <v>923</v>
      </c>
      <c r="U4" s="421" t="s">
        <v>924</v>
      </c>
      <c r="V4" s="480" t="s">
        <v>13</v>
      </c>
      <c r="W4" s="480" t="s">
        <v>14</v>
      </c>
      <c r="X4" s="480" t="s">
        <v>15</v>
      </c>
      <c r="Y4" s="480" t="s">
        <v>214</v>
      </c>
      <c r="Z4" s="480" t="s">
        <v>502</v>
      </c>
      <c r="AA4" s="480" t="s">
        <v>75</v>
      </c>
      <c r="AB4" s="447" t="s">
        <v>242</v>
      </c>
      <c r="AC4" s="133" t="s">
        <v>16</v>
      </c>
    </row>
    <row r="5" spans="1:29" ht="45" customHeight="1">
      <c r="A5" s="448">
        <v>1</v>
      </c>
      <c r="B5" s="448">
        <v>1210</v>
      </c>
      <c r="C5" s="448" t="s">
        <v>57</v>
      </c>
      <c r="D5" s="449">
        <f>118550000+12000000</f>
        <v>130550000</v>
      </c>
      <c r="E5" s="449">
        <v>118550000</v>
      </c>
      <c r="F5" s="449">
        <f t="shared" ref="F5:F70" si="0">D5-E5</f>
        <v>12000000</v>
      </c>
      <c r="G5" s="449">
        <v>116200000</v>
      </c>
      <c r="H5" s="449">
        <v>111415805</v>
      </c>
      <c r="I5" s="449">
        <v>0</v>
      </c>
      <c r="J5" s="449"/>
      <c r="K5" s="449">
        <f t="shared" ref="K5:K70" si="1">I5+J5</f>
        <v>0</v>
      </c>
      <c r="L5" s="449">
        <f t="shared" ref="L5:L70" si="2">H5+K5</f>
        <v>111415805</v>
      </c>
      <c r="M5" s="449">
        <f>P5+S5-4780000</f>
        <v>4195</v>
      </c>
      <c r="N5" s="449">
        <f>12000000+4780000</f>
        <v>16780000</v>
      </c>
      <c r="O5" s="449">
        <f t="shared" ref="O5:O70" si="3">D5-L5-M5-N5</f>
        <v>2350000</v>
      </c>
      <c r="P5" s="449">
        <f t="shared" ref="P5:P70" si="4">G5-L5</f>
        <v>4784195</v>
      </c>
      <c r="Q5" s="482"/>
      <c r="R5" s="449"/>
      <c r="S5" s="449">
        <f>SUM(Q5:R5)</f>
        <v>0</v>
      </c>
      <c r="T5" s="449">
        <f t="shared" ref="T5:T70" si="5">P5-M5+S5</f>
        <v>4780000</v>
      </c>
      <c r="U5" s="449">
        <f t="shared" ref="U5:U70" si="6">N5-T5</f>
        <v>12000000</v>
      </c>
      <c r="V5" s="449"/>
      <c r="W5" s="449"/>
      <c r="X5" s="449"/>
      <c r="Y5" s="449"/>
      <c r="Z5" s="449"/>
      <c r="AA5" s="449">
        <f>U5</f>
        <v>12000000</v>
      </c>
      <c r="AB5" s="448" t="s">
        <v>414</v>
      </c>
      <c r="AC5" s="448">
        <v>764000</v>
      </c>
    </row>
    <row r="6" spans="1:29" ht="45" customHeight="1">
      <c r="A6" s="448">
        <f t="shared" ref="A6:A69" si="7">A5+1</f>
        <v>2</v>
      </c>
      <c r="B6" s="448">
        <v>1247</v>
      </c>
      <c r="C6" s="448" t="s">
        <v>43</v>
      </c>
      <c r="D6" s="449">
        <f>9750000+300000</f>
        <v>10050000</v>
      </c>
      <c r="E6" s="449">
        <v>9750000</v>
      </c>
      <c r="F6" s="449">
        <f t="shared" si="0"/>
        <v>300000</v>
      </c>
      <c r="G6" s="449">
        <v>9750000</v>
      </c>
      <c r="H6" s="449">
        <v>9382566</v>
      </c>
      <c r="I6" s="449">
        <v>0</v>
      </c>
      <c r="J6" s="449">
        <f>296384+70902</f>
        <v>367286</v>
      </c>
      <c r="K6" s="449">
        <f t="shared" si="1"/>
        <v>367286</v>
      </c>
      <c r="L6" s="449">
        <f t="shared" si="2"/>
        <v>9749852</v>
      </c>
      <c r="M6" s="449">
        <f>P6+S6</f>
        <v>148</v>
      </c>
      <c r="N6" s="449">
        <v>300000</v>
      </c>
      <c r="O6" s="449">
        <f t="shared" si="3"/>
        <v>0</v>
      </c>
      <c r="P6" s="449">
        <f t="shared" si="4"/>
        <v>148</v>
      </c>
      <c r="Q6" s="482"/>
      <c r="R6" s="449"/>
      <c r="S6" s="449">
        <f>SUM(Q6:R6)</f>
        <v>0</v>
      </c>
      <c r="T6" s="449">
        <f t="shared" si="5"/>
        <v>0</v>
      </c>
      <c r="U6" s="449">
        <f t="shared" si="6"/>
        <v>300000</v>
      </c>
      <c r="V6" s="449"/>
      <c r="W6" s="449">
        <f>U6-AA6-V6-Y6</f>
        <v>300000</v>
      </c>
      <c r="X6" s="449"/>
      <c r="Y6" s="449"/>
      <c r="Z6" s="449"/>
      <c r="AA6" s="448"/>
      <c r="AB6" s="448" t="s">
        <v>599</v>
      </c>
      <c r="AC6" s="448">
        <v>732000</v>
      </c>
    </row>
    <row r="7" spans="1:29" ht="45" customHeight="1">
      <c r="A7" s="448">
        <f t="shared" si="7"/>
        <v>3</v>
      </c>
      <c r="B7" s="448">
        <v>1253</v>
      </c>
      <c r="C7" s="448" t="s">
        <v>44</v>
      </c>
      <c r="D7" s="449">
        <f>6100000+500000</f>
        <v>6600000</v>
      </c>
      <c r="E7" s="449">
        <v>6100000</v>
      </c>
      <c r="F7" s="449">
        <f t="shared" si="0"/>
        <v>500000</v>
      </c>
      <c r="G7" s="449">
        <v>6100000</v>
      </c>
      <c r="H7" s="449">
        <v>5666747</v>
      </c>
      <c r="I7" s="449">
        <v>0</v>
      </c>
      <c r="J7" s="449">
        <v>412935</v>
      </c>
      <c r="K7" s="449">
        <f t="shared" si="1"/>
        <v>412935</v>
      </c>
      <c r="L7" s="449">
        <f t="shared" si="2"/>
        <v>6079682</v>
      </c>
      <c r="M7" s="449">
        <f>P7+S7-20000</f>
        <v>318</v>
      </c>
      <c r="N7" s="449">
        <f>500000+20000</f>
        <v>520000</v>
      </c>
      <c r="O7" s="449">
        <f t="shared" si="3"/>
        <v>0</v>
      </c>
      <c r="P7" s="449">
        <f t="shared" si="4"/>
        <v>20318</v>
      </c>
      <c r="Q7" s="482"/>
      <c r="R7" s="449"/>
      <c r="S7" s="449">
        <f t="shared" ref="S7:S69" si="8">SUM(Q7:R7)</f>
        <v>0</v>
      </c>
      <c r="T7" s="449">
        <f t="shared" si="5"/>
        <v>20000</v>
      </c>
      <c r="U7" s="449">
        <f t="shared" si="6"/>
        <v>500000</v>
      </c>
      <c r="V7" s="449"/>
      <c r="W7" s="449">
        <f t="shared" ref="W7:W10" si="9">U7-AA7-V7-Y7</f>
        <v>500000</v>
      </c>
      <c r="X7" s="449"/>
      <c r="Y7" s="449"/>
      <c r="Z7" s="449"/>
      <c r="AA7" s="448"/>
      <c r="AB7" s="448" t="s">
        <v>890</v>
      </c>
      <c r="AC7" s="448">
        <v>850000</v>
      </c>
    </row>
    <row r="8" spans="1:29" ht="82.8">
      <c r="A8" s="448">
        <f t="shared" si="7"/>
        <v>4</v>
      </c>
      <c r="B8" s="448">
        <v>1254</v>
      </c>
      <c r="C8" s="448" t="s">
        <v>280</v>
      </c>
      <c r="D8" s="449">
        <f>53372866+8500000</f>
        <v>61872866</v>
      </c>
      <c r="E8" s="449">
        <v>53372866</v>
      </c>
      <c r="F8" s="449">
        <f t="shared" si="0"/>
        <v>8500000</v>
      </c>
      <c r="G8" s="449">
        <v>51372866</v>
      </c>
      <c r="H8" s="449">
        <v>50975610</v>
      </c>
      <c r="I8" s="449">
        <v>0</v>
      </c>
      <c r="J8" s="449">
        <f>358105-100706-93600+3837</f>
        <v>167636</v>
      </c>
      <c r="K8" s="449">
        <f t="shared" si="1"/>
        <v>167636</v>
      </c>
      <c r="L8" s="449">
        <f t="shared" si="2"/>
        <v>51143246</v>
      </c>
      <c r="M8" s="449">
        <f>P8+S8-225000</f>
        <v>4620</v>
      </c>
      <c r="N8" s="449">
        <f>6500000-3500000-1000000+225000</f>
        <v>2225000</v>
      </c>
      <c r="O8" s="449">
        <f t="shared" si="3"/>
        <v>8500000</v>
      </c>
      <c r="P8" s="449">
        <f t="shared" si="4"/>
        <v>229620</v>
      </c>
      <c r="Q8" s="482"/>
      <c r="R8" s="449"/>
      <c r="S8" s="449">
        <f t="shared" si="8"/>
        <v>0</v>
      </c>
      <c r="T8" s="449">
        <f t="shared" si="5"/>
        <v>225000</v>
      </c>
      <c r="U8" s="449">
        <f t="shared" si="6"/>
        <v>2000000</v>
      </c>
      <c r="V8" s="449"/>
      <c r="W8" s="449">
        <f t="shared" si="9"/>
        <v>2000000</v>
      </c>
      <c r="X8" s="449"/>
      <c r="Y8" s="449"/>
      <c r="Z8" s="449"/>
      <c r="AA8" s="448"/>
      <c r="AB8" s="448" t="s">
        <v>808</v>
      </c>
      <c r="AC8" s="448">
        <v>746000</v>
      </c>
    </row>
    <row r="9" spans="1:29" ht="41.4">
      <c r="A9" s="448">
        <f t="shared" si="7"/>
        <v>5</v>
      </c>
      <c r="B9" s="448">
        <v>1342</v>
      </c>
      <c r="C9" s="448" t="s">
        <v>64</v>
      </c>
      <c r="D9" s="449">
        <f>4700000+1500000</f>
        <v>6200000</v>
      </c>
      <c r="E9" s="449">
        <v>4700000</v>
      </c>
      <c r="F9" s="449">
        <f t="shared" si="0"/>
        <v>1500000</v>
      </c>
      <c r="G9" s="449">
        <v>3940000</v>
      </c>
      <c r="H9" s="449">
        <v>3014312</v>
      </c>
      <c r="I9" s="449">
        <v>0</v>
      </c>
      <c r="J9" s="449">
        <v>918785</v>
      </c>
      <c r="K9" s="449">
        <f t="shared" si="1"/>
        <v>918785</v>
      </c>
      <c r="L9" s="449">
        <f t="shared" si="2"/>
        <v>3933097</v>
      </c>
      <c r="M9" s="449">
        <f t="shared" ref="M9:M70" si="10">P9+S9</f>
        <v>6903</v>
      </c>
      <c r="N9" s="449">
        <f>1500000-750000-250000</f>
        <v>500000</v>
      </c>
      <c r="O9" s="449">
        <f t="shared" si="3"/>
        <v>1760000</v>
      </c>
      <c r="P9" s="449">
        <f t="shared" si="4"/>
        <v>6903</v>
      </c>
      <c r="Q9" s="482"/>
      <c r="R9" s="449"/>
      <c r="S9" s="449">
        <f t="shared" si="8"/>
        <v>0</v>
      </c>
      <c r="T9" s="449">
        <f t="shared" si="5"/>
        <v>0</v>
      </c>
      <c r="U9" s="449">
        <f t="shared" si="6"/>
        <v>500000</v>
      </c>
      <c r="V9" s="449">
        <v>500000</v>
      </c>
      <c r="W9" s="449">
        <f>U9-AA9-V9-Y9</f>
        <v>0</v>
      </c>
      <c r="X9" s="449"/>
      <c r="Y9" s="449"/>
      <c r="Z9" s="449"/>
      <c r="AA9" s="448"/>
      <c r="AB9" s="448" t="s">
        <v>763</v>
      </c>
      <c r="AC9" s="448">
        <v>746000</v>
      </c>
    </row>
    <row r="10" spans="1:29" ht="55.2">
      <c r="A10" s="448">
        <f t="shared" si="7"/>
        <v>6</v>
      </c>
      <c r="B10" s="448">
        <v>1343</v>
      </c>
      <c r="C10" s="448" t="s">
        <v>65</v>
      </c>
      <c r="D10" s="449">
        <f>7570000+1000000</f>
        <v>8570000</v>
      </c>
      <c r="E10" s="449">
        <v>7570000</v>
      </c>
      <c r="F10" s="449">
        <f t="shared" si="0"/>
        <v>1000000</v>
      </c>
      <c r="G10" s="449">
        <v>7570000</v>
      </c>
      <c r="H10" s="449">
        <v>7193339</v>
      </c>
      <c r="I10" s="449">
        <v>0</v>
      </c>
      <c r="J10" s="449">
        <f>376660-94517-128900</f>
        <v>153243</v>
      </c>
      <c r="K10" s="449">
        <f t="shared" si="1"/>
        <v>153243</v>
      </c>
      <c r="L10" s="449">
        <f t="shared" si="2"/>
        <v>7346582</v>
      </c>
      <c r="M10" s="449">
        <f>P10+S10-200000-20000</f>
        <v>3418</v>
      </c>
      <c r="N10" s="449">
        <f>750000+200000-150000+20000</f>
        <v>820000</v>
      </c>
      <c r="O10" s="449">
        <f t="shared" si="3"/>
        <v>400000</v>
      </c>
      <c r="P10" s="449">
        <f t="shared" si="4"/>
        <v>223418</v>
      </c>
      <c r="Q10" s="482"/>
      <c r="R10" s="449"/>
      <c r="S10" s="449">
        <f t="shared" si="8"/>
        <v>0</v>
      </c>
      <c r="T10" s="449">
        <f t="shared" si="5"/>
        <v>220000</v>
      </c>
      <c r="U10" s="449">
        <f t="shared" si="6"/>
        <v>600000</v>
      </c>
      <c r="V10" s="449"/>
      <c r="W10" s="449">
        <f t="shared" si="9"/>
        <v>600000</v>
      </c>
      <c r="X10" s="449"/>
      <c r="Y10" s="449"/>
      <c r="Z10" s="449"/>
      <c r="AA10" s="448"/>
      <c r="AB10" s="448" t="s">
        <v>455</v>
      </c>
      <c r="AC10" s="448">
        <v>746000</v>
      </c>
    </row>
    <row r="11" spans="1:29" ht="45" customHeight="1">
      <c r="A11" s="448">
        <f t="shared" si="7"/>
        <v>7</v>
      </c>
      <c r="B11" s="448">
        <v>1416</v>
      </c>
      <c r="C11" s="448" t="s">
        <v>93</v>
      </c>
      <c r="D11" s="449">
        <f>4600000+600000-200000+470000</f>
        <v>5470000</v>
      </c>
      <c r="E11" s="449">
        <f>4000000+470000</f>
        <v>4470000</v>
      </c>
      <c r="F11" s="449">
        <f t="shared" si="0"/>
        <v>1000000</v>
      </c>
      <c r="G11" s="449">
        <v>4000000</v>
      </c>
      <c r="H11" s="449">
        <v>4000429</v>
      </c>
      <c r="I11" s="449">
        <v>0</v>
      </c>
      <c r="J11" s="449"/>
      <c r="K11" s="449">
        <f t="shared" si="1"/>
        <v>0</v>
      </c>
      <c r="L11" s="449">
        <f t="shared" si="2"/>
        <v>4000429</v>
      </c>
      <c r="M11" s="449">
        <f>P11+S11-450000-15000</f>
        <v>4571</v>
      </c>
      <c r="N11" s="449">
        <f>1000000+450000-1000000+15000+235000+200000</f>
        <v>900000</v>
      </c>
      <c r="O11" s="449">
        <f t="shared" si="3"/>
        <v>565000</v>
      </c>
      <c r="P11" s="449">
        <f t="shared" si="4"/>
        <v>-429</v>
      </c>
      <c r="Q11" s="482"/>
      <c r="R11" s="449">
        <v>470000</v>
      </c>
      <c r="S11" s="449">
        <f t="shared" si="8"/>
        <v>470000</v>
      </c>
      <c r="T11" s="449">
        <f t="shared" si="5"/>
        <v>465000</v>
      </c>
      <c r="U11" s="449">
        <f t="shared" si="6"/>
        <v>435000</v>
      </c>
      <c r="V11" s="449"/>
      <c r="W11" s="449">
        <f>U11-AA11-V11-Y11</f>
        <v>435000</v>
      </c>
      <c r="X11" s="449"/>
      <c r="Y11" s="449"/>
      <c r="Z11" s="449"/>
      <c r="AA11" s="448"/>
      <c r="AB11" s="448" t="s">
        <v>891</v>
      </c>
      <c r="AC11" s="448">
        <v>930000</v>
      </c>
    </row>
    <row r="12" spans="1:29" ht="69">
      <c r="A12" s="448">
        <f t="shared" si="7"/>
        <v>8</v>
      </c>
      <c r="B12" s="448">
        <v>1435</v>
      </c>
      <c r="C12" s="455" t="s">
        <v>394</v>
      </c>
      <c r="D12" s="449">
        <f>42000000+3000000</f>
        <v>45000000</v>
      </c>
      <c r="E12" s="449">
        <v>42000000</v>
      </c>
      <c r="F12" s="449">
        <f t="shared" si="0"/>
        <v>3000000</v>
      </c>
      <c r="G12" s="449">
        <v>38074320</v>
      </c>
      <c r="H12" s="449">
        <v>37408587</v>
      </c>
      <c r="I12" s="449">
        <v>0</v>
      </c>
      <c r="J12" s="449">
        <f>781647-14052-20114</f>
        <v>747481</v>
      </c>
      <c r="K12" s="449">
        <f t="shared" si="1"/>
        <v>747481</v>
      </c>
      <c r="L12" s="449">
        <f t="shared" si="2"/>
        <v>38156068</v>
      </c>
      <c r="M12" s="449">
        <f>P12+S12-100000-115000</f>
        <v>3252</v>
      </c>
      <c r="N12" s="449">
        <f>3000000-400000-600000+115000</f>
        <v>2115000</v>
      </c>
      <c r="O12" s="449">
        <f t="shared" si="3"/>
        <v>4725680</v>
      </c>
      <c r="P12" s="449">
        <f t="shared" si="4"/>
        <v>-81748</v>
      </c>
      <c r="Q12" s="482">
        <v>300000</v>
      </c>
      <c r="R12" s="449"/>
      <c r="S12" s="449">
        <f t="shared" si="8"/>
        <v>300000</v>
      </c>
      <c r="T12" s="449">
        <f t="shared" si="5"/>
        <v>215000</v>
      </c>
      <c r="U12" s="449">
        <f t="shared" si="6"/>
        <v>1900000</v>
      </c>
      <c r="V12" s="449"/>
      <c r="W12" s="449">
        <f>U12-AA12-V12-Y12</f>
        <v>1900000</v>
      </c>
      <c r="X12" s="449"/>
      <c r="Y12" s="449"/>
      <c r="Z12" s="449"/>
      <c r="AA12" s="448"/>
      <c r="AB12" s="448" t="s">
        <v>1408</v>
      </c>
      <c r="AC12" s="448">
        <v>848500</v>
      </c>
    </row>
    <row r="13" spans="1:29" ht="45" customHeight="1">
      <c r="A13" s="448">
        <f t="shared" si="7"/>
        <v>9</v>
      </c>
      <c r="B13" s="448">
        <v>1477</v>
      </c>
      <c r="C13" s="448" t="s">
        <v>444</v>
      </c>
      <c r="D13" s="449">
        <v>9350000</v>
      </c>
      <c r="E13" s="449">
        <v>9350000</v>
      </c>
      <c r="F13" s="449">
        <f t="shared" si="0"/>
        <v>0</v>
      </c>
      <c r="G13" s="449">
        <v>8000000</v>
      </c>
      <c r="H13" s="449">
        <v>5543143</v>
      </c>
      <c r="I13" s="449"/>
      <c r="J13" s="449">
        <v>410309</v>
      </c>
      <c r="K13" s="449">
        <f t="shared" si="1"/>
        <v>410309</v>
      </c>
      <c r="L13" s="449">
        <f t="shared" si="2"/>
        <v>5953452</v>
      </c>
      <c r="M13" s="449">
        <f>P13+S13-2000000-45000</f>
        <v>1548</v>
      </c>
      <c r="N13" s="449"/>
      <c r="O13" s="449">
        <f t="shared" si="3"/>
        <v>3395000</v>
      </c>
      <c r="P13" s="449">
        <f t="shared" si="4"/>
        <v>2046548</v>
      </c>
      <c r="Q13" s="482"/>
      <c r="R13" s="449"/>
      <c r="S13" s="449">
        <f t="shared" si="8"/>
        <v>0</v>
      </c>
      <c r="T13" s="449">
        <f t="shared" si="5"/>
        <v>2045000</v>
      </c>
      <c r="U13" s="449">
        <f t="shared" si="6"/>
        <v>-2045000</v>
      </c>
      <c r="V13" s="449"/>
      <c r="W13" s="449">
        <f t="shared" ref="W13:W78" si="11">U13-AA13-V13-Y13</f>
        <v>-2045000</v>
      </c>
      <c r="X13" s="449"/>
      <c r="Y13" s="449"/>
      <c r="Z13" s="449"/>
      <c r="AA13" s="448"/>
      <c r="AB13" s="322" t="s">
        <v>840</v>
      </c>
      <c r="AC13" s="322">
        <v>810000</v>
      </c>
    </row>
    <row r="14" spans="1:29" ht="55.2">
      <c r="A14" s="448">
        <f t="shared" si="7"/>
        <v>10</v>
      </c>
      <c r="B14" s="448">
        <v>1489</v>
      </c>
      <c r="C14" s="448" t="s">
        <v>268</v>
      </c>
      <c r="D14" s="449">
        <f>68500000+11000000-13000000</f>
        <v>66500000</v>
      </c>
      <c r="E14" s="449">
        <v>68500000</v>
      </c>
      <c r="F14" s="449">
        <f t="shared" si="0"/>
        <v>-2000000</v>
      </c>
      <c r="G14" s="449">
        <v>66500000</v>
      </c>
      <c r="H14" s="449">
        <v>61784558</v>
      </c>
      <c r="I14" s="449">
        <v>0</v>
      </c>
      <c r="J14" s="449">
        <f>4379600-35097-3510-5850-3112-276508-27650-44460-24403-14865-40081-4008-3086-265968-26596-25740-22281-13572</f>
        <v>3542813</v>
      </c>
      <c r="K14" s="449">
        <f t="shared" si="1"/>
        <v>3542813</v>
      </c>
      <c r="L14" s="449">
        <f t="shared" si="2"/>
        <v>65327371</v>
      </c>
      <c r="M14" s="449">
        <f>P14+S14-280000-890000</f>
        <v>2629</v>
      </c>
      <c r="N14" s="449">
        <f>17000000-4000000-6000000-720000-1780000+500000-3830000</f>
        <v>1170000</v>
      </c>
      <c r="O14" s="449">
        <f t="shared" si="3"/>
        <v>0</v>
      </c>
      <c r="P14" s="449">
        <f t="shared" si="4"/>
        <v>1172629</v>
      </c>
      <c r="Q14" s="482"/>
      <c r="R14" s="449"/>
      <c r="S14" s="449">
        <f t="shared" si="8"/>
        <v>0</v>
      </c>
      <c r="T14" s="449">
        <f t="shared" si="5"/>
        <v>1170000</v>
      </c>
      <c r="U14" s="449">
        <f t="shared" si="6"/>
        <v>0</v>
      </c>
      <c r="V14" s="449"/>
      <c r="W14" s="449">
        <f t="shared" si="11"/>
        <v>0</v>
      </c>
      <c r="X14" s="449"/>
      <c r="Y14" s="449"/>
      <c r="Z14" s="449"/>
      <c r="AA14" s="448"/>
      <c r="AB14" s="448" t="s">
        <v>1515</v>
      </c>
      <c r="AC14" s="448">
        <v>742000</v>
      </c>
    </row>
    <row r="15" spans="1:29" ht="82.8">
      <c r="A15" s="448">
        <f t="shared" si="7"/>
        <v>11</v>
      </c>
      <c r="B15" s="448">
        <v>1504</v>
      </c>
      <c r="C15" s="448" t="s">
        <v>66</v>
      </c>
      <c r="D15" s="449">
        <v>2500000</v>
      </c>
      <c r="E15" s="449">
        <v>2500000</v>
      </c>
      <c r="F15" s="449">
        <f t="shared" si="0"/>
        <v>0</v>
      </c>
      <c r="G15" s="449">
        <v>1800000</v>
      </c>
      <c r="H15" s="449">
        <v>1793055</v>
      </c>
      <c r="I15" s="449">
        <v>0</v>
      </c>
      <c r="J15" s="449"/>
      <c r="K15" s="449">
        <f t="shared" si="1"/>
        <v>0</v>
      </c>
      <c r="L15" s="449">
        <f t="shared" si="2"/>
        <v>1793055</v>
      </c>
      <c r="M15" s="449">
        <f>P15+S15-100000-5000</f>
        <v>1945</v>
      </c>
      <c r="N15" s="449">
        <f>300000+5000</f>
        <v>305000</v>
      </c>
      <c r="O15" s="449">
        <f t="shared" si="3"/>
        <v>400000</v>
      </c>
      <c r="P15" s="449">
        <f t="shared" si="4"/>
        <v>6945</v>
      </c>
      <c r="Q15" s="482">
        <v>100000</v>
      </c>
      <c r="R15" s="449"/>
      <c r="S15" s="449">
        <f t="shared" si="8"/>
        <v>100000</v>
      </c>
      <c r="T15" s="449">
        <f t="shared" si="5"/>
        <v>105000</v>
      </c>
      <c r="U15" s="449">
        <f t="shared" si="6"/>
        <v>200000</v>
      </c>
      <c r="V15" s="449">
        <v>200000</v>
      </c>
      <c r="W15" s="449">
        <f t="shared" si="11"/>
        <v>0</v>
      </c>
      <c r="X15" s="449"/>
      <c r="Y15" s="449"/>
      <c r="Z15" s="449"/>
      <c r="AA15" s="448"/>
      <c r="AB15" s="448" t="s">
        <v>395</v>
      </c>
      <c r="AC15" s="448">
        <v>746000</v>
      </c>
    </row>
    <row r="16" spans="1:29" ht="69">
      <c r="A16" s="448">
        <f t="shared" si="7"/>
        <v>12</v>
      </c>
      <c r="B16" s="448">
        <v>1560</v>
      </c>
      <c r="C16" s="448" t="s">
        <v>45</v>
      </c>
      <c r="D16" s="449">
        <f>9060000+3725000</f>
        <v>12785000</v>
      </c>
      <c r="E16" s="449">
        <v>9060000</v>
      </c>
      <c r="F16" s="449">
        <f t="shared" si="0"/>
        <v>3725000</v>
      </c>
      <c r="G16" s="449">
        <v>9060000</v>
      </c>
      <c r="H16" s="449">
        <v>8852994</v>
      </c>
      <c r="I16" s="449">
        <v>0</v>
      </c>
      <c r="J16" s="449"/>
      <c r="K16" s="449">
        <f t="shared" si="1"/>
        <v>0</v>
      </c>
      <c r="L16" s="449">
        <f t="shared" si="2"/>
        <v>8852994</v>
      </c>
      <c r="M16" s="449">
        <f>P16+S16-200000</f>
        <v>7006</v>
      </c>
      <c r="N16" s="449">
        <f>2595000+1005000+125000-1975000-750000+200000</f>
        <v>1200000</v>
      </c>
      <c r="O16" s="449">
        <f t="shared" si="3"/>
        <v>2725000</v>
      </c>
      <c r="P16" s="449">
        <f t="shared" si="4"/>
        <v>207006</v>
      </c>
      <c r="Q16" s="482"/>
      <c r="R16" s="449"/>
      <c r="S16" s="449">
        <f t="shared" si="8"/>
        <v>0</v>
      </c>
      <c r="T16" s="449">
        <f t="shared" si="5"/>
        <v>200000</v>
      </c>
      <c r="U16" s="449">
        <f t="shared" si="6"/>
        <v>1000000</v>
      </c>
      <c r="V16" s="449"/>
      <c r="W16" s="449">
        <f t="shared" si="11"/>
        <v>1000000</v>
      </c>
      <c r="X16" s="449"/>
      <c r="Y16" s="449"/>
      <c r="Z16" s="449"/>
      <c r="AA16" s="448"/>
      <c r="AB16" s="448" t="s">
        <v>978</v>
      </c>
      <c r="AC16" s="448">
        <v>746000</v>
      </c>
    </row>
    <row r="17" spans="1:29" ht="45" customHeight="1">
      <c r="A17" s="448">
        <f t="shared" si="7"/>
        <v>13</v>
      </c>
      <c r="B17" s="448">
        <v>1621</v>
      </c>
      <c r="C17" s="469" t="s">
        <v>46</v>
      </c>
      <c r="D17" s="449">
        <f>6030000+40000</f>
        <v>6070000</v>
      </c>
      <c r="E17" s="449">
        <v>6030000</v>
      </c>
      <c r="F17" s="449">
        <f t="shared" si="0"/>
        <v>40000</v>
      </c>
      <c r="G17" s="449">
        <v>4400000</v>
      </c>
      <c r="H17" s="449">
        <v>3545139</v>
      </c>
      <c r="I17" s="449">
        <v>0</v>
      </c>
      <c r="J17" s="449">
        <f>893856-24937-89006-75000</f>
        <v>704913</v>
      </c>
      <c r="K17" s="449">
        <f t="shared" si="1"/>
        <v>704913</v>
      </c>
      <c r="L17" s="449">
        <f t="shared" si="2"/>
        <v>4250052</v>
      </c>
      <c r="M17" s="449">
        <f>P17+S17-250000-45000</f>
        <v>4948</v>
      </c>
      <c r="N17" s="449">
        <f>1670000+45000</f>
        <v>1715000</v>
      </c>
      <c r="O17" s="449">
        <f t="shared" si="3"/>
        <v>100000</v>
      </c>
      <c r="P17" s="449">
        <f t="shared" si="4"/>
        <v>149948</v>
      </c>
      <c r="Q17" s="482"/>
      <c r="R17" s="449">
        <v>150000</v>
      </c>
      <c r="S17" s="449">
        <f t="shared" si="8"/>
        <v>150000</v>
      </c>
      <c r="T17" s="449">
        <f t="shared" si="5"/>
        <v>295000</v>
      </c>
      <c r="U17" s="449">
        <f t="shared" si="6"/>
        <v>1420000</v>
      </c>
      <c r="V17" s="449"/>
      <c r="W17" s="449">
        <f t="shared" si="11"/>
        <v>1420000</v>
      </c>
      <c r="X17" s="449"/>
      <c r="Y17" s="449"/>
      <c r="Z17" s="449"/>
      <c r="AA17" s="448"/>
      <c r="AB17" s="483" t="s">
        <v>600</v>
      </c>
      <c r="AC17" s="469">
        <v>723000</v>
      </c>
    </row>
    <row r="18" spans="1:29" ht="55.2">
      <c r="A18" s="448">
        <f t="shared" si="7"/>
        <v>14</v>
      </c>
      <c r="B18" s="448">
        <v>1680</v>
      </c>
      <c r="C18" s="448" t="s">
        <v>67</v>
      </c>
      <c r="D18" s="449">
        <f>1700000+1000000</f>
        <v>2700000</v>
      </c>
      <c r="E18" s="449">
        <v>1700000</v>
      </c>
      <c r="F18" s="449">
        <f t="shared" si="0"/>
        <v>1000000</v>
      </c>
      <c r="G18" s="449">
        <v>1600000</v>
      </c>
      <c r="H18" s="449">
        <v>1547840</v>
      </c>
      <c r="I18" s="449">
        <v>0</v>
      </c>
      <c r="J18" s="449">
        <v>47258</v>
      </c>
      <c r="K18" s="449">
        <f t="shared" si="1"/>
        <v>47258</v>
      </c>
      <c r="L18" s="449">
        <f t="shared" si="2"/>
        <v>1595098</v>
      </c>
      <c r="M18" s="449">
        <f>P18+S18-150000+50000</f>
        <v>4902</v>
      </c>
      <c r="N18" s="449">
        <f>800000-250000-50000-50000</f>
        <v>450000</v>
      </c>
      <c r="O18" s="449">
        <f t="shared" si="3"/>
        <v>650000</v>
      </c>
      <c r="P18" s="449">
        <f t="shared" si="4"/>
        <v>4902</v>
      </c>
      <c r="Q18" s="482">
        <v>100000</v>
      </c>
      <c r="R18" s="449"/>
      <c r="S18" s="449">
        <f t="shared" si="8"/>
        <v>100000</v>
      </c>
      <c r="T18" s="449">
        <f t="shared" si="5"/>
        <v>100000</v>
      </c>
      <c r="U18" s="449">
        <f t="shared" si="6"/>
        <v>350000</v>
      </c>
      <c r="V18" s="449"/>
      <c r="W18" s="449">
        <f t="shared" si="11"/>
        <v>350000</v>
      </c>
      <c r="X18" s="449"/>
      <c r="Y18" s="449"/>
      <c r="Z18" s="449"/>
      <c r="AA18" s="448"/>
      <c r="AB18" s="448" t="s">
        <v>456</v>
      </c>
      <c r="AC18" s="448">
        <v>746000</v>
      </c>
    </row>
    <row r="19" spans="1:29" ht="45" customHeight="1">
      <c r="A19" s="448">
        <f t="shared" si="7"/>
        <v>15</v>
      </c>
      <c r="B19" s="448">
        <v>1848</v>
      </c>
      <c r="C19" s="448" t="s">
        <v>720</v>
      </c>
      <c r="D19" s="449">
        <f>1900000+100000</f>
        <v>2000000</v>
      </c>
      <c r="E19" s="449">
        <v>1900000</v>
      </c>
      <c r="F19" s="449">
        <f t="shared" si="0"/>
        <v>100000</v>
      </c>
      <c r="G19" s="449">
        <v>1800000</v>
      </c>
      <c r="H19" s="449">
        <v>1760675</v>
      </c>
      <c r="I19" s="449">
        <v>0</v>
      </c>
      <c r="J19" s="449">
        <v>13406</v>
      </c>
      <c r="K19" s="449">
        <f t="shared" si="1"/>
        <v>13406</v>
      </c>
      <c r="L19" s="449">
        <f t="shared" si="2"/>
        <v>1774081</v>
      </c>
      <c r="M19" s="449">
        <f>P19+S19-25000</f>
        <v>919</v>
      </c>
      <c r="N19" s="449">
        <f>200000+25000</f>
        <v>225000</v>
      </c>
      <c r="O19" s="449">
        <f t="shared" si="3"/>
        <v>0</v>
      </c>
      <c r="P19" s="449">
        <f t="shared" si="4"/>
        <v>25919</v>
      </c>
      <c r="Q19" s="482"/>
      <c r="R19" s="449"/>
      <c r="S19" s="449">
        <f t="shared" si="8"/>
        <v>0</v>
      </c>
      <c r="T19" s="449">
        <f t="shared" si="5"/>
        <v>25000</v>
      </c>
      <c r="U19" s="449">
        <f t="shared" si="6"/>
        <v>200000</v>
      </c>
      <c r="V19" s="449"/>
      <c r="W19" s="449">
        <f t="shared" si="11"/>
        <v>200000</v>
      </c>
      <c r="X19" s="449"/>
      <c r="Y19" s="449"/>
      <c r="Z19" s="449"/>
      <c r="AA19" s="448"/>
      <c r="AB19" s="448" t="s">
        <v>601</v>
      </c>
      <c r="AC19" s="448">
        <v>742000</v>
      </c>
    </row>
    <row r="20" spans="1:29" ht="45" customHeight="1">
      <c r="A20" s="448">
        <f t="shared" si="7"/>
        <v>16</v>
      </c>
      <c r="B20" s="448">
        <v>1850</v>
      </c>
      <c r="C20" s="448" t="s">
        <v>407</v>
      </c>
      <c r="D20" s="449">
        <v>14600000</v>
      </c>
      <c r="E20" s="449">
        <v>14600000</v>
      </c>
      <c r="F20" s="449">
        <f t="shared" si="0"/>
        <v>0</v>
      </c>
      <c r="G20" s="449">
        <v>6700000</v>
      </c>
      <c r="H20" s="449">
        <v>6678072</v>
      </c>
      <c r="I20" s="449">
        <v>0</v>
      </c>
      <c r="J20" s="449"/>
      <c r="K20" s="449">
        <f t="shared" si="1"/>
        <v>0</v>
      </c>
      <c r="L20" s="449">
        <f t="shared" si="2"/>
        <v>6678072</v>
      </c>
      <c r="M20" s="449">
        <f>P20+S20-20000</f>
        <v>1928</v>
      </c>
      <c r="N20" s="449">
        <f>800000-300000+20000</f>
        <v>520000</v>
      </c>
      <c r="O20" s="449">
        <f t="shared" si="3"/>
        <v>7400000</v>
      </c>
      <c r="P20" s="449">
        <f t="shared" si="4"/>
        <v>21928</v>
      </c>
      <c r="Q20" s="482"/>
      <c r="R20" s="449"/>
      <c r="S20" s="449">
        <f t="shared" si="8"/>
        <v>0</v>
      </c>
      <c r="T20" s="449">
        <f t="shared" si="5"/>
        <v>20000</v>
      </c>
      <c r="U20" s="449">
        <f t="shared" si="6"/>
        <v>500000</v>
      </c>
      <c r="V20" s="449"/>
      <c r="W20" s="449">
        <f t="shared" si="11"/>
        <v>500000</v>
      </c>
      <c r="X20" s="449"/>
      <c r="Y20" s="449"/>
      <c r="Z20" s="449"/>
      <c r="AA20" s="448"/>
      <c r="AB20" s="448" t="s">
        <v>1458</v>
      </c>
      <c r="AC20" s="448">
        <v>810000</v>
      </c>
    </row>
    <row r="21" spans="1:29" ht="45" customHeight="1">
      <c r="A21" s="448">
        <f t="shared" si="7"/>
        <v>17</v>
      </c>
      <c r="B21" s="448">
        <v>1883</v>
      </c>
      <c r="C21" s="448" t="s">
        <v>106</v>
      </c>
      <c r="D21" s="449">
        <f>27245000-1030000</f>
        <v>26215000</v>
      </c>
      <c r="E21" s="449">
        <v>27245000</v>
      </c>
      <c r="F21" s="449">
        <f t="shared" si="0"/>
        <v>-1030000</v>
      </c>
      <c r="G21" s="449">
        <v>26215000</v>
      </c>
      <c r="H21" s="449">
        <v>26214141</v>
      </c>
      <c r="I21" s="449">
        <v>0</v>
      </c>
      <c r="J21" s="449">
        <v>0</v>
      </c>
      <c r="K21" s="449">
        <f t="shared" si="1"/>
        <v>0</v>
      </c>
      <c r="L21" s="449">
        <f t="shared" si="2"/>
        <v>26214141</v>
      </c>
      <c r="M21" s="449">
        <f t="shared" si="10"/>
        <v>859</v>
      </c>
      <c r="N21" s="449"/>
      <c r="O21" s="449">
        <f t="shared" si="3"/>
        <v>0</v>
      </c>
      <c r="P21" s="449">
        <f t="shared" si="4"/>
        <v>859</v>
      </c>
      <c r="Q21" s="482"/>
      <c r="R21" s="449"/>
      <c r="S21" s="449">
        <f t="shared" si="8"/>
        <v>0</v>
      </c>
      <c r="T21" s="449">
        <f t="shared" si="5"/>
        <v>0</v>
      </c>
      <c r="U21" s="449">
        <f t="shared" si="6"/>
        <v>0</v>
      </c>
      <c r="V21" s="449"/>
      <c r="W21" s="449">
        <f t="shared" si="11"/>
        <v>0</v>
      </c>
      <c r="X21" s="449"/>
      <c r="Y21" s="449"/>
      <c r="Z21" s="449"/>
      <c r="AA21" s="448"/>
      <c r="AB21" s="448" t="s">
        <v>1433</v>
      </c>
      <c r="AC21" s="448">
        <v>810000</v>
      </c>
    </row>
    <row r="22" spans="1:29" ht="45" customHeight="1">
      <c r="A22" s="448">
        <f t="shared" si="7"/>
        <v>18</v>
      </c>
      <c r="B22" s="448">
        <v>1887</v>
      </c>
      <c r="C22" s="448" t="s">
        <v>107</v>
      </c>
      <c r="D22" s="449">
        <v>5200000</v>
      </c>
      <c r="E22" s="449">
        <v>5200000</v>
      </c>
      <c r="F22" s="449">
        <f t="shared" si="0"/>
        <v>0</v>
      </c>
      <c r="G22" s="449">
        <v>1760000</v>
      </c>
      <c r="H22" s="449">
        <v>1396187</v>
      </c>
      <c r="I22" s="449">
        <v>88157</v>
      </c>
      <c r="J22" s="449">
        <v>0</v>
      </c>
      <c r="K22" s="449">
        <f t="shared" si="1"/>
        <v>88157</v>
      </c>
      <c r="L22" s="449">
        <f t="shared" si="2"/>
        <v>1484344</v>
      </c>
      <c r="M22" s="449">
        <f>P22+S22-280000+5000</f>
        <v>656</v>
      </c>
      <c r="N22" s="449">
        <v>900000</v>
      </c>
      <c r="O22" s="449">
        <f t="shared" si="3"/>
        <v>2815000</v>
      </c>
      <c r="P22" s="449">
        <f t="shared" si="4"/>
        <v>275656</v>
      </c>
      <c r="Q22" s="482"/>
      <c r="R22" s="449"/>
      <c r="S22" s="449">
        <f t="shared" si="8"/>
        <v>0</v>
      </c>
      <c r="T22" s="449">
        <f t="shared" si="5"/>
        <v>275000</v>
      </c>
      <c r="U22" s="449">
        <f t="shared" si="6"/>
        <v>625000</v>
      </c>
      <c r="V22" s="449">
        <v>625000</v>
      </c>
      <c r="W22" s="449">
        <f t="shared" si="11"/>
        <v>0</v>
      </c>
      <c r="X22" s="449"/>
      <c r="Y22" s="449"/>
      <c r="Z22" s="449"/>
      <c r="AA22" s="448"/>
      <c r="AB22" s="448" t="s">
        <v>762</v>
      </c>
      <c r="AC22" s="448">
        <v>810000</v>
      </c>
    </row>
    <row r="23" spans="1:29" ht="45" customHeight="1">
      <c r="A23" s="448">
        <f t="shared" si="7"/>
        <v>19</v>
      </c>
      <c r="B23" s="448">
        <v>1899</v>
      </c>
      <c r="C23" s="448" t="s">
        <v>118</v>
      </c>
      <c r="D23" s="449">
        <f>670000-6248</f>
        <v>663752</v>
      </c>
      <c r="E23" s="449">
        <v>670000</v>
      </c>
      <c r="F23" s="449">
        <f t="shared" si="0"/>
        <v>-6248</v>
      </c>
      <c r="G23" s="449">
        <v>670000</v>
      </c>
      <c r="H23" s="449">
        <v>663752</v>
      </c>
      <c r="I23" s="449">
        <v>0</v>
      </c>
      <c r="J23" s="449">
        <v>0</v>
      </c>
      <c r="K23" s="449">
        <f t="shared" si="1"/>
        <v>0</v>
      </c>
      <c r="L23" s="449">
        <f t="shared" si="2"/>
        <v>663752</v>
      </c>
      <c r="M23" s="449">
        <f>P23+S23-6248</f>
        <v>0</v>
      </c>
      <c r="N23" s="449"/>
      <c r="O23" s="449">
        <f t="shared" si="3"/>
        <v>0</v>
      </c>
      <c r="P23" s="449">
        <f t="shared" si="4"/>
        <v>6248</v>
      </c>
      <c r="Q23" s="482"/>
      <c r="R23" s="449"/>
      <c r="S23" s="449">
        <f t="shared" si="8"/>
        <v>0</v>
      </c>
      <c r="T23" s="449">
        <f t="shared" si="5"/>
        <v>6248</v>
      </c>
      <c r="U23" s="449">
        <f t="shared" si="6"/>
        <v>-6248</v>
      </c>
      <c r="V23" s="449"/>
      <c r="W23" s="449">
        <f t="shared" si="11"/>
        <v>-6248</v>
      </c>
      <c r="X23" s="449"/>
      <c r="Y23" s="449"/>
      <c r="Z23" s="449"/>
      <c r="AA23" s="448"/>
      <c r="AB23" s="484" t="s">
        <v>1435</v>
      </c>
      <c r="AC23" s="448">
        <v>870000</v>
      </c>
    </row>
    <row r="24" spans="1:29" ht="45" customHeight="1">
      <c r="A24" s="448">
        <f t="shared" si="7"/>
        <v>20</v>
      </c>
      <c r="B24" s="448">
        <v>1900</v>
      </c>
      <c r="C24" s="448" t="s">
        <v>108</v>
      </c>
      <c r="D24" s="449">
        <v>600000</v>
      </c>
      <c r="E24" s="449">
        <v>600000</v>
      </c>
      <c r="F24" s="449">
        <f t="shared" si="0"/>
        <v>0</v>
      </c>
      <c r="G24" s="449">
        <v>600000</v>
      </c>
      <c r="H24" s="449">
        <v>572915</v>
      </c>
      <c r="I24" s="449">
        <v>0</v>
      </c>
      <c r="J24" s="449">
        <v>0</v>
      </c>
      <c r="K24" s="449">
        <f t="shared" si="1"/>
        <v>0</v>
      </c>
      <c r="L24" s="449">
        <f t="shared" si="2"/>
        <v>572915</v>
      </c>
      <c r="M24" s="449">
        <f>P24+S24-27000</f>
        <v>85</v>
      </c>
      <c r="N24" s="449"/>
      <c r="O24" s="449">
        <f t="shared" si="3"/>
        <v>27000</v>
      </c>
      <c r="P24" s="449">
        <f t="shared" si="4"/>
        <v>27085</v>
      </c>
      <c r="Q24" s="482"/>
      <c r="R24" s="449"/>
      <c r="S24" s="449">
        <f t="shared" si="8"/>
        <v>0</v>
      </c>
      <c r="T24" s="449">
        <f t="shared" si="5"/>
        <v>27000</v>
      </c>
      <c r="U24" s="449">
        <f t="shared" si="6"/>
        <v>-27000</v>
      </c>
      <c r="V24" s="449">
        <v>-27000</v>
      </c>
      <c r="W24" s="449">
        <f t="shared" si="11"/>
        <v>0</v>
      </c>
      <c r="X24" s="449"/>
      <c r="Y24" s="449"/>
      <c r="Z24" s="449"/>
      <c r="AA24" s="448"/>
      <c r="AB24" s="448" t="s">
        <v>1434</v>
      </c>
      <c r="AC24" s="448">
        <v>810000</v>
      </c>
    </row>
    <row r="25" spans="1:29" ht="55.2">
      <c r="A25" s="448">
        <f t="shared" si="7"/>
        <v>21</v>
      </c>
      <c r="B25" s="448">
        <v>1917</v>
      </c>
      <c r="C25" s="448" t="s">
        <v>109</v>
      </c>
      <c r="D25" s="449">
        <v>33701000</v>
      </c>
      <c r="E25" s="449">
        <v>33701000</v>
      </c>
      <c r="F25" s="449">
        <f t="shared" si="0"/>
        <v>0</v>
      </c>
      <c r="G25" s="449">
        <v>33701000</v>
      </c>
      <c r="H25" s="449">
        <v>30359309</v>
      </c>
      <c r="I25" s="449">
        <v>0</v>
      </c>
      <c r="J25" s="449">
        <v>3210528</v>
      </c>
      <c r="K25" s="449">
        <f t="shared" si="1"/>
        <v>3210528</v>
      </c>
      <c r="L25" s="449">
        <f t="shared" si="2"/>
        <v>33569837</v>
      </c>
      <c r="M25" s="449">
        <f>P25+S25-130000</f>
        <v>1163</v>
      </c>
      <c r="N25" s="449">
        <v>130000</v>
      </c>
      <c r="O25" s="449">
        <f t="shared" si="3"/>
        <v>0</v>
      </c>
      <c r="P25" s="449">
        <f t="shared" si="4"/>
        <v>131163</v>
      </c>
      <c r="Q25" s="482"/>
      <c r="R25" s="449"/>
      <c r="S25" s="449">
        <f t="shared" si="8"/>
        <v>0</v>
      </c>
      <c r="T25" s="449">
        <f t="shared" si="5"/>
        <v>130000</v>
      </c>
      <c r="U25" s="449">
        <f t="shared" si="6"/>
        <v>0</v>
      </c>
      <c r="V25" s="449">
        <v>201613</v>
      </c>
      <c r="W25" s="449">
        <f t="shared" si="11"/>
        <v>0</v>
      </c>
      <c r="X25" s="449"/>
      <c r="Y25" s="449"/>
      <c r="Z25" s="449"/>
      <c r="AA25" s="449">
        <v>-201613</v>
      </c>
      <c r="AB25" s="448" t="s">
        <v>1393</v>
      </c>
      <c r="AC25" s="448">
        <v>743000</v>
      </c>
    </row>
    <row r="26" spans="1:29" ht="55.2">
      <c r="A26" s="448">
        <f t="shared" si="7"/>
        <v>22</v>
      </c>
      <c r="B26" s="448">
        <v>1947</v>
      </c>
      <c r="C26" s="448" t="s">
        <v>721</v>
      </c>
      <c r="D26" s="449">
        <v>2500000</v>
      </c>
      <c r="E26" s="449">
        <v>2500000</v>
      </c>
      <c r="F26" s="449">
        <f t="shared" si="0"/>
        <v>0</v>
      </c>
      <c r="G26" s="449">
        <v>2500000</v>
      </c>
      <c r="H26" s="449">
        <v>1369144</v>
      </c>
      <c r="I26" s="449"/>
      <c r="J26" s="449"/>
      <c r="K26" s="449">
        <f t="shared" si="1"/>
        <v>0</v>
      </c>
      <c r="L26" s="449">
        <f t="shared" si="2"/>
        <v>1369144</v>
      </c>
      <c r="M26" s="449">
        <f>P26+S26-1100000-30000</f>
        <v>856</v>
      </c>
      <c r="N26" s="449">
        <f>1100000+30000</f>
        <v>1130000</v>
      </c>
      <c r="O26" s="449">
        <f t="shared" si="3"/>
        <v>0</v>
      </c>
      <c r="P26" s="449">
        <f t="shared" si="4"/>
        <v>1130856</v>
      </c>
      <c r="Q26" s="482"/>
      <c r="R26" s="449"/>
      <c r="S26" s="449">
        <f t="shared" si="8"/>
        <v>0</v>
      </c>
      <c r="T26" s="449">
        <f t="shared" si="5"/>
        <v>1130000</v>
      </c>
      <c r="U26" s="449">
        <f t="shared" si="6"/>
        <v>0</v>
      </c>
      <c r="V26" s="449">
        <v>128955</v>
      </c>
      <c r="W26" s="449">
        <f t="shared" si="11"/>
        <v>0</v>
      </c>
      <c r="X26" s="449"/>
      <c r="Y26" s="449"/>
      <c r="Z26" s="449"/>
      <c r="AA26" s="449">
        <v>-128955</v>
      </c>
      <c r="AB26" s="448" t="s">
        <v>1394</v>
      </c>
      <c r="AC26" s="448">
        <v>850000</v>
      </c>
    </row>
    <row r="27" spans="1:29" ht="82.8">
      <c r="A27" s="448">
        <f t="shared" si="7"/>
        <v>23</v>
      </c>
      <c r="B27" s="448">
        <v>1967</v>
      </c>
      <c r="C27" s="448" t="s">
        <v>117</v>
      </c>
      <c r="D27" s="449">
        <f>12929000+3300000+400000</f>
        <v>16629000</v>
      </c>
      <c r="E27" s="449">
        <v>12929000</v>
      </c>
      <c r="F27" s="449">
        <f t="shared" si="0"/>
        <v>3700000</v>
      </c>
      <c r="G27" s="449">
        <v>12029000</v>
      </c>
      <c r="H27" s="449">
        <v>10922228</v>
      </c>
      <c r="I27" s="449">
        <v>0</v>
      </c>
      <c r="J27" s="449">
        <f>881141-5101-7423+71136</f>
        <v>939753</v>
      </c>
      <c r="K27" s="449">
        <f t="shared" si="1"/>
        <v>939753</v>
      </c>
      <c r="L27" s="449">
        <f t="shared" si="2"/>
        <v>11861981</v>
      </c>
      <c r="M27" s="449">
        <f>P27+S27-150000</f>
        <v>17019</v>
      </c>
      <c r="N27" s="449">
        <f>1500000+1800000+900000+400000-1450000-150000</f>
        <v>3000000</v>
      </c>
      <c r="O27" s="449">
        <f t="shared" si="3"/>
        <v>1750000</v>
      </c>
      <c r="P27" s="449">
        <f t="shared" si="4"/>
        <v>167019</v>
      </c>
      <c r="Q27" s="482"/>
      <c r="R27" s="449"/>
      <c r="S27" s="449">
        <f t="shared" si="8"/>
        <v>0</v>
      </c>
      <c r="T27" s="449">
        <f t="shared" si="5"/>
        <v>150000</v>
      </c>
      <c r="U27" s="449">
        <f t="shared" si="6"/>
        <v>2850000</v>
      </c>
      <c r="V27" s="449"/>
      <c r="W27" s="449">
        <f t="shared" si="11"/>
        <v>2850000</v>
      </c>
      <c r="X27" s="449"/>
      <c r="Y27" s="449"/>
      <c r="Z27" s="449"/>
      <c r="AA27" s="448"/>
      <c r="AB27" s="448" t="s">
        <v>1516</v>
      </c>
      <c r="AC27" s="448">
        <v>810000</v>
      </c>
    </row>
    <row r="28" spans="1:29" ht="45" customHeight="1">
      <c r="A28" s="448">
        <f t="shared" si="7"/>
        <v>24</v>
      </c>
      <c r="B28" s="448">
        <v>1968</v>
      </c>
      <c r="C28" s="448" t="s">
        <v>791</v>
      </c>
      <c r="D28" s="449">
        <f>2170000-350077</f>
        <v>1819923</v>
      </c>
      <c r="E28" s="449">
        <v>2170000</v>
      </c>
      <c r="F28" s="449">
        <f t="shared" si="0"/>
        <v>-350077</v>
      </c>
      <c r="G28" s="449">
        <v>2170000</v>
      </c>
      <c r="H28" s="449">
        <v>1819923</v>
      </c>
      <c r="I28" s="449">
        <v>0</v>
      </c>
      <c r="J28" s="449"/>
      <c r="K28" s="449">
        <f t="shared" si="1"/>
        <v>0</v>
      </c>
      <c r="L28" s="449">
        <f t="shared" si="2"/>
        <v>1819923</v>
      </c>
      <c r="M28" s="449">
        <f>P28+S28-350077</f>
        <v>0</v>
      </c>
      <c r="N28" s="449"/>
      <c r="O28" s="449">
        <f t="shared" si="3"/>
        <v>0</v>
      </c>
      <c r="P28" s="449">
        <f t="shared" si="4"/>
        <v>350077</v>
      </c>
      <c r="Q28" s="482"/>
      <c r="R28" s="449"/>
      <c r="S28" s="449">
        <f t="shared" si="8"/>
        <v>0</v>
      </c>
      <c r="T28" s="449">
        <f t="shared" si="5"/>
        <v>350077</v>
      </c>
      <c r="U28" s="449">
        <f t="shared" si="6"/>
        <v>-350077</v>
      </c>
      <c r="V28" s="449"/>
      <c r="W28" s="449">
        <f t="shared" si="11"/>
        <v>-350077</v>
      </c>
      <c r="X28" s="449"/>
      <c r="Y28" s="449"/>
      <c r="Z28" s="449"/>
      <c r="AA28" s="448"/>
      <c r="AB28" s="323" t="s">
        <v>1436</v>
      </c>
      <c r="AC28" s="323">
        <v>848500</v>
      </c>
    </row>
    <row r="29" spans="1:29" ht="45" customHeight="1">
      <c r="A29" s="448">
        <f t="shared" si="7"/>
        <v>25</v>
      </c>
      <c r="B29" s="448">
        <v>1970</v>
      </c>
      <c r="C29" s="448" t="s">
        <v>123</v>
      </c>
      <c r="D29" s="449">
        <v>32500000</v>
      </c>
      <c r="E29" s="449">
        <v>32500000</v>
      </c>
      <c r="F29" s="449">
        <f t="shared" si="0"/>
        <v>0</v>
      </c>
      <c r="G29" s="449">
        <v>32500000</v>
      </c>
      <c r="H29" s="449">
        <v>32499902</v>
      </c>
      <c r="I29" s="449">
        <v>0</v>
      </c>
      <c r="J29" s="449">
        <v>0</v>
      </c>
      <c r="K29" s="449">
        <f t="shared" si="1"/>
        <v>0</v>
      </c>
      <c r="L29" s="449">
        <f t="shared" si="2"/>
        <v>32499902</v>
      </c>
      <c r="M29" s="449">
        <f t="shared" si="10"/>
        <v>98</v>
      </c>
      <c r="N29" s="449"/>
      <c r="O29" s="449">
        <f t="shared" si="3"/>
        <v>0</v>
      </c>
      <c r="P29" s="449">
        <f t="shared" si="4"/>
        <v>98</v>
      </c>
      <c r="Q29" s="482"/>
      <c r="R29" s="449"/>
      <c r="S29" s="449">
        <f t="shared" si="8"/>
        <v>0</v>
      </c>
      <c r="T29" s="449">
        <f t="shared" si="5"/>
        <v>0</v>
      </c>
      <c r="U29" s="449">
        <f t="shared" si="6"/>
        <v>0</v>
      </c>
      <c r="V29" s="449"/>
      <c r="W29" s="449">
        <f t="shared" si="11"/>
        <v>0</v>
      </c>
      <c r="X29" s="449"/>
      <c r="Y29" s="449"/>
      <c r="Z29" s="449"/>
      <c r="AA29" s="448"/>
      <c r="AB29" s="448" t="s">
        <v>1356</v>
      </c>
      <c r="AC29" s="448">
        <v>810000</v>
      </c>
    </row>
    <row r="30" spans="1:29" ht="55.2">
      <c r="A30" s="448">
        <f t="shared" si="7"/>
        <v>26</v>
      </c>
      <c r="B30" s="448">
        <v>1973</v>
      </c>
      <c r="C30" s="448" t="s">
        <v>119</v>
      </c>
      <c r="D30" s="449">
        <f>2500000+750000</f>
        <v>3250000</v>
      </c>
      <c r="E30" s="449">
        <v>2500000</v>
      </c>
      <c r="F30" s="449">
        <f t="shared" si="0"/>
        <v>750000</v>
      </c>
      <c r="G30" s="449">
        <v>2250000</v>
      </c>
      <c r="H30" s="449">
        <v>2181760</v>
      </c>
      <c r="I30" s="449">
        <v>0</v>
      </c>
      <c r="J30" s="449">
        <v>51171</v>
      </c>
      <c r="K30" s="449">
        <f t="shared" si="1"/>
        <v>51171</v>
      </c>
      <c r="L30" s="449">
        <f t="shared" si="2"/>
        <v>2232931</v>
      </c>
      <c r="M30" s="449">
        <f>P30+S30-17000</f>
        <v>69</v>
      </c>
      <c r="N30" s="449">
        <f>600000-500000-50000+17000</f>
        <v>67000</v>
      </c>
      <c r="O30" s="449">
        <f t="shared" si="3"/>
        <v>950000</v>
      </c>
      <c r="P30" s="449">
        <f t="shared" si="4"/>
        <v>17069</v>
      </c>
      <c r="Q30" s="482"/>
      <c r="R30" s="449"/>
      <c r="S30" s="449">
        <f t="shared" si="8"/>
        <v>0</v>
      </c>
      <c r="T30" s="449">
        <f t="shared" si="5"/>
        <v>17000</v>
      </c>
      <c r="U30" s="449">
        <f t="shared" si="6"/>
        <v>50000</v>
      </c>
      <c r="V30" s="449"/>
      <c r="W30" s="449">
        <f t="shared" si="11"/>
        <v>50000</v>
      </c>
      <c r="X30" s="449"/>
      <c r="Y30" s="449"/>
      <c r="Z30" s="449"/>
      <c r="AA30" s="448"/>
      <c r="AB30" s="448" t="s">
        <v>1517</v>
      </c>
      <c r="AC30" s="448">
        <v>742000</v>
      </c>
    </row>
    <row r="31" spans="1:29" ht="45" customHeight="1">
      <c r="A31" s="448">
        <f t="shared" si="7"/>
        <v>27</v>
      </c>
      <c r="B31" s="448">
        <v>2028</v>
      </c>
      <c r="C31" s="448" t="s">
        <v>270</v>
      </c>
      <c r="D31" s="449">
        <f>2435000-477</f>
        <v>2434523</v>
      </c>
      <c r="E31" s="449">
        <v>2435000</v>
      </c>
      <c r="F31" s="449">
        <f t="shared" si="0"/>
        <v>-477</v>
      </c>
      <c r="G31" s="449">
        <v>2435000</v>
      </c>
      <c r="H31" s="449">
        <v>2434523</v>
      </c>
      <c r="I31" s="449"/>
      <c r="J31" s="449">
        <v>0</v>
      </c>
      <c r="K31" s="449">
        <f t="shared" si="1"/>
        <v>0</v>
      </c>
      <c r="L31" s="449">
        <f t="shared" si="2"/>
        <v>2434523</v>
      </c>
      <c r="M31" s="449">
        <f>P31+S31-477</f>
        <v>0</v>
      </c>
      <c r="N31" s="449"/>
      <c r="O31" s="449">
        <f t="shared" si="3"/>
        <v>0</v>
      </c>
      <c r="P31" s="449">
        <f t="shared" si="4"/>
        <v>477</v>
      </c>
      <c r="Q31" s="482"/>
      <c r="R31" s="449"/>
      <c r="S31" s="449">
        <f t="shared" si="8"/>
        <v>0</v>
      </c>
      <c r="T31" s="449">
        <f t="shared" si="5"/>
        <v>477</v>
      </c>
      <c r="U31" s="449">
        <f t="shared" si="6"/>
        <v>-477</v>
      </c>
      <c r="V31" s="449"/>
      <c r="W31" s="449">
        <f t="shared" si="11"/>
        <v>-477</v>
      </c>
      <c r="X31" s="449"/>
      <c r="Y31" s="449"/>
      <c r="Z31" s="449"/>
      <c r="AA31" s="448"/>
      <c r="AB31" s="448" t="s">
        <v>1437</v>
      </c>
      <c r="AC31" s="448">
        <v>810000</v>
      </c>
    </row>
    <row r="32" spans="1:29" ht="55.2">
      <c r="A32" s="448">
        <f t="shared" si="7"/>
        <v>28</v>
      </c>
      <c r="B32" s="448">
        <v>2030</v>
      </c>
      <c r="C32" s="448" t="s">
        <v>231</v>
      </c>
      <c r="D32" s="449">
        <f>31500000+19786977-4465000</f>
        <v>46821977</v>
      </c>
      <c r="E32" s="449">
        <v>31500000</v>
      </c>
      <c r="F32" s="449">
        <f t="shared" si="0"/>
        <v>15321977</v>
      </c>
      <c r="G32" s="449">
        <v>16421977</v>
      </c>
      <c r="H32" s="449">
        <v>10816571</v>
      </c>
      <c r="I32" s="449">
        <v>271685</v>
      </c>
      <c r="J32" s="449">
        <f>647230</f>
        <v>647230</v>
      </c>
      <c r="K32" s="449">
        <f t="shared" si="1"/>
        <v>918915</v>
      </c>
      <c r="L32" s="449">
        <f t="shared" si="2"/>
        <v>11735486</v>
      </c>
      <c r="M32" s="449">
        <f>P32+S32-4600000-85000</f>
        <v>1491</v>
      </c>
      <c r="N32" s="449">
        <v>85000</v>
      </c>
      <c r="O32" s="449">
        <f t="shared" si="3"/>
        <v>35000000</v>
      </c>
      <c r="P32" s="449">
        <f t="shared" si="4"/>
        <v>4686491</v>
      </c>
      <c r="Q32" s="482"/>
      <c r="R32" s="449"/>
      <c r="S32" s="449">
        <v>0</v>
      </c>
      <c r="T32" s="449">
        <f t="shared" si="5"/>
        <v>4685000</v>
      </c>
      <c r="U32" s="449">
        <f t="shared" si="6"/>
        <v>-4600000</v>
      </c>
      <c r="V32" s="449">
        <v>-4600000</v>
      </c>
      <c r="W32" s="449">
        <f t="shared" si="11"/>
        <v>0</v>
      </c>
      <c r="X32" s="449"/>
      <c r="Y32" s="449"/>
      <c r="Z32" s="449"/>
      <c r="AA32" s="449">
        <f>3368300-110000-3258300</f>
        <v>0</v>
      </c>
      <c r="AB32" s="448" t="s">
        <v>1366</v>
      </c>
      <c r="AC32" s="448">
        <v>810000</v>
      </c>
    </row>
    <row r="33" spans="1:47" ht="69">
      <c r="A33" s="448">
        <f t="shared" si="7"/>
        <v>29</v>
      </c>
      <c r="B33" s="448">
        <v>2037</v>
      </c>
      <c r="C33" s="448" t="s">
        <v>372</v>
      </c>
      <c r="D33" s="449">
        <v>5000000</v>
      </c>
      <c r="E33" s="449">
        <v>5000000</v>
      </c>
      <c r="F33" s="449">
        <f t="shared" si="0"/>
        <v>0</v>
      </c>
      <c r="G33" s="449">
        <v>2300000</v>
      </c>
      <c r="H33" s="449">
        <v>1381407</v>
      </c>
      <c r="I33" s="449">
        <v>0</v>
      </c>
      <c r="J33" s="449">
        <v>498918</v>
      </c>
      <c r="K33" s="449">
        <f t="shared" si="1"/>
        <v>498918</v>
      </c>
      <c r="L33" s="449">
        <f t="shared" si="2"/>
        <v>1880325</v>
      </c>
      <c r="M33" s="449">
        <f>P33+S33-400000+200000-15000</f>
        <v>4675</v>
      </c>
      <c r="N33" s="449">
        <f>500000-100000+15000</f>
        <v>415000</v>
      </c>
      <c r="O33" s="449">
        <f t="shared" si="3"/>
        <v>2700000</v>
      </c>
      <c r="P33" s="449">
        <f t="shared" si="4"/>
        <v>419675</v>
      </c>
      <c r="Q33" s="482"/>
      <c r="R33" s="449">
        <v>-200000</v>
      </c>
      <c r="S33" s="449">
        <f t="shared" si="8"/>
        <v>-200000</v>
      </c>
      <c r="T33" s="449">
        <f t="shared" si="5"/>
        <v>215000</v>
      </c>
      <c r="U33" s="449">
        <f t="shared" si="6"/>
        <v>200000</v>
      </c>
      <c r="V33" s="449"/>
      <c r="W33" s="449">
        <f t="shared" si="11"/>
        <v>200000</v>
      </c>
      <c r="X33" s="449"/>
      <c r="Y33" s="449"/>
      <c r="Z33" s="449"/>
      <c r="AA33" s="448"/>
      <c r="AB33" s="448" t="s">
        <v>843</v>
      </c>
      <c r="AC33" s="448">
        <v>870000</v>
      </c>
    </row>
    <row r="34" spans="1:47" ht="69">
      <c r="A34" s="448">
        <f t="shared" si="7"/>
        <v>30</v>
      </c>
      <c r="B34" s="448">
        <v>2038</v>
      </c>
      <c r="C34" s="448" t="s">
        <v>396</v>
      </c>
      <c r="D34" s="449">
        <f>6000000+1500000</f>
        <v>7500000</v>
      </c>
      <c r="E34" s="449">
        <v>6000000</v>
      </c>
      <c r="F34" s="449">
        <f t="shared" si="0"/>
        <v>1500000</v>
      </c>
      <c r="G34" s="449">
        <v>5250000</v>
      </c>
      <c r="H34" s="449">
        <v>5247440</v>
      </c>
      <c r="I34" s="449">
        <v>0</v>
      </c>
      <c r="J34" s="449"/>
      <c r="K34" s="449">
        <f t="shared" si="1"/>
        <v>0</v>
      </c>
      <c r="L34" s="449">
        <f t="shared" si="2"/>
        <v>5247440</v>
      </c>
      <c r="M34" s="449">
        <f t="shared" si="10"/>
        <v>2560</v>
      </c>
      <c r="N34" s="449">
        <f>1500000-700000-100000</f>
        <v>700000</v>
      </c>
      <c r="O34" s="449">
        <f t="shared" si="3"/>
        <v>1550000</v>
      </c>
      <c r="P34" s="449">
        <f t="shared" si="4"/>
        <v>2560</v>
      </c>
      <c r="Q34" s="482"/>
      <c r="R34" s="449"/>
      <c r="S34" s="449">
        <f t="shared" si="8"/>
        <v>0</v>
      </c>
      <c r="T34" s="449">
        <f t="shared" si="5"/>
        <v>0</v>
      </c>
      <c r="U34" s="449">
        <f t="shared" si="6"/>
        <v>700000</v>
      </c>
      <c r="V34" s="449"/>
      <c r="W34" s="449">
        <f t="shared" si="11"/>
        <v>700000</v>
      </c>
      <c r="X34" s="449"/>
      <c r="Y34" s="449"/>
      <c r="Z34" s="449"/>
      <c r="AA34" s="448"/>
      <c r="AB34" s="448" t="s">
        <v>416</v>
      </c>
      <c r="AC34" s="448">
        <v>810000</v>
      </c>
    </row>
    <row r="35" spans="1:47" ht="45" customHeight="1">
      <c r="A35" s="448">
        <f t="shared" si="7"/>
        <v>31</v>
      </c>
      <c r="B35" s="448">
        <v>2039</v>
      </c>
      <c r="C35" s="448" t="s">
        <v>130</v>
      </c>
      <c r="D35" s="449">
        <v>535000</v>
      </c>
      <c r="E35" s="449">
        <v>535000</v>
      </c>
      <c r="F35" s="449">
        <f t="shared" si="0"/>
        <v>0</v>
      </c>
      <c r="G35" s="449">
        <v>535000</v>
      </c>
      <c r="H35" s="449">
        <v>264008</v>
      </c>
      <c r="I35" s="449">
        <v>0</v>
      </c>
      <c r="J35" s="449">
        <v>80853</v>
      </c>
      <c r="K35" s="449">
        <f t="shared" si="1"/>
        <v>80853</v>
      </c>
      <c r="L35" s="449">
        <f t="shared" si="2"/>
        <v>344861</v>
      </c>
      <c r="M35" s="449">
        <f>P35+S35-190000</f>
        <v>139</v>
      </c>
      <c r="N35" s="449">
        <f>190000-190000</f>
        <v>0</v>
      </c>
      <c r="O35" s="449">
        <f t="shared" si="3"/>
        <v>190000</v>
      </c>
      <c r="P35" s="449">
        <f t="shared" si="4"/>
        <v>190139</v>
      </c>
      <c r="Q35" s="482"/>
      <c r="R35" s="449"/>
      <c r="S35" s="449">
        <f t="shared" si="8"/>
        <v>0</v>
      </c>
      <c r="T35" s="449">
        <f t="shared" si="5"/>
        <v>190000</v>
      </c>
      <c r="U35" s="449">
        <f t="shared" si="6"/>
        <v>-190000</v>
      </c>
      <c r="V35" s="449"/>
      <c r="W35" s="449">
        <f t="shared" si="11"/>
        <v>-190000</v>
      </c>
      <c r="X35" s="449"/>
      <c r="Y35" s="449"/>
      <c r="Z35" s="449"/>
      <c r="AA35" s="448"/>
      <c r="AB35" s="484" t="s">
        <v>1409</v>
      </c>
      <c r="AC35" s="448">
        <v>760000</v>
      </c>
    </row>
    <row r="36" spans="1:47" ht="45" customHeight="1">
      <c r="A36" s="448">
        <f t="shared" si="7"/>
        <v>32</v>
      </c>
      <c r="B36" s="448">
        <v>2040</v>
      </c>
      <c r="C36" s="448" t="s">
        <v>281</v>
      </c>
      <c r="D36" s="449">
        <v>2710000</v>
      </c>
      <c r="E36" s="449">
        <v>2710000</v>
      </c>
      <c r="F36" s="449">
        <f t="shared" si="0"/>
        <v>0</v>
      </c>
      <c r="G36" s="449">
        <v>1410000</v>
      </c>
      <c r="H36" s="449">
        <v>1156514</v>
      </c>
      <c r="I36" s="449">
        <v>0</v>
      </c>
      <c r="J36" s="449"/>
      <c r="K36" s="449">
        <f t="shared" si="1"/>
        <v>0</v>
      </c>
      <c r="L36" s="449">
        <f t="shared" si="2"/>
        <v>1156514</v>
      </c>
      <c r="M36" s="449">
        <f>P36+S36-250000</f>
        <v>3486</v>
      </c>
      <c r="N36" s="449">
        <f>1200000-500000</f>
        <v>700000</v>
      </c>
      <c r="O36" s="449">
        <f t="shared" si="3"/>
        <v>850000</v>
      </c>
      <c r="P36" s="449">
        <f t="shared" si="4"/>
        <v>253486</v>
      </c>
      <c r="Q36" s="482"/>
      <c r="R36" s="449"/>
      <c r="S36" s="449">
        <f t="shared" si="8"/>
        <v>0</v>
      </c>
      <c r="T36" s="449">
        <f t="shared" si="5"/>
        <v>250000</v>
      </c>
      <c r="U36" s="449">
        <f t="shared" si="6"/>
        <v>450000</v>
      </c>
      <c r="V36" s="449"/>
      <c r="W36" s="449">
        <f t="shared" si="11"/>
        <v>450000</v>
      </c>
      <c r="X36" s="449"/>
      <c r="Y36" s="449"/>
      <c r="Z36" s="449"/>
      <c r="AA36" s="448"/>
      <c r="AB36" s="448" t="s">
        <v>1438</v>
      </c>
      <c r="AC36" s="448">
        <v>829000</v>
      </c>
    </row>
    <row r="37" spans="1:47" ht="45" customHeight="1">
      <c r="A37" s="448">
        <f t="shared" si="7"/>
        <v>33</v>
      </c>
      <c r="B37" s="448">
        <v>2043</v>
      </c>
      <c r="C37" s="448" t="s">
        <v>402</v>
      </c>
      <c r="D37" s="449">
        <f>15350000+6000000-850000</f>
        <v>20500000</v>
      </c>
      <c r="E37" s="449">
        <f>15350000+3000000</f>
        <v>18350000</v>
      </c>
      <c r="F37" s="449">
        <f t="shared" si="0"/>
        <v>2150000</v>
      </c>
      <c r="G37" s="449">
        <v>14850000</v>
      </c>
      <c r="H37" s="449">
        <v>15411264</v>
      </c>
      <c r="I37" s="449">
        <v>56624</v>
      </c>
      <c r="J37" s="449">
        <f>2218+200000+999980</f>
        <v>1202198</v>
      </c>
      <c r="K37" s="449">
        <f t="shared" si="1"/>
        <v>1258822</v>
      </c>
      <c r="L37" s="449">
        <f t="shared" si="2"/>
        <v>16670086</v>
      </c>
      <c r="M37" s="449">
        <f>P37+S37-2500000+500000+825000</f>
        <v>4914</v>
      </c>
      <c r="N37" s="449">
        <f>5650000-3000000+2000000-1050000-825000+1050000-150000</f>
        <v>3675000</v>
      </c>
      <c r="O37" s="449">
        <f t="shared" si="3"/>
        <v>150000</v>
      </c>
      <c r="P37" s="449">
        <f t="shared" si="4"/>
        <v>-1820086</v>
      </c>
      <c r="Q37" s="482"/>
      <c r="R37" s="449">
        <v>3000000</v>
      </c>
      <c r="S37" s="449">
        <f t="shared" si="8"/>
        <v>3000000</v>
      </c>
      <c r="T37" s="449">
        <f t="shared" si="5"/>
        <v>1175000</v>
      </c>
      <c r="U37" s="449">
        <f t="shared" si="6"/>
        <v>2500000</v>
      </c>
      <c r="V37" s="449"/>
      <c r="W37" s="449">
        <f t="shared" si="11"/>
        <v>2500000</v>
      </c>
      <c r="X37" s="449"/>
      <c r="Y37" s="449"/>
      <c r="Z37" s="449"/>
      <c r="AA37" s="448"/>
      <c r="AB37" s="448" t="s">
        <v>702</v>
      </c>
      <c r="AC37" s="448">
        <v>747000</v>
      </c>
    </row>
    <row r="38" spans="1:47" ht="45" customHeight="1">
      <c r="A38" s="448">
        <f t="shared" si="7"/>
        <v>34</v>
      </c>
      <c r="B38" s="448">
        <v>2044</v>
      </c>
      <c r="C38" s="448" t="s">
        <v>131</v>
      </c>
      <c r="D38" s="449">
        <v>105000</v>
      </c>
      <c r="E38" s="449">
        <v>105000</v>
      </c>
      <c r="F38" s="449">
        <f t="shared" si="0"/>
        <v>0</v>
      </c>
      <c r="G38" s="449">
        <v>105000</v>
      </c>
      <c r="H38" s="449">
        <v>56160</v>
      </c>
      <c r="I38" s="449">
        <v>0</v>
      </c>
      <c r="J38" s="449">
        <v>0</v>
      </c>
      <c r="K38" s="449">
        <f t="shared" si="1"/>
        <v>0</v>
      </c>
      <c r="L38" s="449">
        <f t="shared" si="2"/>
        <v>56160</v>
      </c>
      <c r="M38" s="449">
        <f>P38+S38-48800</f>
        <v>40</v>
      </c>
      <c r="N38" s="449">
        <v>48800</v>
      </c>
      <c r="O38" s="449">
        <f t="shared" si="3"/>
        <v>0</v>
      </c>
      <c r="P38" s="449">
        <f t="shared" si="4"/>
        <v>48840</v>
      </c>
      <c r="Q38" s="482"/>
      <c r="R38" s="449"/>
      <c r="S38" s="449">
        <f t="shared" si="8"/>
        <v>0</v>
      </c>
      <c r="T38" s="449">
        <f t="shared" si="5"/>
        <v>48800</v>
      </c>
      <c r="U38" s="449">
        <f t="shared" si="6"/>
        <v>0</v>
      </c>
      <c r="V38" s="449"/>
      <c r="W38" s="449">
        <f t="shared" si="11"/>
        <v>0</v>
      </c>
      <c r="X38" s="449"/>
      <c r="Y38" s="449"/>
      <c r="Z38" s="449"/>
      <c r="AA38" s="448"/>
      <c r="AB38" s="448" t="s">
        <v>554</v>
      </c>
      <c r="AC38" s="448">
        <v>747000</v>
      </c>
    </row>
    <row r="39" spans="1:47" s="485" customFormat="1" ht="45" customHeight="1">
      <c r="A39" s="448">
        <f t="shared" si="7"/>
        <v>35</v>
      </c>
      <c r="B39" s="448">
        <v>2047</v>
      </c>
      <c r="C39" s="448" t="s">
        <v>283</v>
      </c>
      <c r="D39" s="449">
        <v>170000</v>
      </c>
      <c r="E39" s="449">
        <v>170000</v>
      </c>
      <c r="F39" s="449">
        <f t="shared" si="0"/>
        <v>0</v>
      </c>
      <c r="G39" s="449">
        <v>170000</v>
      </c>
      <c r="H39" s="449">
        <v>170000</v>
      </c>
      <c r="I39" s="449">
        <v>0</v>
      </c>
      <c r="J39" s="449">
        <v>0</v>
      </c>
      <c r="K39" s="449">
        <f t="shared" si="1"/>
        <v>0</v>
      </c>
      <c r="L39" s="449">
        <f t="shared" si="2"/>
        <v>170000</v>
      </c>
      <c r="M39" s="449">
        <f t="shared" si="10"/>
        <v>0</v>
      </c>
      <c r="N39" s="449"/>
      <c r="O39" s="449">
        <f t="shared" si="3"/>
        <v>0</v>
      </c>
      <c r="P39" s="449">
        <f t="shared" si="4"/>
        <v>0</v>
      </c>
      <c r="Q39" s="482"/>
      <c r="R39" s="449"/>
      <c r="S39" s="449">
        <f t="shared" si="8"/>
        <v>0</v>
      </c>
      <c r="T39" s="449">
        <f t="shared" si="5"/>
        <v>0</v>
      </c>
      <c r="U39" s="449">
        <f t="shared" si="6"/>
        <v>0</v>
      </c>
      <c r="V39" s="449"/>
      <c r="W39" s="449">
        <f t="shared" si="11"/>
        <v>0</v>
      </c>
      <c r="X39" s="449"/>
      <c r="Y39" s="449"/>
      <c r="Z39" s="449"/>
      <c r="AA39" s="448"/>
      <c r="AB39" s="448" t="s">
        <v>1439</v>
      </c>
      <c r="AC39" s="448">
        <v>747000</v>
      </c>
      <c r="AD39" s="756"/>
      <c r="AE39" s="756"/>
      <c r="AF39" s="756"/>
      <c r="AG39" s="756"/>
      <c r="AH39" s="756"/>
      <c r="AI39" s="756"/>
      <c r="AJ39" s="756"/>
      <c r="AK39" s="756"/>
      <c r="AL39" s="756"/>
      <c r="AM39" s="756"/>
      <c r="AN39" s="756"/>
      <c r="AO39" s="756"/>
      <c r="AP39" s="756"/>
      <c r="AQ39"/>
    </row>
    <row r="40" spans="1:47" ht="45" customHeight="1">
      <c r="A40" s="448">
        <f t="shared" si="7"/>
        <v>36</v>
      </c>
      <c r="B40" s="448">
        <v>2063</v>
      </c>
      <c r="C40" s="448" t="s">
        <v>271</v>
      </c>
      <c r="D40" s="449">
        <f>2500000+600000</f>
        <v>3100000</v>
      </c>
      <c r="E40" s="449">
        <v>2500000</v>
      </c>
      <c r="F40" s="449">
        <f t="shared" si="0"/>
        <v>600000</v>
      </c>
      <c r="G40" s="449">
        <v>2300000</v>
      </c>
      <c r="H40" s="449">
        <v>664045</v>
      </c>
      <c r="I40" s="449">
        <v>0</v>
      </c>
      <c r="J40" s="449">
        <v>1554999</v>
      </c>
      <c r="K40" s="449">
        <f t="shared" si="1"/>
        <v>1554999</v>
      </c>
      <c r="L40" s="449">
        <f t="shared" si="2"/>
        <v>2219044</v>
      </c>
      <c r="M40" s="449">
        <f>P40+S40-80000</f>
        <v>956</v>
      </c>
      <c r="N40" s="449">
        <f>800000-100000+80000</f>
        <v>780000</v>
      </c>
      <c r="O40" s="449">
        <f t="shared" si="3"/>
        <v>100000</v>
      </c>
      <c r="P40" s="449">
        <f t="shared" si="4"/>
        <v>80956</v>
      </c>
      <c r="Q40" s="482"/>
      <c r="R40" s="449"/>
      <c r="S40" s="449">
        <f t="shared" si="8"/>
        <v>0</v>
      </c>
      <c r="T40" s="449">
        <f t="shared" si="5"/>
        <v>80000</v>
      </c>
      <c r="U40" s="449">
        <f t="shared" si="6"/>
        <v>700000</v>
      </c>
      <c r="V40" s="449">
        <v>700000</v>
      </c>
      <c r="W40" s="449">
        <f t="shared" si="11"/>
        <v>0</v>
      </c>
      <c r="X40" s="449"/>
      <c r="Y40" s="449"/>
      <c r="Z40" s="449"/>
      <c r="AA40" s="448"/>
      <c r="AB40" s="448" t="s">
        <v>514</v>
      </c>
      <c r="AC40" s="448">
        <v>810000</v>
      </c>
    </row>
    <row r="41" spans="1:47" ht="45" customHeight="1">
      <c r="A41" s="448">
        <f t="shared" si="7"/>
        <v>37</v>
      </c>
      <c r="B41" s="448">
        <v>2071</v>
      </c>
      <c r="C41" s="448" t="s">
        <v>275</v>
      </c>
      <c r="D41" s="449">
        <f>300000-21920</f>
        <v>278080</v>
      </c>
      <c r="E41" s="449">
        <v>300000</v>
      </c>
      <c r="F41" s="449">
        <f t="shared" si="0"/>
        <v>-21920</v>
      </c>
      <c r="G41" s="449">
        <v>300000</v>
      </c>
      <c r="H41" s="449">
        <v>278080</v>
      </c>
      <c r="I41" s="449">
        <v>0</v>
      </c>
      <c r="J41" s="449">
        <v>0</v>
      </c>
      <c r="K41" s="449">
        <f t="shared" si="1"/>
        <v>0</v>
      </c>
      <c r="L41" s="449">
        <f t="shared" si="2"/>
        <v>278080</v>
      </c>
      <c r="M41" s="449">
        <f>P41+S41-21920</f>
        <v>0</v>
      </c>
      <c r="N41" s="449"/>
      <c r="O41" s="449">
        <f t="shared" si="3"/>
        <v>0</v>
      </c>
      <c r="P41" s="449">
        <f t="shared" si="4"/>
        <v>21920</v>
      </c>
      <c r="Q41" s="482"/>
      <c r="R41" s="449"/>
      <c r="S41" s="449">
        <f t="shared" si="8"/>
        <v>0</v>
      </c>
      <c r="T41" s="449">
        <f t="shared" si="5"/>
        <v>21920</v>
      </c>
      <c r="U41" s="449">
        <f t="shared" si="6"/>
        <v>-21920</v>
      </c>
      <c r="V41" s="449"/>
      <c r="W41" s="449">
        <f t="shared" si="11"/>
        <v>20986</v>
      </c>
      <c r="X41" s="449"/>
      <c r="Y41" s="449"/>
      <c r="Z41" s="449"/>
      <c r="AA41" s="449">
        <v>-42906</v>
      </c>
      <c r="AB41" s="448" t="s">
        <v>388</v>
      </c>
      <c r="AC41" s="448">
        <v>810000</v>
      </c>
    </row>
    <row r="42" spans="1:47" s="5" customFormat="1" ht="45" customHeight="1">
      <c r="A42" s="3">
        <f t="shared" si="7"/>
        <v>38</v>
      </c>
      <c r="B42" s="448">
        <v>2091</v>
      </c>
      <c r="C42" s="3" t="s">
        <v>277</v>
      </c>
      <c r="D42" s="4">
        <v>1360000</v>
      </c>
      <c r="E42" s="4">
        <v>1360000</v>
      </c>
      <c r="F42" s="4">
        <f t="shared" si="0"/>
        <v>0</v>
      </c>
      <c r="G42" s="4">
        <v>400000</v>
      </c>
      <c r="H42" s="4">
        <f>160057-57</f>
        <v>160000</v>
      </c>
      <c r="I42" s="4"/>
      <c r="J42" s="4"/>
      <c r="K42" s="4">
        <f t="shared" si="1"/>
        <v>0</v>
      </c>
      <c r="L42" s="4">
        <f t="shared" si="2"/>
        <v>160000</v>
      </c>
      <c r="M42" s="4">
        <f>P42+S42-80000*3</f>
        <v>0</v>
      </c>
      <c r="N42" s="4"/>
      <c r="O42" s="4">
        <f>D42-M42-N42-L42</f>
        <v>1200000</v>
      </c>
      <c r="P42" s="4">
        <f t="shared" si="4"/>
        <v>240000</v>
      </c>
      <c r="Q42" s="355"/>
      <c r="R42" s="4"/>
      <c r="S42" s="4">
        <f>SUM(Q42:R42)</f>
        <v>0</v>
      </c>
      <c r="T42" s="4">
        <f t="shared" si="5"/>
        <v>240000</v>
      </c>
      <c r="U42" s="4">
        <f t="shared" si="6"/>
        <v>-240000</v>
      </c>
      <c r="V42" s="4"/>
      <c r="W42" s="449">
        <f t="shared" si="11"/>
        <v>0</v>
      </c>
      <c r="X42" s="4"/>
      <c r="Y42" s="4"/>
      <c r="Z42" s="4"/>
      <c r="AA42" s="274">
        <v>-240000</v>
      </c>
      <c r="AB42" s="3" t="s">
        <v>1440</v>
      </c>
      <c r="AC42" s="3">
        <v>810000</v>
      </c>
      <c r="AD42" s="756"/>
      <c r="AE42" s="756"/>
      <c r="AF42" s="756"/>
      <c r="AG42" s="756"/>
      <c r="AH42" s="756"/>
      <c r="AI42" s="756"/>
      <c r="AJ42" s="756"/>
      <c r="AK42" s="756"/>
      <c r="AL42" s="756"/>
      <c r="AM42" s="756"/>
      <c r="AN42" s="756"/>
      <c r="AO42" s="756"/>
      <c r="AP42" s="756"/>
      <c r="AQ42" s="16"/>
      <c r="AR42" s="16"/>
      <c r="AS42" s="16"/>
      <c r="AT42" s="16"/>
      <c r="AU42" s="16"/>
    </row>
    <row r="43" spans="1:47" ht="45" customHeight="1">
      <c r="A43" s="3">
        <f t="shared" si="7"/>
        <v>39</v>
      </c>
      <c r="B43" s="448">
        <v>2095</v>
      </c>
      <c r="C43" s="448" t="s">
        <v>272</v>
      </c>
      <c r="D43" s="449">
        <v>210000</v>
      </c>
      <c r="E43" s="449">
        <v>210000</v>
      </c>
      <c r="F43" s="449">
        <f t="shared" si="0"/>
        <v>0</v>
      </c>
      <c r="G43" s="449">
        <v>160000</v>
      </c>
      <c r="H43" s="449">
        <v>114953</v>
      </c>
      <c r="I43" s="449">
        <v>0</v>
      </c>
      <c r="J43" s="449">
        <v>29835</v>
      </c>
      <c r="K43" s="449">
        <f t="shared" si="1"/>
        <v>29835</v>
      </c>
      <c r="L43" s="449">
        <f t="shared" si="2"/>
        <v>144788</v>
      </c>
      <c r="M43" s="449">
        <f>P43+S43-60000</f>
        <v>5212</v>
      </c>
      <c r="N43" s="449">
        <v>60000</v>
      </c>
      <c r="O43" s="449">
        <f t="shared" si="3"/>
        <v>0</v>
      </c>
      <c r="P43" s="449">
        <f t="shared" si="4"/>
        <v>15212</v>
      </c>
      <c r="Q43" s="482">
        <v>50000</v>
      </c>
      <c r="R43" s="449"/>
      <c r="S43" s="449">
        <f t="shared" si="8"/>
        <v>50000</v>
      </c>
      <c r="T43" s="449">
        <f t="shared" si="5"/>
        <v>60000</v>
      </c>
      <c r="U43" s="449">
        <f t="shared" si="6"/>
        <v>0</v>
      </c>
      <c r="V43" s="449"/>
      <c r="W43" s="449">
        <f t="shared" si="11"/>
        <v>0</v>
      </c>
      <c r="X43" s="449"/>
      <c r="Y43" s="449"/>
      <c r="Z43" s="449"/>
      <c r="AA43" s="448"/>
      <c r="AB43" s="448" t="s">
        <v>515</v>
      </c>
      <c r="AC43" s="448">
        <v>610000</v>
      </c>
    </row>
    <row r="44" spans="1:47" ht="45" customHeight="1">
      <c r="A44" s="448">
        <f t="shared" si="7"/>
        <v>40</v>
      </c>
      <c r="B44" s="448">
        <v>2131</v>
      </c>
      <c r="C44" s="448" t="s">
        <v>418</v>
      </c>
      <c r="D44" s="449">
        <v>7500000</v>
      </c>
      <c r="E44" s="449">
        <v>7500000</v>
      </c>
      <c r="F44" s="449">
        <f t="shared" si="0"/>
        <v>0</v>
      </c>
      <c r="G44" s="449">
        <v>4020000</v>
      </c>
      <c r="H44" s="449">
        <v>3818396</v>
      </c>
      <c r="I44" s="449">
        <v>0</v>
      </c>
      <c r="J44" s="449">
        <v>178564</v>
      </c>
      <c r="K44" s="449">
        <f t="shared" si="1"/>
        <v>178564</v>
      </c>
      <c r="L44" s="449">
        <f t="shared" si="2"/>
        <v>3996960</v>
      </c>
      <c r="M44" s="449">
        <f>P44+S44-20000</f>
        <v>3040</v>
      </c>
      <c r="N44" s="449">
        <v>20000</v>
      </c>
      <c r="O44" s="449">
        <f t="shared" si="3"/>
        <v>3480000</v>
      </c>
      <c r="P44" s="449">
        <f t="shared" si="4"/>
        <v>23040</v>
      </c>
      <c r="Q44" s="482"/>
      <c r="R44" s="449"/>
      <c r="S44" s="449">
        <f t="shared" si="8"/>
        <v>0</v>
      </c>
      <c r="T44" s="449">
        <f t="shared" si="5"/>
        <v>20000</v>
      </c>
      <c r="U44" s="449">
        <f t="shared" si="6"/>
        <v>0</v>
      </c>
      <c r="V44" s="449"/>
      <c r="W44" s="449">
        <f t="shared" si="11"/>
        <v>1520000</v>
      </c>
      <c r="X44" s="449"/>
      <c r="Y44" s="449"/>
      <c r="Z44" s="449"/>
      <c r="AA44" s="449">
        <v>-1520000</v>
      </c>
      <c r="AB44" s="448" t="s">
        <v>552</v>
      </c>
      <c r="AC44" s="448">
        <v>870000</v>
      </c>
    </row>
    <row r="45" spans="1:47" s="315" customFormat="1" ht="45" customHeight="1">
      <c r="A45" s="448">
        <f t="shared" si="7"/>
        <v>41</v>
      </c>
      <c r="B45" s="448">
        <v>2133</v>
      </c>
      <c r="C45" s="448" t="s">
        <v>376</v>
      </c>
      <c r="D45" s="449">
        <v>5150000</v>
      </c>
      <c r="E45" s="449">
        <v>5150000</v>
      </c>
      <c r="F45" s="449">
        <f t="shared" si="0"/>
        <v>0</v>
      </c>
      <c r="G45" s="449">
        <v>2950000</v>
      </c>
      <c r="H45" s="449">
        <v>2669254</v>
      </c>
      <c r="I45" s="449">
        <v>0</v>
      </c>
      <c r="J45" s="449"/>
      <c r="K45" s="449">
        <f t="shared" si="1"/>
        <v>0</v>
      </c>
      <c r="L45" s="449">
        <f t="shared" si="2"/>
        <v>2669254</v>
      </c>
      <c r="M45" s="449">
        <f>P45+S45-270000-10000</f>
        <v>746</v>
      </c>
      <c r="N45" s="449">
        <f>500000+270000-100000+10000</f>
        <v>680000</v>
      </c>
      <c r="O45" s="449">
        <f t="shared" si="3"/>
        <v>1800000</v>
      </c>
      <c r="P45" s="449">
        <f t="shared" si="4"/>
        <v>280746</v>
      </c>
      <c r="Q45" s="449"/>
      <c r="R45" s="449"/>
      <c r="S45" s="449">
        <f t="shared" si="8"/>
        <v>0</v>
      </c>
      <c r="T45" s="449">
        <f t="shared" si="5"/>
        <v>280000</v>
      </c>
      <c r="U45" s="449">
        <f t="shared" si="6"/>
        <v>400000</v>
      </c>
      <c r="V45" s="449"/>
      <c r="W45" s="449">
        <f t="shared" si="11"/>
        <v>400000</v>
      </c>
      <c r="X45" s="449"/>
      <c r="Y45" s="449"/>
      <c r="Z45" s="449"/>
      <c r="AA45" s="448"/>
      <c r="AB45" s="448" t="s">
        <v>894</v>
      </c>
      <c r="AC45" s="448">
        <v>930000</v>
      </c>
      <c r="AD45" s="756"/>
      <c r="AE45" s="756"/>
      <c r="AF45" s="756"/>
      <c r="AG45" s="756"/>
      <c r="AH45" s="756"/>
      <c r="AI45" s="756"/>
      <c r="AJ45" s="756"/>
      <c r="AK45" s="756"/>
      <c r="AL45" s="756"/>
      <c r="AM45" s="756"/>
      <c r="AN45" s="756"/>
      <c r="AO45" s="756"/>
      <c r="AP45" s="756"/>
      <c r="AQ45"/>
    </row>
    <row r="46" spans="1:47" ht="45" customHeight="1">
      <c r="A46" s="448">
        <f t="shared" si="7"/>
        <v>42</v>
      </c>
      <c r="B46" s="448">
        <v>2137</v>
      </c>
      <c r="C46" s="448" t="s">
        <v>378</v>
      </c>
      <c r="D46" s="449">
        <v>50000</v>
      </c>
      <c r="E46" s="449">
        <v>50000</v>
      </c>
      <c r="F46" s="449">
        <f t="shared" si="0"/>
        <v>0</v>
      </c>
      <c r="G46" s="449">
        <v>50000</v>
      </c>
      <c r="H46" s="449">
        <v>49966</v>
      </c>
      <c r="I46" s="449">
        <v>0</v>
      </c>
      <c r="J46" s="449">
        <v>0</v>
      </c>
      <c r="K46" s="449">
        <f t="shared" si="1"/>
        <v>0</v>
      </c>
      <c r="L46" s="449">
        <f t="shared" si="2"/>
        <v>49966</v>
      </c>
      <c r="M46" s="449">
        <f t="shared" si="10"/>
        <v>34</v>
      </c>
      <c r="N46" s="449"/>
      <c r="O46" s="449">
        <f t="shared" si="3"/>
        <v>0</v>
      </c>
      <c r="P46" s="449">
        <f t="shared" si="4"/>
        <v>34</v>
      </c>
      <c r="Q46" s="482"/>
      <c r="R46" s="449"/>
      <c r="S46" s="449">
        <f t="shared" si="8"/>
        <v>0</v>
      </c>
      <c r="T46" s="449">
        <f t="shared" si="5"/>
        <v>0</v>
      </c>
      <c r="U46" s="449">
        <f t="shared" si="6"/>
        <v>0</v>
      </c>
      <c r="V46" s="449"/>
      <c r="W46" s="449">
        <f t="shared" si="11"/>
        <v>0</v>
      </c>
      <c r="X46" s="449"/>
      <c r="Y46" s="449"/>
      <c r="Z46" s="449"/>
      <c r="AA46" s="448"/>
      <c r="AB46" s="448" t="s">
        <v>1443</v>
      </c>
      <c r="AC46" s="448">
        <v>747000</v>
      </c>
    </row>
    <row r="47" spans="1:47" ht="45" customHeight="1">
      <c r="A47" s="448">
        <f t="shared" si="7"/>
        <v>43</v>
      </c>
      <c r="B47" s="448">
        <v>2140</v>
      </c>
      <c r="C47" s="448" t="s">
        <v>430</v>
      </c>
      <c r="D47" s="449">
        <v>360000</v>
      </c>
      <c r="E47" s="449">
        <v>360000</v>
      </c>
      <c r="F47" s="449">
        <f t="shared" si="0"/>
        <v>0</v>
      </c>
      <c r="G47" s="449">
        <v>360000</v>
      </c>
      <c r="H47" s="449">
        <v>283122</v>
      </c>
      <c r="I47" s="449">
        <v>0</v>
      </c>
      <c r="J47" s="449">
        <v>0</v>
      </c>
      <c r="K47" s="449">
        <f t="shared" si="1"/>
        <v>0</v>
      </c>
      <c r="L47" s="449">
        <f t="shared" si="2"/>
        <v>283122</v>
      </c>
      <c r="M47" s="449">
        <f>P47+S47-76878</f>
        <v>0</v>
      </c>
      <c r="N47" s="449"/>
      <c r="O47" s="449">
        <f t="shared" si="3"/>
        <v>76878</v>
      </c>
      <c r="P47" s="449">
        <f t="shared" si="4"/>
        <v>76878</v>
      </c>
      <c r="Q47" s="482"/>
      <c r="R47" s="449"/>
      <c r="S47" s="449">
        <f t="shared" si="8"/>
        <v>0</v>
      </c>
      <c r="T47" s="449">
        <f t="shared" si="5"/>
        <v>76878</v>
      </c>
      <c r="U47" s="449">
        <f t="shared" si="6"/>
        <v>-76878</v>
      </c>
      <c r="V47" s="449"/>
      <c r="W47" s="449">
        <f t="shared" si="11"/>
        <v>0</v>
      </c>
      <c r="X47" s="449"/>
      <c r="Y47" s="449"/>
      <c r="Z47" s="449"/>
      <c r="AA47" s="449">
        <v>-76878</v>
      </c>
      <c r="AB47" s="448" t="s">
        <v>1444</v>
      </c>
      <c r="AC47" s="448">
        <v>810000</v>
      </c>
    </row>
    <row r="48" spans="1:47" ht="45" customHeight="1">
      <c r="A48" s="448">
        <f t="shared" si="7"/>
        <v>44</v>
      </c>
      <c r="B48" s="448">
        <v>2154</v>
      </c>
      <c r="C48" s="448" t="s">
        <v>431</v>
      </c>
      <c r="D48" s="449">
        <v>10500000</v>
      </c>
      <c r="E48" s="449">
        <v>10500000</v>
      </c>
      <c r="F48" s="449">
        <f t="shared" si="0"/>
        <v>0</v>
      </c>
      <c r="G48" s="449">
        <v>750000</v>
      </c>
      <c r="H48" s="449">
        <v>636412</v>
      </c>
      <c r="I48" s="449">
        <v>0</v>
      </c>
      <c r="J48" s="449">
        <v>33221</v>
      </c>
      <c r="K48" s="449">
        <f t="shared" si="1"/>
        <v>33221</v>
      </c>
      <c r="L48" s="449">
        <f t="shared" si="2"/>
        <v>669633</v>
      </c>
      <c r="M48" s="449">
        <f>P48+S48-80000</f>
        <v>367</v>
      </c>
      <c r="N48" s="449"/>
      <c r="O48" s="449">
        <f t="shared" si="3"/>
        <v>9830000</v>
      </c>
      <c r="P48" s="449">
        <f t="shared" si="4"/>
        <v>80367</v>
      </c>
      <c r="Q48" s="482"/>
      <c r="R48" s="449"/>
      <c r="S48" s="449">
        <f t="shared" si="8"/>
        <v>0</v>
      </c>
      <c r="T48" s="449">
        <f t="shared" si="5"/>
        <v>80000</v>
      </c>
      <c r="U48" s="449">
        <f t="shared" si="6"/>
        <v>-80000</v>
      </c>
      <c r="V48" s="449"/>
      <c r="W48" s="449">
        <f t="shared" si="11"/>
        <v>-80000</v>
      </c>
      <c r="X48" s="449"/>
      <c r="Y48" s="449"/>
      <c r="Z48" s="449"/>
      <c r="AA48" s="448"/>
      <c r="AB48" s="448" t="s">
        <v>1518</v>
      </c>
      <c r="AC48" s="448">
        <v>870000</v>
      </c>
    </row>
    <row r="49" spans="1:49" s="315" customFormat="1" ht="45" customHeight="1">
      <c r="A49" s="448">
        <f t="shared" si="7"/>
        <v>45</v>
      </c>
      <c r="B49" s="448">
        <v>2156</v>
      </c>
      <c r="C49" s="448" t="s">
        <v>979</v>
      </c>
      <c r="D49" s="449">
        <v>2700000</v>
      </c>
      <c r="E49" s="449">
        <v>2700000</v>
      </c>
      <c r="F49" s="449">
        <f t="shared" si="0"/>
        <v>0</v>
      </c>
      <c r="G49" s="449">
        <v>800000</v>
      </c>
      <c r="H49" s="449">
        <v>656759</v>
      </c>
      <c r="I49" s="449">
        <v>0</v>
      </c>
      <c r="J49" s="449">
        <v>89163</v>
      </c>
      <c r="K49" s="449">
        <f t="shared" si="1"/>
        <v>89163</v>
      </c>
      <c r="L49" s="449">
        <f t="shared" si="2"/>
        <v>745922</v>
      </c>
      <c r="M49" s="449">
        <f>P49+S49-54000</f>
        <v>78</v>
      </c>
      <c r="N49" s="449">
        <f>750000-50000-400000+54000</f>
        <v>354000</v>
      </c>
      <c r="O49" s="449">
        <f t="shared" si="3"/>
        <v>1600000</v>
      </c>
      <c r="P49" s="449">
        <f t="shared" si="4"/>
        <v>54078</v>
      </c>
      <c r="Q49" s="449"/>
      <c r="R49" s="449"/>
      <c r="S49" s="449">
        <f t="shared" si="8"/>
        <v>0</v>
      </c>
      <c r="T49" s="449">
        <f t="shared" si="5"/>
        <v>54000</v>
      </c>
      <c r="U49" s="449">
        <f t="shared" si="6"/>
        <v>300000</v>
      </c>
      <c r="V49" s="449"/>
      <c r="W49" s="449">
        <f t="shared" si="11"/>
        <v>300000</v>
      </c>
      <c r="X49" s="449"/>
      <c r="Y49" s="449"/>
      <c r="Z49" s="449"/>
      <c r="AA49" s="448"/>
      <c r="AB49" s="448" t="s">
        <v>1373</v>
      </c>
      <c r="AC49" s="448">
        <v>720000</v>
      </c>
      <c r="AD49" s="756"/>
      <c r="AE49" s="756"/>
      <c r="AF49" s="756"/>
      <c r="AG49" s="756"/>
      <c r="AH49" s="756"/>
      <c r="AI49" s="756"/>
      <c r="AJ49" s="756"/>
      <c r="AK49" s="756"/>
      <c r="AL49" s="756"/>
      <c r="AM49" s="756"/>
      <c r="AN49" s="756"/>
      <c r="AO49" s="756"/>
      <c r="AP49" s="756"/>
      <c r="AQ49"/>
    </row>
    <row r="50" spans="1:49" ht="45" customHeight="1">
      <c r="A50" s="448">
        <f t="shared" si="7"/>
        <v>46</v>
      </c>
      <c r="B50" s="448">
        <v>2157</v>
      </c>
      <c r="C50" s="448" t="s">
        <v>432</v>
      </c>
      <c r="D50" s="449">
        <v>5200000</v>
      </c>
      <c r="E50" s="449">
        <v>5200000</v>
      </c>
      <c r="F50" s="449">
        <f t="shared" si="0"/>
        <v>0</v>
      </c>
      <c r="G50" s="449">
        <v>470000</v>
      </c>
      <c r="H50" s="449">
        <v>98625</v>
      </c>
      <c r="I50" s="449">
        <v>0</v>
      </c>
      <c r="J50" s="449">
        <v>210104</v>
      </c>
      <c r="K50" s="449">
        <f t="shared" si="1"/>
        <v>210104</v>
      </c>
      <c r="L50" s="449">
        <f t="shared" si="2"/>
        <v>308729</v>
      </c>
      <c r="M50" s="449">
        <f>P50+S50-200000+40000</f>
        <v>1271</v>
      </c>
      <c r="N50" s="449"/>
      <c r="O50" s="449">
        <f t="shared" si="3"/>
        <v>4890000</v>
      </c>
      <c r="P50" s="449">
        <f t="shared" si="4"/>
        <v>161271</v>
      </c>
      <c r="Q50" s="482"/>
      <c r="R50" s="449"/>
      <c r="S50" s="449">
        <f t="shared" si="8"/>
        <v>0</v>
      </c>
      <c r="T50" s="449">
        <f t="shared" si="5"/>
        <v>160000</v>
      </c>
      <c r="U50" s="449">
        <f t="shared" si="6"/>
        <v>-160000</v>
      </c>
      <c r="V50" s="449"/>
      <c r="W50" s="449">
        <f t="shared" si="11"/>
        <v>-160000</v>
      </c>
      <c r="X50" s="449"/>
      <c r="Y50" s="449"/>
      <c r="Z50" s="449"/>
      <c r="AA50" s="448"/>
      <c r="AB50" s="448" t="s">
        <v>1519</v>
      </c>
      <c r="AC50" s="448">
        <v>810000</v>
      </c>
    </row>
    <row r="51" spans="1:49" s="5" customFormat="1" ht="50.4" customHeight="1">
      <c r="A51" s="3">
        <f t="shared" si="7"/>
        <v>47</v>
      </c>
      <c r="B51" s="448">
        <v>2160</v>
      </c>
      <c r="C51" s="3" t="s">
        <v>391</v>
      </c>
      <c r="D51" s="4">
        <v>210000</v>
      </c>
      <c r="E51" s="4">
        <v>210000</v>
      </c>
      <c r="F51" s="4">
        <f t="shared" si="0"/>
        <v>0</v>
      </c>
      <c r="G51" s="4">
        <v>210000</v>
      </c>
      <c r="H51" s="4">
        <v>0</v>
      </c>
      <c r="I51" s="4"/>
      <c r="J51" s="4"/>
      <c r="K51" s="4">
        <f t="shared" si="1"/>
        <v>0</v>
      </c>
      <c r="L51" s="4">
        <f t="shared" si="2"/>
        <v>0</v>
      </c>
      <c r="M51" s="4">
        <f>P51+S51-210000</f>
        <v>0</v>
      </c>
      <c r="N51" s="4"/>
      <c r="O51" s="4">
        <f>D51-M51-N51-L51</f>
        <v>210000</v>
      </c>
      <c r="P51" s="4">
        <f t="shared" si="4"/>
        <v>210000</v>
      </c>
      <c r="Q51" s="355"/>
      <c r="R51" s="4"/>
      <c r="S51" s="4">
        <f>SUM(Q51:R51)</f>
        <v>0</v>
      </c>
      <c r="T51" s="4">
        <f t="shared" si="5"/>
        <v>210000</v>
      </c>
      <c r="U51" s="4">
        <f t="shared" si="6"/>
        <v>-210000</v>
      </c>
      <c r="V51" s="4"/>
      <c r="W51" s="449">
        <f t="shared" si="11"/>
        <v>-210000</v>
      </c>
      <c r="X51" s="4"/>
      <c r="Y51" s="4"/>
      <c r="Z51" s="4"/>
      <c r="AA51" s="274"/>
      <c r="AB51" s="3" t="s">
        <v>1445</v>
      </c>
      <c r="AC51" s="3">
        <v>810000</v>
      </c>
      <c r="AD51" s="756"/>
      <c r="AE51" s="756"/>
      <c r="AF51" s="756"/>
      <c r="AG51" s="756"/>
      <c r="AH51" s="756"/>
      <c r="AI51" s="756"/>
      <c r="AJ51" s="756"/>
      <c r="AK51" s="756"/>
      <c r="AL51" s="756"/>
      <c r="AM51" s="756"/>
      <c r="AN51" s="756"/>
      <c r="AO51" s="756"/>
      <c r="AP51" s="756"/>
      <c r="AQ51" s="16"/>
      <c r="AR51" s="16"/>
      <c r="AS51" s="16"/>
      <c r="AT51" s="16"/>
      <c r="AU51" s="16"/>
    </row>
    <row r="52" spans="1:49" ht="45" customHeight="1">
      <c r="A52" s="3">
        <f t="shared" si="7"/>
        <v>48</v>
      </c>
      <c r="B52" s="448">
        <v>2165</v>
      </c>
      <c r="C52" s="448" t="s">
        <v>604</v>
      </c>
      <c r="D52" s="449">
        <v>1600000</v>
      </c>
      <c r="E52" s="449">
        <v>1600000</v>
      </c>
      <c r="F52" s="449">
        <f t="shared" si="0"/>
        <v>0</v>
      </c>
      <c r="G52" s="449">
        <v>0</v>
      </c>
      <c r="H52" s="449">
        <v>0</v>
      </c>
      <c r="I52" s="449">
        <v>0</v>
      </c>
      <c r="J52" s="449">
        <v>0</v>
      </c>
      <c r="K52" s="449">
        <f t="shared" si="1"/>
        <v>0</v>
      </c>
      <c r="L52" s="449">
        <f t="shared" si="2"/>
        <v>0</v>
      </c>
      <c r="M52" s="449">
        <f t="shared" si="10"/>
        <v>0</v>
      </c>
      <c r="N52" s="449"/>
      <c r="O52" s="449">
        <f t="shared" si="3"/>
        <v>1600000</v>
      </c>
      <c r="P52" s="449">
        <f t="shared" si="4"/>
        <v>0</v>
      </c>
      <c r="Q52" s="482"/>
      <c r="R52" s="449"/>
      <c r="S52" s="449">
        <f t="shared" si="8"/>
        <v>0</v>
      </c>
      <c r="T52" s="449">
        <f t="shared" si="5"/>
        <v>0</v>
      </c>
      <c r="U52" s="449">
        <f t="shared" si="6"/>
        <v>0</v>
      </c>
      <c r="V52" s="449"/>
      <c r="W52" s="449">
        <f t="shared" si="11"/>
        <v>0</v>
      </c>
      <c r="X52" s="449"/>
      <c r="Y52" s="449"/>
      <c r="Z52" s="449"/>
      <c r="AA52" s="448"/>
      <c r="AB52" s="448" t="s">
        <v>738</v>
      </c>
      <c r="AC52" s="448">
        <v>746000</v>
      </c>
    </row>
    <row r="53" spans="1:49" ht="45" customHeight="1">
      <c r="A53" s="448">
        <f t="shared" si="7"/>
        <v>49</v>
      </c>
      <c r="B53" s="448">
        <v>2166</v>
      </c>
      <c r="C53" s="448" t="s">
        <v>399</v>
      </c>
      <c r="D53" s="449">
        <f>500000+2205000+3495000</f>
        <v>6200000</v>
      </c>
      <c r="E53" s="449">
        <v>500000</v>
      </c>
      <c r="F53" s="449">
        <f t="shared" si="0"/>
        <v>5700000</v>
      </c>
      <c r="G53" s="449">
        <v>0</v>
      </c>
      <c r="H53" s="449">
        <v>0</v>
      </c>
      <c r="I53" s="449">
        <v>0</v>
      </c>
      <c r="J53" s="449">
        <v>0</v>
      </c>
      <c r="K53" s="449">
        <f t="shared" si="1"/>
        <v>0</v>
      </c>
      <c r="L53" s="449">
        <f t="shared" si="2"/>
        <v>0</v>
      </c>
      <c r="M53" s="449">
        <f t="shared" si="10"/>
        <v>0</v>
      </c>
      <c r="N53" s="449">
        <f>2705000+3495000-4200000-2000000</f>
        <v>0</v>
      </c>
      <c r="O53" s="449">
        <f t="shared" si="3"/>
        <v>6200000</v>
      </c>
      <c r="P53" s="449">
        <f t="shared" si="4"/>
        <v>0</v>
      </c>
      <c r="Q53" s="482"/>
      <c r="R53" s="449"/>
      <c r="S53" s="449">
        <f t="shared" si="8"/>
        <v>0</v>
      </c>
      <c r="T53" s="449">
        <f t="shared" si="5"/>
        <v>0</v>
      </c>
      <c r="U53" s="449">
        <f t="shared" si="6"/>
        <v>0</v>
      </c>
      <c r="V53" s="449"/>
      <c r="W53" s="449">
        <f t="shared" si="11"/>
        <v>0</v>
      </c>
      <c r="X53" s="449"/>
      <c r="Y53" s="449"/>
      <c r="Z53" s="449"/>
      <c r="AA53" s="448"/>
      <c r="AB53" s="448" t="s">
        <v>980</v>
      </c>
      <c r="AC53" s="448">
        <v>746000</v>
      </c>
    </row>
    <row r="54" spans="1:49" ht="52.95" customHeight="1">
      <c r="A54" s="448">
        <f t="shared" si="7"/>
        <v>50</v>
      </c>
      <c r="B54" s="448">
        <v>2167</v>
      </c>
      <c r="C54" s="448" t="s">
        <v>400</v>
      </c>
      <c r="D54" s="449">
        <v>1400000</v>
      </c>
      <c r="E54" s="449">
        <v>1400000</v>
      </c>
      <c r="F54" s="449">
        <f t="shared" si="0"/>
        <v>0</v>
      </c>
      <c r="G54" s="449">
        <v>100000</v>
      </c>
      <c r="H54" s="449">
        <v>94686</v>
      </c>
      <c r="I54" s="449">
        <v>0</v>
      </c>
      <c r="J54" s="449"/>
      <c r="K54" s="449">
        <f t="shared" si="1"/>
        <v>0</v>
      </c>
      <c r="L54" s="449">
        <f t="shared" si="2"/>
        <v>94686</v>
      </c>
      <c r="M54" s="449">
        <f>P54+S54-5000</f>
        <v>314</v>
      </c>
      <c r="N54" s="449">
        <f>100000-50000+5000</f>
        <v>55000</v>
      </c>
      <c r="O54" s="449">
        <f t="shared" si="3"/>
        <v>1250000</v>
      </c>
      <c r="P54" s="449">
        <f t="shared" si="4"/>
        <v>5314</v>
      </c>
      <c r="Q54" s="482"/>
      <c r="R54" s="449"/>
      <c r="S54" s="449">
        <f t="shared" si="8"/>
        <v>0</v>
      </c>
      <c r="T54" s="449">
        <f t="shared" si="5"/>
        <v>5000</v>
      </c>
      <c r="U54" s="449">
        <f t="shared" si="6"/>
        <v>50000</v>
      </c>
      <c r="V54" s="449"/>
      <c r="W54" s="449">
        <f t="shared" si="11"/>
        <v>50000</v>
      </c>
      <c r="X54" s="449"/>
      <c r="Y54" s="449"/>
      <c r="Z54" s="449"/>
      <c r="AA54" s="448"/>
      <c r="AB54" s="448" t="s">
        <v>845</v>
      </c>
      <c r="AC54" s="448">
        <v>742000</v>
      </c>
    </row>
    <row r="55" spans="1:49" ht="45" customHeight="1">
      <c r="A55" s="448">
        <f t="shared" si="7"/>
        <v>51</v>
      </c>
      <c r="B55" s="448">
        <v>2177</v>
      </c>
      <c r="C55" s="448" t="s">
        <v>577</v>
      </c>
      <c r="D55" s="449">
        <v>12500000</v>
      </c>
      <c r="E55" s="449">
        <v>12500000</v>
      </c>
      <c r="F55" s="449">
        <f t="shared" si="0"/>
        <v>0</v>
      </c>
      <c r="G55" s="449">
        <v>12500000</v>
      </c>
      <c r="H55" s="449">
        <v>12273451</v>
      </c>
      <c r="I55" s="449">
        <v>0</v>
      </c>
      <c r="J55" s="449"/>
      <c r="K55" s="449">
        <f t="shared" si="1"/>
        <v>0</v>
      </c>
      <c r="L55" s="449">
        <f t="shared" si="2"/>
        <v>12273451</v>
      </c>
      <c r="M55" s="449">
        <f>P55+S55-226549</f>
        <v>0</v>
      </c>
      <c r="N55" s="449">
        <v>226549</v>
      </c>
      <c r="O55" s="449">
        <f t="shared" si="3"/>
        <v>0</v>
      </c>
      <c r="P55" s="449">
        <f t="shared" si="4"/>
        <v>226549</v>
      </c>
      <c r="Q55" s="482"/>
      <c r="R55" s="449"/>
      <c r="S55" s="449">
        <f t="shared" si="8"/>
        <v>0</v>
      </c>
      <c r="T55" s="449">
        <f t="shared" si="5"/>
        <v>226549</v>
      </c>
      <c r="U55" s="449">
        <f t="shared" si="6"/>
        <v>0</v>
      </c>
      <c r="V55" s="449"/>
      <c r="W55" s="449">
        <f t="shared" si="11"/>
        <v>0</v>
      </c>
      <c r="X55" s="449"/>
      <c r="Y55" s="449"/>
      <c r="Z55" s="449"/>
      <c r="AA55" s="448"/>
      <c r="AB55" s="448" t="s">
        <v>1465</v>
      </c>
      <c r="AC55" s="448">
        <v>810000</v>
      </c>
    </row>
    <row r="56" spans="1:49" ht="45" customHeight="1">
      <c r="A56" s="448">
        <f t="shared" si="7"/>
        <v>52</v>
      </c>
      <c r="B56" s="448">
        <v>2178</v>
      </c>
      <c r="C56" s="448" t="s">
        <v>433</v>
      </c>
      <c r="D56" s="449">
        <v>15700000</v>
      </c>
      <c r="E56" s="449">
        <v>15700000</v>
      </c>
      <c r="F56" s="449">
        <f t="shared" si="0"/>
        <v>0</v>
      </c>
      <c r="G56" s="449">
        <v>1700000</v>
      </c>
      <c r="H56" s="449">
        <v>1659121</v>
      </c>
      <c r="I56" s="449">
        <v>0</v>
      </c>
      <c r="J56" s="449">
        <v>0</v>
      </c>
      <c r="K56" s="449">
        <f t="shared" si="1"/>
        <v>0</v>
      </c>
      <c r="L56" s="449">
        <f t="shared" si="2"/>
        <v>1659121</v>
      </c>
      <c r="M56" s="449">
        <f>P56+S56-40000</f>
        <v>879</v>
      </c>
      <c r="N56" s="449">
        <v>40000</v>
      </c>
      <c r="O56" s="449">
        <f t="shared" si="3"/>
        <v>14000000</v>
      </c>
      <c r="P56" s="449">
        <f t="shared" si="4"/>
        <v>40879</v>
      </c>
      <c r="Q56" s="482"/>
      <c r="R56" s="449"/>
      <c r="S56" s="449">
        <f t="shared" si="8"/>
        <v>0</v>
      </c>
      <c r="T56" s="449">
        <f t="shared" si="5"/>
        <v>40000</v>
      </c>
      <c r="U56" s="449">
        <f t="shared" si="6"/>
        <v>0</v>
      </c>
      <c r="V56" s="449"/>
      <c r="W56" s="449">
        <f t="shared" si="11"/>
        <v>0</v>
      </c>
      <c r="X56" s="449"/>
      <c r="Y56" s="449"/>
      <c r="Z56" s="449"/>
      <c r="AA56" s="448"/>
      <c r="AB56" s="448" t="s">
        <v>981</v>
      </c>
      <c r="AC56" s="448">
        <v>810000</v>
      </c>
    </row>
    <row r="57" spans="1:49" ht="45" customHeight="1">
      <c r="A57" s="448">
        <f>A56+1</f>
        <v>53</v>
      </c>
      <c r="B57" s="448">
        <v>2181</v>
      </c>
      <c r="C57" s="448" t="s">
        <v>434</v>
      </c>
      <c r="D57" s="449">
        <v>1259000</v>
      </c>
      <c r="E57" s="449">
        <v>1259000</v>
      </c>
      <c r="F57" s="449">
        <f t="shared" si="0"/>
        <v>0</v>
      </c>
      <c r="G57" s="449">
        <v>1259000</v>
      </c>
      <c r="H57" s="449">
        <v>1259000</v>
      </c>
      <c r="I57" s="449">
        <v>0</v>
      </c>
      <c r="J57" s="449">
        <v>0</v>
      </c>
      <c r="K57" s="449">
        <f t="shared" si="1"/>
        <v>0</v>
      </c>
      <c r="L57" s="449">
        <f t="shared" si="2"/>
        <v>1259000</v>
      </c>
      <c r="M57" s="449">
        <f t="shared" si="10"/>
        <v>0</v>
      </c>
      <c r="N57" s="449"/>
      <c r="O57" s="449">
        <f t="shared" si="3"/>
        <v>0</v>
      </c>
      <c r="P57" s="449">
        <f t="shared" si="4"/>
        <v>0</v>
      </c>
      <c r="Q57" s="482"/>
      <c r="R57" s="449"/>
      <c r="S57" s="449">
        <f t="shared" si="8"/>
        <v>0</v>
      </c>
      <c r="T57" s="449">
        <f t="shared" si="5"/>
        <v>0</v>
      </c>
      <c r="U57" s="449">
        <f t="shared" si="6"/>
        <v>0</v>
      </c>
      <c r="V57" s="449"/>
      <c r="W57" s="449">
        <f t="shared" si="11"/>
        <v>0</v>
      </c>
      <c r="X57" s="449"/>
      <c r="Y57" s="449"/>
      <c r="Z57" s="449"/>
      <c r="AA57" s="448"/>
      <c r="AB57" s="448" t="s">
        <v>1446</v>
      </c>
      <c r="AC57" s="448">
        <v>747000</v>
      </c>
    </row>
    <row r="58" spans="1:49" ht="45" customHeight="1">
      <c r="A58" s="448">
        <f t="shared" si="7"/>
        <v>54</v>
      </c>
      <c r="B58" s="448">
        <v>2184</v>
      </c>
      <c r="C58" s="448" t="s">
        <v>934</v>
      </c>
      <c r="D58" s="419">
        <f>2180000+315000</f>
        <v>2495000</v>
      </c>
      <c r="E58" s="419">
        <v>2180000</v>
      </c>
      <c r="F58" s="449">
        <f t="shared" si="0"/>
        <v>315000</v>
      </c>
      <c r="G58" s="419">
        <v>560000</v>
      </c>
      <c r="H58" s="419">
        <v>43432</v>
      </c>
      <c r="I58" s="419">
        <v>0</v>
      </c>
      <c r="J58" s="419">
        <v>499979</v>
      </c>
      <c r="K58" s="449">
        <f t="shared" si="1"/>
        <v>499979</v>
      </c>
      <c r="L58" s="449">
        <f t="shared" si="2"/>
        <v>543411</v>
      </c>
      <c r="M58" s="449">
        <f t="shared" si="10"/>
        <v>16589</v>
      </c>
      <c r="N58" s="449">
        <f>1935000-435000</f>
        <v>1500000</v>
      </c>
      <c r="O58" s="449">
        <f t="shared" si="3"/>
        <v>435000</v>
      </c>
      <c r="P58" s="449">
        <f t="shared" si="4"/>
        <v>16589</v>
      </c>
      <c r="Q58" s="482"/>
      <c r="R58" s="449"/>
      <c r="S58" s="449">
        <f t="shared" si="8"/>
        <v>0</v>
      </c>
      <c r="T58" s="449">
        <f t="shared" si="5"/>
        <v>0</v>
      </c>
      <c r="U58" s="449">
        <f t="shared" si="6"/>
        <v>1500000</v>
      </c>
      <c r="V58" s="449">
        <v>1500000</v>
      </c>
      <c r="W58" s="449">
        <f t="shared" si="11"/>
        <v>0</v>
      </c>
      <c r="X58" s="419"/>
      <c r="Y58" s="419"/>
      <c r="Z58" s="419"/>
      <c r="AA58" s="469"/>
      <c r="AB58" s="448" t="s">
        <v>516</v>
      </c>
      <c r="AC58" s="448">
        <v>930000</v>
      </c>
      <c r="AR58" s="487"/>
      <c r="AS58" s="487"/>
      <c r="AT58" s="487"/>
      <c r="AU58" s="487"/>
      <c r="AV58" s="487"/>
      <c r="AW58" s="487"/>
    </row>
    <row r="59" spans="1:49" ht="45" customHeight="1">
      <c r="A59" s="448">
        <f t="shared" si="7"/>
        <v>55</v>
      </c>
      <c r="B59" s="448">
        <v>2187</v>
      </c>
      <c r="C59" s="448" t="s">
        <v>446</v>
      </c>
      <c r="D59" s="449">
        <f>10600000-450000-250000</f>
        <v>9900000</v>
      </c>
      <c r="E59" s="449">
        <v>10600000</v>
      </c>
      <c r="F59" s="449">
        <f t="shared" si="0"/>
        <v>-700000</v>
      </c>
      <c r="G59" s="449">
        <v>10600000</v>
      </c>
      <c r="H59" s="449">
        <v>9895014</v>
      </c>
      <c r="I59" s="449"/>
      <c r="J59" s="449"/>
      <c r="K59" s="449">
        <f t="shared" si="1"/>
        <v>0</v>
      </c>
      <c r="L59" s="449">
        <f t="shared" si="2"/>
        <v>9895014</v>
      </c>
      <c r="M59" s="449">
        <f>P59+S59-200000-50000</f>
        <v>4986</v>
      </c>
      <c r="N59" s="449"/>
      <c r="O59" s="449">
        <f t="shared" si="3"/>
        <v>0</v>
      </c>
      <c r="P59" s="449">
        <f t="shared" si="4"/>
        <v>704986</v>
      </c>
      <c r="Q59" s="482"/>
      <c r="R59" s="449">
        <v>-450000</v>
      </c>
      <c r="S59" s="449">
        <f t="shared" si="8"/>
        <v>-450000</v>
      </c>
      <c r="T59" s="449">
        <f t="shared" si="5"/>
        <v>250000</v>
      </c>
      <c r="U59" s="449">
        <f t="shared" si="6"/>
        <v>-250000</v>
      </c>
      <c r="V59" s="449"/>
      <c r="W59" s="449">
        <f t="shared" si="11"/>
        <v>-250000</v>
      </c>
      <c r="X59" s="449"/>
      <c r="Y59" s="449"/>
      <c r="Z59" s="449"/>
      <c r="AA59" s="448"/>
      <c r="AB59" s="448" t="s">
        <v>1447</v>
      </c>
      <c r="AC59" s="448">
        <v>810000</v>
      </c>
    </row>
    <row r="60" spans="1:49" ht="45" customHeight="1">
      <c r="A60" s="448">
        <f t="shared" si="7"/>
        <v>56</v>
      </c>
      <c r="B60" s="448">
        <v>2211</v>
      </c>
      <c r="C60" s="448" t="s">
        <v>722</v>
      </c>
      <c r="D60" s="449">
        <f>800000-22991</f>
        <v>777009</v>
      </c>
      <c r="E60" s="449">
        <v>800000</v>
      </c>
      <c r="F60" s="449">
        <f t="shared" si="0"/>
        <v>-22991</v>
      </c>
      <c r="G60" s="449">
        <v>800000</v>
      </c>
      <c r="H60" s="449">
        <v>777009</v>
      </c>
      <c r="I60" s="449"/>
      <c r="J60" s="449">
        <v>0</v>
      </c>
      <c r="K60" s="449">
        <f t="shared" si="1"/>
        <v>0</v>
      </c>
      <c r="L60" s="449">
        <f t="shared" si="2"/>
        <v>777009</v>
      </c>
      <c r="M60" s="449">
        <f>P60+S60-22991</f>
        <v>0</v>
      </c>
      <c r="N60" s="449"/>
      <c r="O60" s="449">
        <f t="shared" si="3"/>
        <v>0</v>
      </c>
      <c r="P60" s="449">
        <f t="shared" si="4"/>
        <v>22991</v>
      </c>
      <c r="Q60" s="482"/>
      <c r="R60" s="449"/>
      <c r="S60" s="449">
        <f t="shared" si="8"/>
        <v>0</v>
      </c>
      <c r="T60" s="449">
        <f t="shared" si="5"/>
        <v>22991</v>
      </c>
      <c r="U60" s="449">
        <f t="shared" si="6"/>
        <v>-22991</v>
      </c>
      <c r="V60" s="449"/>
      <c r="W60" s="449">
        <f t="shared" si="11"/>
        <v>-22991</v>
      </c>
      <c r="X60" s="449"/>
      <c r="Y60" s="449"/>
      <c r="Z60" s="449"/>
      <c r="AA60" s="448"/>
      <c r="AB60" s="448" t="s">
        <v>1448</v>
      </c>
      <c r="AC60" s="448">
        <v>810000</v>
      </c>
    </row>
    <row r="61" spans="1:49" ht="45" customHeight="1">
      <c r="A61" s="448">
        <f t="shared" si="7"/>
        <v>57</v>
      </c>
      <c r="B61" s="448">
        <v>2215</v>
      </c>
      <c r="C61" s="448" t="s">
        <v>450</v>
      </c>
      <c r="D61" s="449">
        <v>420000</v>
      </c>
      <c r="E61" s="449">
        <v>420000</v>
      </c>
      <c r="F61" s="449">
        <f t="shared" si="0"/>
        <v>0</v>
      </c>
      <c r="G61" s="449">
        <v>420000</v>
      </c>
      <c r="H61" s="449">
        <v>396410</v>
      </c>
      <c r="I61" s="449">
        <v>0</v>
      </c>
      <c r="J61" s="449">
        <v>0</v>
      </c>
      <c r="K61" s="449">
        <f t="shared" si="1"/>
        <v>0</v>
      </c>
      <c r="L61" s="449">
        <f t="shared" si="2"/>
        <v>396410</v>
      </c>
      <c r="M61" s="449">
        <f>P61+S61-23590</f>
        <v>0</v>
      </c>
      <c r="N61" s="449"/>
      <c r="O61" s="449">
        <f t="shared" si="3"/>
        <v>23590</v>
      </c>
      <c r="P61" s="449">
        <f t="shared" si="4"/>
        <v>23590</v>
      </c>
      <c r="Q61" s="482"/>
      <c r="R61" s="449"/>
      <c r="S61" s="449">
        <f t="shared" si="8"/>
        <v>0</v>
      </c>
      <c r="T61" s="449">
        <f t="shared" si="5"/>
        <v>23590</v>
      </c>
      <c r="U61" s="449">
        <f t="shared" si="6"/>
        <v>-23590</v>
      </c>
      <c r="V61" s="449"/>
      <c r="W61" s="449">
        <f t="shared" si="11"/>
        <v>0</v>
      </c>
      <c r="X61" s="449"/>
      <c r="Y61" s="449"/>
      <c r="Z61" s="449"/>
      <c r="AA61" s="449">
        <v>-23590</v>
      </c>
      <c r="AB61" s="448" t="s">
        <v>1421</v>
      </c>
      <c r="AC61" s="448">
        <v>810000</v>
      </c>
    </row>
    <row r="62" spans="1:49" ht="45" customHeight="1">
      <c r="A62" s="448">
        <f t="shared" si="7"/>
        <v>58</v>
      </c>
      <c r="B62" s="448">
        <v>2216</v>
      </c>
      <c r="C62" s="448" t="s">
        <v>453</v>
      </c>
      <c r="D62" s="449">
        <v>7500000</v>
      </c>
      <c r="E62" s="449">
        <v>7500000</v>
      </c>
      <c r="F62" s="449">
        <f t="shared" si="0"/>
        <v>0</v>
      </c>
      <c r="G62" s="449">
        <v>7500000</v>
      </c>
      <c r="H62" s="449">
        <v>3371250</v>
      </c>
      <c r="I62" s="449">
        <f>1319550</f>
        <v>1319550</v>
      </c>
      <c r="J62" s="449">
        <f>2537270+108977</f>
        <v>2646247</v>
      </c>
      <c r="K62" s="449">
        <f t="shared" si="1"/>
        <v>3965797</v>
      </c>
      <c r="L62" s="449">
        <f t="shared" si="2"/>
        <v>7337047</v>
      </c>
      <c r="M62" s="449">
        <f>P62+S62-160000</f>
        <v>2953</v>
      </c>
      <c r="N62" s="449">
        <f>270000-110000</f>
        <v>160000</v>
      </c>
      <c r="O62" s="449">
        <f t="shared" si="3"/>
        <v>0</v>
      </c>
      <c r="P62" s="449">
        <f t="shared" si="4"/>
        <v>162953</v>
      </c>
      <c r="Q62" s="482"/>
      <c r="R62" s="449"/>
      <c r="S62" s="449">
        <f t="shared" si="8"/>
        <v>0</v>
      </c>
      <c r="T62" s="449">
        <f t="shared" si="5"/>
        <v>160000</v>
      </c>
      <c r="U62" s="449">
        <f t="shared" si="6"/>
        <v>0</v>
      </c>
      <c r="V62" s="449"/>
      <c r="W62" s="449">
        <f t="shared" si="11"/>
        <v>0</v>
      </c>
      <c r="X62" s="449"/>
      <c r="Y62" s="449"/>
      <c r="Z62" s="449"/>
      <c r="AA62" s="448"/>
      <c r="AB62" s="448" t="s">
        <v>454</v>
      </c>
      <c r="AC62" s="448">
        <v>810000</v>
      </c>
    </row>
    <row r="63" spans="1:49" ht="45" customHeight="1">
      <c r="A63" s="448">
        <f t="shared" si="7"/>
        <v>59</v>
      </c>
      <c r="B63" s="448">
        <v>2221</v>
      </c>
      <c r="C63" s="448" t="s">
        <v>460</v>
      </c>
      <c r="D63" s="449">
        <v>91304</v>
      </c>
      <c r="E63" s="449">
        <v>91304</v>
      </c>
      <c r="F63" s="449">
        <f t="shared" si="0"/>
        <v>0</v>
      </c>
      <c r="G63" s="449">
        <v>91304</v>
      </c>
      <c r="H63" s="449">
        <v>91202</v>
      </c>
      <c r="I63" s="449">
        <v>0</v>
      </c>
      <c r="J63" s="449">
        <v>0</v>
      </c>
      <c r="K63" s="449">
        <f t="shared" si="1"/>
        <v>0</v>
      </c>
      <c r="L63" s="449">
        <f t="shared" si="2"/>
        <v>91202</v>
      </c>
      <c r="M63" s="449">
        <f t="shared" si="10"/>
        <v>102</v>
      </c>
      <c r="N63" s="449"/>
      <c r="O63" s="449">
        <f t="shared" si="3"/>
        <v>0</v>
      </c>
      <c r="P63" s="449">
        <f t="shared" si="4"/>
        <v>102</v>
      </c>
      <c r="Q63" s="482"/>
      <c r="R63" s="449"/>
      <c r="S63" s="449">
        <f t="shared" si="8"/>
        <v>0</v>
      </c>
      <c r="T63" s="449">
        <f t="shared" si="5"/>
        <v>0</v>
      </c>
      <c r="U63" s="449">
        <f t="shared" si="6"/>
        <v>0</v>
      </c>
      <c r="V63" s="449"/>
      <c r="W63" s="449">
        <f t="shared" si="11"/>
        <v>0</v>
      </c>
      <c r="X63" s="449"/>
      <c r="Y63" s="449"/>
      <c r="Z63" s="449"/>
      <c r="AA63" s="448"/>
      <c r="AB63" s="448" t="s">
        <v>1439</v>
      </c>
      <c r="AC63" s="448">
        <v>747000</v>
      </c>
    </row>
    <row r="64" spans="1:49" ht="45" customHeight="1">
      <c r="A64" s="448">
        <f t="shared" si="7"/>
        <v>60</v>
      </c>
      <c r="B64" s="448">
        <v>2225</v>
      </c>
      <c r="C64" s="448" t="s">
        <v>450</v>
      </c>
      <c r="D64" s="449">
        <v>150000</v>
      </c>
      <c r="E64" s="449">
        <v>150000</v>
      </c>
      <c r="F64" s="449">
        <f t="shared" si="0"/>
        <v>0</v>
      </c>
      <c r="G64" s="449">
        <v>150000</v>
      </c>
      <c r="H64" s="449">
        <v>73365</v>
      </c>
      <c r="I64" s="449">
        <v>0</v>
      </c>
      <c r="J64" s="449">
        <v>0</v>
      </c>
      <c r="K64" s="449">
        <f t="shared" si="1"/>
        <v>0</v>
      </c>
      <c r="L64" s="449">
        <f t="shared" si="2"/>
        <v>73365</v>
      </c>
      <c r="M64" s="449">
        <f>P64+S64-60000</f>
        <v>16635</v>
      </c>
      <c r="N64" s="449"/>
      <c r="O64" s="449">
        <f t="shared" si="3"/>
        <v>60000</v>
      </c>
      <c r="P64" s="449">
        <f t="shared" si="4"/>
        <v>76635</v>
      </c>
      <c r="Q64" s="482"/>
      <c r="R64" s="449"/>
      <c r="S64" s="449">
        <f t="shared" si="8"/>
        <v>0</v>
      </c>
      <c r="T64" s="449">
        <f t="shared" si="5"/>
        <v>60000</v>
      </c>
      <c r="U64" s="449">
        <f t="shared" si="6"/>
        <v>-60000</v>
      </c>
      <c r="V64" s="449"/>
      <c r="W64" s="449">
        <f t="shared" si="11"/>
        <v>0</v>
      </c>
      <c r="X64" s="449"/>
      <c r="Y64" s="449"/>
      <c r="Z64" s="449"/>
      <c r="AA64" s="449">
        <v>-60000</v>
      </c>
      <c r="AB64" s="448" t="s">
        <v>1420</v>
      </c>
      <c r="AC64" s="448">
        <v>810000</v>
      </c>
    </row>
    <row r="65" spans="1:43" ht="45" customHeight="1">
      <c r="A65" s="448">
        <f t="shared" si="7"/>
        <v>61</v>
      </c>
      <c r="B65" s="448">
        <v>2226</v>
      </c>
      <c r="C65" s="448" t="s">
        <v>570</v>
      </c>
      <c r="D65" s="449">
        <v>91304</v>
      </c>
      <c r="E65" s="449">
        <v>91304</v>
      </c>
      <c r="F65" s="449">
        <f t="shared" si="0"/>
        <v>0</v>
      </c>
      <c r="G65" s="449">
        <v>91304</v>
      </c>
      <c r="H65" s="449">
        <v>76577</v>
      </c>
      <c r="I65" s="449">
        <v>0</v>
      </c>
      <c r="J65" s="449">
        <v>0</v>
      </c>
      <c r="K65" s="449">
        <f t="shared" si="1"/>
        <v>0</v>
      </c>
      <c r="L65" s="449">
        <f t="shared" si="2"/>
        <v>76577</v>
      </c>
      <c r="M65" s="449">
        <f t="shared" si="10"/>
        <v>14727</v>
      </c>
      <c r="N65" s="449"/>
      <c r="O65" s="449">
        <f t="shared" si="3"/>
        <v>0</v>
      </c>
      <c r="P65" s="449">
        <f t="shared" si="4"/>
        <v>14727</v>
      </c>
      <c r="Q65" s="482"/>
      <c r="R65" s="449"/>
      <c r="S65" s="449">
        <f t="shared" si="8"/>
        <v>0</v>
      </c>
      <c r="T65" s="449">
        <f t="shared" si="5"/>
        <v>0</v>
      </c>
      <c r="U65" s="449">
        <f t="shared" si="6"/>
        <v>0</v>
      </c>
      <c r="V65" s="449"/>
      <c r="W65" s="449">
        <f t="shared" si="11"/>
        <v>0</v>
      </c>
      <c r="X65" s="449"/>
      <c r="Y65" s="449"/>
      <c r="Z65" s="449"/>
      <c r="AA65" s="448"/>
      <c r="AB65" s="448" t="s">
        <v>461</v>
      </c>
      <c r="AC65" s="448">
        <v>747000</v>
      </c>
    </row>
    <row r="66" spans="1:43" ht="45" customHeight="1">
      <c r="A66" s="448">
        <f t="shared" si="7"/>
        <v>62</v>
      </c>
      <c r="B66" s="448">
        <v>2234</v>
      </c>
      <c r="C66" s="448" t="s">
        <v>580</v>
      </c>
      <c r="D66" s="449">
        <v>270000</v>
      </c>
      <c r="E66" s="449">
        <v>270000</v>
      </c>
      <c r="F66" s="449">
        <f t="shared" si="0"/>
        <v>0</v>
      </c>
      <c r="G66" s="449">
        <v>270000</v>
      </c>
      <c r="H66" s="449">
        <v>197586</v>
      </c>
      <c r="I66" s="449">
        <v>0</v>
      </c>
      <c r="J66" s="449">
        <v>0</v>
      </c>
      <c r="K66" s="449">
        <f t="shared" si="1"/>
        <v>0</v>
      </c>
      <c r="L66" s="449">
        <f t="shared" si="2"/>
        <v>197586</v>
      </c>
      <c r="M66" s="449">
        <f>P66+S66-70000</f>
        <v>2414</v>
      </c>
      <c r="N66" s="449">
        <v>70000</v>
      </c>
      <c r="O66" s="449">
        <f t="shared" si="3"/>
        <v>0</v>
      </c>
      <c r="P66" s="449">
        <f t="shared" si="4"/>
        <v>72414</v>
      </c>
      <c r="Q66" s="482"/>
      <c r="R66" s="449"/>
      <c r="S66" s="449">
        <f t="shared" si="8"/>
        <v>0</v>
      </c>
      <c r="T66" s="449">
        <f t="shared" si="5"/>
        <v>70000</v>
      </c>
      <c r="U66" s="449">
        <f t="shared" si="6"/>
        <v>0</v>
      </c>
      <c r="V66" s="449"/>
      <c r="W66" s="449">
        <f t="shared" si="11"/>
        <v>0</v>
      </c>
      <c r="X66" s="449"/>
      <c r="Y66" s="449"/>
      <c r="Z66" s="449"/>
      <c r="AA66" s="448"/>
      <c r="AB66" s="448" t="s">
        <v>582</v>
      </c>
      <c r="AC66" s="448">
        <v>810000</v>
      </c>
    </row>
    <row r="67" spans="1:43" s="485" customFormat="1" ht="45" customHeight="1">
      <c r="A67" s="448">
        <f t="shared" si="7"/>
        <v>63</v>
      </c>
      <c r="B67" s="448">
        <v>2235</v>
      </c>
      <c r="C67" s="448" t="s">
        <v>581</v>
      </c>
      <c r="D67" s="449">
        <f>3000000+775000</f>
        <v>3775000</v>
      </c>
      <c r="E67" s="449">
        <v>3000000</v>
      </c>
      <c r="F67" s="449">
        <f t="shared" si="0"/>
        <v>775000</v>
      </c>
      <c r="G67" s="449">
        <v>3000000</v>
      </c>
      <c r="H67" s="449">
        <v>411258</v>
      </c>
      <c r="I67" s="449">
        <v>0</v>
      </c>
      <c r="J67" s="449">
        <v>2025303</v>
      </c>
      <c r="K67" s="449">
        <f t="shared" si="1"/>
        <v>2025303</v>
      </c>
      <c r="L67" s="449">
        <f t="shared" si="2"/>
        <v>2436561</v>
      </c>
      <c r="M67" s="449">
        <f>P67+S67-560000</f>
        <v>3439</v>
      </c>
      <c r="N67" s="449">
        <f>630000+705000</f>
        <v>1335000</v>
      </c>
      <c r="O67" s="449">
        <f t="shared" si="3"/>
        <v>0</v>
      </c>
      <c r="P67" s="449">
        <f t="shared" si="4"/>
        <v>563439</v>
      </c>
      <c r="Q67" s="482"/>
      <c r="R67" s="449"/>
      <c r="S67" s="449">
        <f t="shared" si="8"/>
        <v>0</v>
      </c>
      <c r="T67" s="449">
        <f t="shared" si="5"/>
        <v>560000</v>
      </c>
      <c r="U67" s="449">
        <f t="shared" si="6"/>
        <v>775000</v>
      </c>
      <c r="V67" s="449"/>
      <c r="W67" s="449">
        <f t="shared" si="11"/>
        <v>70000</v>
      </c>
      <c r="X67" s="449"/>
      <c r="Y67" s="449">
        <v>705000</v>
      </c>
      <c r="Z67" s="449"/>
      <c r="AA67" s="448"/>
      <c r="AB67" s="448" t="s">
        <v>1422</v>
      </c>
      <c r="AC67" s="448">
        <v>829000</v>
      </c>
      <c r="AD67" s="756"/>
      <c r="AE67" s="756"/>
      <c r="AF67" s="756"/>
      <c r="AG67" s="756"/>
      <c r="AH67" s="756"/>
      <c r="AI67" s="756"/>
      <c r="AJ67" s="756"/>
      <c r="AK67" s="756"/>
      <c r="AL67" s="756"/>
      <c r="AM67" s="756"/>
      <c r="AN67" s="756"/>
      <c r="AO67" s="756"/>
      <c r="AP67" s="756"/>
      <c r="AQ67"/>
    </row>
    <row r="68" spans="1:43" ht="45" customHeight="1">
      <c r="A68" s="448">
        <f t="shared" si="7"/>
        <v>64</v>
      </c>
      <c r="B68" s="448">
        <v>2236</v>
      </c>
      <c r="C68" s="448" t="s">
        <v>580</v>
      </c>
      <c r="D68" s="449">
        <v>180000</v>
      </c>
      <c r="E68" s="449">
        <v>180000</v>
      </c>
      <c r="F68" s="449">
        <f t="shared" si="0"/>
        <v>0</v>
      </c>
      <c r="G68" s="449">
        <v>180000</v>
      </c>
      <c r="H68" s="449">
        <v>116522</v>
      </c>
      <c r="I68" s="449">
        <v>0</v>
      </c>
      <c r="J68" s="449">
        <v>0</v>
      </c>
      <c r="K68" s="449">
        <f t="shared" si="1"/>
        <v>0</v>
      </c>
      <c r="L68" s="449">
        <f t="shared" si="2"/>
        <v>116522</v>
      </c>
      <c r="M68" s="449">
        <f>P68+S68-60000</f>
        <v>3478</v>
      </c>
      <c r="N68" s="449">
        <v>60000</v>
      </c>
      <c r="O68" s="449">
        <f t="shared" si="3"/>
        <v>0</v>
      </c>
      <c r="P68" s="449">
        <f t="shared" si="4"/>
        <v>63478</v>
      </c>
      <c r="Q68" s="482"/>
      <c r="R68" s="449"/>
      <c r="S68" s="449">
        <f t="shared" si="8"/>
        <v>0</v>
      </c>
      <c r="T68" s="449">
        <f t="shared" si="5"/>
        <v>60000</v>
      </c>
      <c r="U68" s="449">
        <f t="shared" si="6"/>
        <v>0</v>
      </c>
      <c r="V68" s="449"/>
      <c r="W68" s="449">
        <f t="shared" si="11"/>
        <v>0</v>
      </c>
      <c r="X68" s="449"/>
      <c r="Y68" s="449"/>
      <c r="Z68" s="449"/>
      <c r="AA68" s="448"/>
      <c r="AB68" s="448" t="s">
        <v>847</v>
      </c>
      <c r="AC68" s="448">
        <v>810000</v>
      </c>
    </row>
    <row r="69" spans="1:43" ht="45" customHeight="1">
      <c r="A69" s="448">
        <f t="shared" si="7"/>
        <v>65</v>
      </c>
      <c r="B69" s="448">
        <v>2237</v>
      </c>
      <c r="C69" s="448" t="s">
        <v>605</v>
      </c>
      <c r="D69" s="449">
        <v>1700000</v>
      </c>
      <c r="E69" s="449">
        <v>1700000</v>
      </c>
      <c r="F69" s="449">
        <f t="shared" si="0"/>
        <v>0</v>
      </c>
      <c r="G69" s="449">
        <v>1300000</v>
      </c>
      <c r="H69" s="449">
        <v>1047135</v>
      </c>
      <c r="I69" s="449">
        <v>0</v>
      </c>
      <c r="J69" s="449">
        <f>29835-29835</f>
        <v>0</v>
      </c>
      <c r="K69" s="449">
        <f t="shared" si="1"/>
        <v>0</v>
      </c>
      <c r="L69" s="449">
        <f t="shared" si="2"/>
        <v>1047135</v>
      </c>
      <c r="M69" s="449">
        <f>P69+S69-250000</f>
        <v>2865</v>
      </c>
      <c r="N69" s="449">
        <f>400000-100000-100000</f>
        <v>200000</v>
      </c>
      <c r="O69" s="449">
        <f t="shared" si="3"/>
        <v>450000</v>
      </c>
      <c r="P69" s="449">
        <f t="shared" si="4"/>
        <v>252865</v>
      </c>
      <c r="Q69" s="482"/>
      <c r="R69" s="449"/>
      <c r="S69" s="449">
        <f t="shared" si="8"/>
        <v>0</v>
      </c>
      <c r="T69" s="449">
        <f t="shared" si="5"/>
        <v>250000</v>
      </c>
      <c r="U69" s="449">
        <f t="shared" si="6"/>
        <v>-50000</v>
      </c>
      <c r="V69" s="449">
        <v>-50000</v>
      </c>
      <c r="W69" s="449">
        <f t="shared" si="11"/>
        <v>0</v>
      </c>
      <c r="X69" s="449"/>
      <c r="Y69" s="449"/>
      <c r="Z69" s="449"/>
      <c r="AA69" s="448"/>
      <c r="AB69" s="448" t="s">
        <v>848</v>
      </c>
      <c r="AC69" s="448">
        <v>742000</v>
      </c>
    </row>
    <row r="70" spans="1:43" ht="45" customHeight="1">
      <c r="A70" s="448">
        <f t="shared" ref="A70:A114" si="12">A69+1</f>
        <v>66</v>
      </c>
      <c r="B70" s="448">
        <v>2238</v>
      </c>
      <c r="C70" s="448" t="s">
        <v>606</v>
      </c>
      <c r="D70" s="449">
        <f>7100000+300000-100000</f>
        <v>7300000</v>
      </c>
      <c r="E70" s="449">
        <v>7100000</v>
      </c>
      <c r="F70" s="449">
        <f t="shared" si="0"/>
        <v>200000</v>
      </c>
      <c r="G70" s="449">
        <v>7100000</v>
      </c>
      <c r="H70" s="449">
        <v>7084174</v>
      </c>
      <c r="I70" s="449">
        <v>0</v>
      </c>
      <c r="J70" s="449"/>
      <c r="K70" s="449">
        <f t="shared" si="1"/>
        <v>0</v>
      </c>
      <c r="L70" s="449">
        <f t="shared" si="2"/>
        <v>7084174</v>
      </c>
      <c r="M70" s="449">
        <f t="shared" si="10"/>
        <v>15826</v>
      </c>
      <c r="N70" s="449">
        <f>300000-100000</f>
        <v>200000</v>
      </c>
      <c r="O70" s="449">
        <f t="shared" si="3"/>
        <v>0</v>
      </c>
      <c r="P70" s="449">
        <f t="shared" si="4"/>
        <v>15826</v>
      </c>
      <c r="Q70" s="482"/>
      <c r="R70" s="449"/>
      <c r="S70" s="449">
        <f t="shared" ref="S70:S105" si="13">SUM(Q70:R70)</f>
        <v>0</v>
      </c>
      <c r="T70" s="449">
        <f t="shared" si="5"/>
        <v>0</v>
      </c>
      <c r="U70" s="449">
        <f t="shared" si="6"/>
        <v>200000</v>
      </c>
      <c r="V70" s="449"/>
      <c r="W70" s="449">
        <f t="shared" si="11"/>
        <v>200000</v>
      </c>
      <c r="X70" s="449"/>
      <c r="Y70" s="449"/>
      <c r="Z70" s="449"/>
      <c r="AA70" s="448"/>
      <c r="AB70" s="448" t="s">
        <v>689</v>
      </c>
      <c r="AC70" s="448">
        <v>747000</v>
      </c>
    </row>
    <row r="71" spans="1:43" ht="45" customHeight="1">
      <c r="A71" s="448">
        <f t="shared" si="12"/>
        <v>67</v>
      </c>
      <c r="B71" s="448">
        <v>2239</v>
      </c>
      <c r="C71" s="448" t="s">
        <v>607</v>
      </c>
      <c r="D71" s="449">
        <v>30000000</v>
      </c>
      <c r="E71" s="449">
        <v>30000000</v>
      </c>
      <c r="F71" s="449">
        <f t="shared" ref="F71:F113" si="14">D71-E71</f>
        <v>0</v>
      </c>
      <c r="G71" s="449">
        <v>5500000</v>
      </c>
      <c r="H71" s="449">
        <v>3340529</v>
      </c>
      <c r="I71" s="449">
        <v>0</v>
      </c>
      <c r="J71" s="449">
        <v>1951835</v>
      </c>
      <c r="K71" s="449">
        <f t="shared" ref="K71:K113" si="15">I71+J71</f>
        <v>1951835</v>
      </c>
      <c r="L71" s="449">
        <f t="shared" ref="L71:L113" si="16">H71+K71</f>
        <v>5292364</v>
      </c>
      <c r="M71" s="449">
        <f>P71+S71-130000-70000</f>
        <v>7636</v>
      </c>
      <c r="N71" s="449">
        <f>3400000-1270000-130000</f>
        <v>2000000</v>
      </c>
      <c r="O71" s="449">
        <f t="shared" ref="O71:O113" si="17">D71-L71-M71-N71</f>
        <v>22700000</v>
      </c>
      <c r="P71" s="449">
        <f t="shared" ref="P71:P113" si="18">G71-L71</f>
        <v>207636</v>
      </c>
      <c r="Q71" s="482"/>
      <c r="R71" s="449"/>
      <c r="S71" s="449">
        <f t="shared" si="13"/>
        <v>0</v>
      </c>
      <c r="T71" s="449">
        <f t="shared" ref="T71:T113" si="19">P71-M71+S71</f>
        <v>200000</v>
      </c>
      <c r="U71" s="449">
        <f t="shared" ref="U71:U113" si="20">N71-T71</f>
        <v>1800000</v>
      </c>
      <c r="V71" s="449">
        <v>1800000</v>
      </c>
      <c r="W71" s="449">
        <f t="shared" si="11"/>
        <v>0</v>
      </c>
      <c r="X71" s="449"/>
      <c r="Y71" s="449"/>
      <c r="Z71" s="449"/>
      <c r="AA71" s="448"/>
      <c r="AB71" s="448" t="s">
        <v>678</v>
      </c>
      <c r="AC71" s="448">
        <v>742000</v>
      </c>
    </row>
    <row r="72" spans="1:43" ht="45" customHeight="1">
      <c r="A72" s="448">
        <f t="shared" si="12"/>
        <v>68</v>
      </c>
      <c r="B72" s="448">
        <v>2240</v>
      </c>
      <c r="C72" s="448" t="s">
        <v>608</v>
      </c>
      <c r="D72" s="449">
        <v>13200000</v>
      </c>
      <c r="E72" s="449">
        <v>13200000</v>
      </c>
      <c r="F72" s="449">
        <f t="shared" si="14"/>
        <v>0</v>
      </c>
      <c r="G72" s="449">
        <v>4240000</v>
      </c>
      <c r="H72" s="449">
        <v>3141090</v>
      </c>
      <c r="I72" s="449">
        <v>0</v>
      </c>
      <c r="J72" s="449">
        <f>294722+400488</f>
        <v>695210</v>
      </c>
      <c r="K72" s="449">
        <f t="shared" si="15"/>
        <v>695210</v>
      </c>
      <c r="L72" s="449">
        <f t="shared" si="16"/>
        <v>3836300</v>
      </c>
      <c r="M72" s="449">
        <f>P72+S72-780000+390000</f>
        <v>13700</v>
      </c>
      <c r="N72" s="449">
        <f>2170000+780000-380000-570000</f>
        <v>2000000</v>
      </c>
      <c r="O72" s="449">
        <f t="shared" si="17"/>
        <v>7350000</v>
      </c>
      <c r="P72" s="449">
        <f t="shared" si="18"/>
        <v>403700</v>
      </c>
      <c r="Q72" s="482"/>
      <c r="R72" s="449"/>
      <c r="S72" s="449">
        <f t="shared" si="13"/>
        <v>0</v>
      </c>
      <c r="T72" s="449">
        <f t="shared" si="19"/>
        <v>390000</v>
      </c>
      <c r="U72" s="449">
        <f t="shared" si="20"/>
        <v>1610000</v>
      </c>
      <c r="V72" s="449"/>
      <c r="W72" s="449">
        <f t="shared" si="11"/>
        <v>1675822</v>
      </c>
      <c r="X72" s="449"/>
      <c r="Y72" s="449"/>
      <c r="Z72" s="449"/>
      <c r="AA72" s="449">
        <v>-65822</v>
      </c>
      <c r="AB72" s="448" t="s">
        <v>1349</v>
      </c>
      <c r="AC72" s="448">
        <v>720000</v>
      </c>
    </row>
    <row r="73" spans="1:43" ht="45" customHeight="1">
      <c r="A73" s="448">
        <f t="shared" si="12"/>
        <v>69</v>
      </c>
      <c r="B73" s="448">
        <v>2242</v>
      </c>
      <c r="C73" s="448" t="s">
        <v>715</v>
      </c>
      <c r="D73" s="449">
        <v>93079</v>
      </c>
      <c r="E73" s="449">
        <v>93079</v>
      </c>
      <c r="F73" s="449">
        <f t="shared" si="14"/>
        <v>0</v>
      </c>
      <c r="G73" s="449">
        <v>93079</v>
      </c>
      <c r="H73" s="449">
        <v>17667</v>
      </c>
      <c r="I73" s="449">
        <v>0</v>
      </c>
      <c r="J73" s="449">
        <v>0</v>
      </c>
      <c r="K73" s="449">
        <f t="shared" si="15"/>
        <v>0</v>
      </c>
      <c r="L73" s="449">
        <f t="shared" si="16"/>
        <v>17667</v>
      </c>
      <c r="M73" s="449">
        <f>P73+S73-75000</f>
        <v>412</v>
      </c>
      <c r="N73" s="449">
        <v>75000</v>
      </c>
      <c r="O73" s="449">
        <f t="shared" si="17"/>
        <v>0</v>
      </c>
      <c r="P73" s="449">
        <f t="shared" si="18"/>
        <v>75412</v>
      </c>
      <c r="Q73" s="482"/>
      <c r="R73" s="449"/>
      <c r="S73" s="449">
        <f t="shared" si="13"/>
        <v>0</v>
      </c>
      <c r="T73" s="449">
        <f t="shared" si="19"/>
        <v>75000</v>
      </c>
      <c r="U73" s="449">
        <f t="shared" si="20"/>
        <v>0</v>
      </c>
      <c r="V73" s="449"/>
      <c r="W73" s="449">
        <f t="shared" si="11"/>
        <v>0</v>
      </c>
      <c r="X73" s="449"/>
      <c r="Y73" s="449"/>
      <c r="Z73" s="449"/>
      <c r="AA73" s="448"/>
      <c r="AB73" s="448" t="s">
        <v>849</v>
      </c>
      <c r="AC73" s="448">
        <v>810000</v>
      </c>
    </row>
    <row r="74" spans="1:43" ht="45" customHeight="1">
      <c r="A74" s="448">
        <f t="shared" si="12"/>
        <v>70</v>
      </c>
      <c r="B74" s="448">
        <v>20020</v>
      </c>
      <c r="C74" s="448" t="s">
        <v>610</v>
      </c>
      <c r="D74" s="449">
        <f>730000+1330000+230000</f>
        <v>2290000</v>
      </c>
      <c r="E74" s="449">
        <f>730000+230000</f>
        <v>960000</v>
      </c>
      <c r="F74" s="449">
        <f t="shared" si="14"/>
        <v>1330000</v>
      </c>
      <c r="G74" s="449">
        <v>730000</v>
      </c>
      <c r="H74" s="449">
        <v>750324</v>
      </c>
      <c r="I74" s="449">
        <v>0</v>
      </c>
      <c r="J74" s="449">
        <f>39667+67181</f>
        <v>106848</v>
      </c>
      <c r="K74" s="449">
        <f t="shared" si="15"/>
        <v>106848</v>
      </c>
      <c r="L74" s="449">
        <f t="shared" si="16"/>
        <v>857172</v>
      </c>
      <c r="M74" s="449">
        <f>P74+S74-100000</f>
        <v>2828</v>
      </c>
      <c r="N74" s="449">
        <f>1330000+100000-730000-100000</f>
        <v>600000</v>
      </c>
      <c r="O74" s="449">
        <f t="shared" si="17"/>
        <v>830000</v>
      </c>
      <c r="P74" s="449">
        <f t="shared" si="18"/>
        <v>-127172</v>
      </c>
      <c r="Q74" s="482"/>
      <c r="R74" s="449">
        <v>230000</v>
      </c>
      <c r="S74" s="449">
        <f t="shared" si="13"/>
        <v>230000</v>
      </c>
      <c r="T74" s="449">
        <f t="shared" si="19"/>
        <v>100000</v>
      </c>
      <c r="U74" s="449">
        <f t="shared" si="20"/>
        <v>500000</v>
      </c>
      <c r="V74" s="449"/>
      <c r="W74" s="449">
        <f t="shared" si="11"/>
        <v>410000</v>
      </c>
      <c r="X74" s="449"/>
      <c r="Y74" s="449"/>
      <c r="Z74" s="449"/>
      <c r="AA74" s="449">
        <v>90000</v>
      </c>
      <c r="AB74" s="322" t="s">
        <v>1534</v>
      </c>
      <c r="AC74" s="448">
        <v>720000</v>
      </c>
    </row>
    <row r="75" spans="1:43" s="485" customFormat="1" ht="45" customHeight="1">
      <c r="A75" s="448">
        <f t="shared" si="12"/>
        <v>71</v>
      </c>
      <c r="B75" s="448">
        <v>20021</v>
      </c>
      <c r="C75" s="448" t="s">
        <v>611</v>
      </c>
      <c r="D75" s="449">
        <f>8000000+5000000</f>
        <v>13000000</v>
      </c>
      <c r="E75" s="449">
        <v>8000000</v>
      </c>
      <c r="F75" s="449">
        <f t="shared" si="14"/>
        <v>5000000</v>
      </c>
      <c r="G75" s="449">
        <v>7000000</v>
      </c>
      <c r="H75" s="449">
        <v>3832154</v>
      </c>
      <c r="I75" s="449">
        <v>0</v>
      </c>
      <c r="J75" s="449">
        <f>1544563-1278</f>
        <v>1543285</v>
      </c>
      <c r="K75" s="449">
        <f t="shared" si="15"/>
        <v>1543285</v>
      </c>
      <c r="L75" s="449">
        <f t="shared" si="16"/>
        <v>5375439</v>
      </c>
      <c r="M75" s="449">
        <f>P75+S75-1620000</f>
        <v>4561</v>
      </c>
      <c r="N75" s="449">
        <f>5500000+1620000-5500000-1620000</f>
        <v>0</v>
      </c>
      <c r="O75" s="449">
        <f t="shared" si="17"/>
        <v>7620000</v>
      </c>
      <c r="P75" s="449">
        <f t="shared" si="18"/>
        <v>1624561</v>
      </c>
      <c r="Q75" s="482"/>
      <c r="R75" s="449"/>
      <c r="S75" s="449">
        <f t="shared" si="13"/>
        <v>0</v>
      </c>
      <c r="T75" s="449">
        <f t="shared" si="19"/>
        <v>1620000</v>
      </c>
      <c r="U75" s="449">
        <f t="shared" si="20"/>
        <v>-1620000</v>
      </c>
      <c r="V75" s="449"/>
      <c r="W75" s="449">
        <f t="shared" si="11"/>
        <v>-1620000</v>
      </c>
      <c r="X75" s="449"/>
      <c r="Y75" s="449"/>
      <c r="Z75" s="449"/>
      <c r="AA75" s="448"/>
      <c r="AB75" s="448" t="s">
        <v>612</v>
      </c>
      <c r="AC75" s="448">
        <v>742000</v>
      </c>
      <c r="AD75" s="756"/>
      <c r="AE75" s="756"/>
      <c r="AF75" s="756"/>
      <c r="AG75" s="756"/>
      <c r="AH75" s="756"/>
      <c r="AI75" s="756"/>
      <c r="AJ75" s="756"/>
      <c r="AK75" s="756"/>
      <c r="AL75" s="756"/>
      <c r="AM75" s="756"/>
      <c r="AN75" s="756"/>
      <c r="AO75" s="756"/>
      <c r="AP75" s="756"/>
      <c r="AQ75"/>
    </row>
    <row r="76" spans="1:43" ht="45" customHeight="1">
      <c r="A76" s="448">
        <f t="shared" si="12"/>
        <v>72</v>
      </c>
      <c r="B76" s="448">
        <v>20022</v>
      </c>
      <c r="C76" s="448" t="s">
        <v>613</v>
      </c>
      <c r="D76" s="449">
        <f>180000-180000</f>
        <v>0</v>
      </c>
      <c r="E76" s="449">
        <v>180000</v>
      </c>
      <c r="F76" s="449">
        <f t="shared" si="14"/>
        <v>-180000</v>
      </c>
      <c r="G76" s="449">
        <v>0</v>
      </c>
      <c r="H76" s="449">
        <v>0</v>
      </c>
      <c r="I76" s="449">
        <v>0</v>
      </c>
      <c r="J76" s="449">
        <v>0</v>
      </c>
      <c r="K76" s="449">
        <f t="shared" si="15"/>
        <v>0</v>
      </c>
      <c r="L76" s="449">
        <f t="shared" si="16"/>
        <v>0</v>
      </c>
      <c r="M76" s="449">
        <f>P76+S76</f>
        <v>0</v>
      </c>
      <c r="N76" s="449">
        <f>560000-560000</f>
        <v>0</v>
      </c>
      <c r="O76" s="449">
        <f t="shared" si="17"/>
        <v>0</v>
      </c>
      <c r="P76" s="449">
        <f t="shared" si="18"/>
        <v>0</v>
      </c>
      <c r="Q76" s="482"/>
      <c r="R76" s="449"/>
      <c r="S76" s="449">
        <f t="shared" si="13"/>
        <v>0</v>
      </c>
      <c r="T76" s="449">
        <f t="shared" si="19"/>
        <v>0</v>
      </c>
      <c r="U76" s="449">
        <f t="shared" si="20"/>
        <v>0</v>
      </c>
      <c r="V76" s="449"/>
      <c r="W76" s="449">
        <f t="shared" si="11"/>
        <v>0</v>
      </c>
      <c r="X76" s="449"/>
      <c r="Y76" s="449"/>
      <c r="Z76" s="449"/>
      <c r="AA76" s="448"/>
      <c r="AB76" s="448" t="s">
        <v>1520</v>
      </c>
      <c r="AC76" s="448">
        <v>747000</v>
      </c>
    </row>
    <row r="77" spans="1:43" ht="45" customHeight="1">
      <c r="A77" s="448">
        <f t="shared" si="12"/>
        <v>73</v>
      </c>
      <c r="B77" s="448">
        <v>20023</v>
      </c>
      <c r="C77" s="448" t="s">
        <v>614</v>
      </c>
      <c r="D77" s="449">
        <v>200000</v>
      </c>
      <c r="E77" s="449">
        <v>200000</v>
      </c>
      <c r="F77" s="449">
        <f t="shared" si="14"/>
        <v>0</v>
      </c>
      <c r="G77" s="449">
        <v>200000</v>
      </c>
      <c r="H77" s="449">
        <v>0</v>
      </c>
      <c r="I77" s="449">
        <v>0</v>
      </c>
      <c r="J77" s="449">
        <v>200000</v>
      </c>
      <c r="K77" s="449">
        <f t="shared" si="15"/>
        <v>200000</v>
      </c>
      <c r="L77" s="449">
        <f t="shared" si="16"/>
        <v>200000</v>
      </c>
      <c r="M77" s="449">
        <f>P77+S77</f>
        <v>0</v>
      </c>
      <c r="N77" s="449"/>
      <c r="O77" s="449">
        <f t="shared" si="17"/>
        <v>0</v>
      </c>
      <c r="P77" s="449">
        <f t="shared" si="18"/>
        <v>0</v>
      </c>
      <c r="Q77" s="482"/>
      <c r="R77" s="449"/>
      <c r="S77" s="449">
        <f t="shared" si="13"/>
        <v>0</v>
      </c>
      <c r="T77" s="449">
        <f t="shared" si="19"/>
        <v>0</v>
      </c>
      <c r="U77" s="449">
        <f t="shared" si="20"/>
        <v>0</v>
      </c>
      <c r="V77" s="449"/>
      <c r="W77" s="449">
        <f t="shared" si="11"/>
        <v>0</v>
      </c>
      <c r="X77" s="449"/>
      <c r="Y77" s="449"/>
      <c r="Z77" s="449"/>
      <c r="AA77" s="448"/>
      <c r="AB77" s="448" t="s">
        <v>680</v>
      </c>
      <c r="AC77" s="448">
        <v>747000</v>
      </c>
    </row>
    <row r="78" spans="1:43" ht="45" customHeight="1">
      <c r="A78" s="448">
        <f t="shared" si="12"/>
        <v>74</v>
      </c>
      <c r="B78" s="448">
        <v>20027</v>
      </c>
      <c r="C78" s="448" t="s">
        <v>615</v>
      </c>
      <c r="D78" s="449">
        <v>82800</v>
      </c>
      <c r="E78" s="449">
        <v>82800</v>
      </c>
      <c r="F78" s="449">
        <f t="shared" si="14"/>
        <v>0</v>
      </c>
      <c r="G78" s="449">
        <v>82800</v>
      </c>
      <c r="H78" s="449">
        <v>62950</v>
      </c>
      <c r="I78" s="449">
        <v>0</v>
      </c>
      <c r="J78" s="449">
        <v>0</v>
      </c>
      <c r="K78" s="449">
        <f t="shared" si="15"/>
        <v>0</v>
      </c>
      <c r="L78" s="449">
        <f t="shared" si="16"/>
        <v>62950</v>
      </c>
      <c r="M78" s="449">
        <f>P78+S78-19850</f>
        <v>0</v>
      </c>
      <c r="N78" s="449">
        <v>19850</v>
      </c>
      <c r="O78" s="449">
        <f t="shared" si="17"/>
        <v>0</v>
      </c>
      <c r="P78" s="449">
        <f t="shared" si="18"/>
        <v>19850</v>
      </c>
      <c r="Q78" s="482"/>
      <c r="R78" s="449"/>
      <c r="S78" s="449">
        <f t="shared" si="13"/>
        <v>0</v>
      </c>
      <c r="T78" s="449">
        <f t="shared" si="19"/>
        <v>19850</v>
      </c>
      <c r="U78" s="449">
        <f t="shared" si="20"/>
        <v>0</v>
      </c>
      <c r="V78" s="449"/>
      <c r="W78" s="449">
        <f t="shared" si="11"/>
        <v>0</v>
      </c>
      <c r="X78" s="449"/>
      <c r="Y78" s="449"/>
      <c r="Z78" s="449"/>
      <c r="AA78" s="448"/>
      <c r="AB78" s="448" t="s">
        <v>461</v>
      </c>
      <c r="AC78" s="448">
        <v>747000</v>
      </c>
    </row>
    <row r="79" spans="1:43" ht="45" customHeight="1">
      <c r="A79" s="448">
        <f t="shared" si="12"/>
        <v>75</v>
      </c>
      <c r="B79" s="448">
        <v>20029</v>
      </c>
      <c r="C79" s="448" t="s">
        <v>616</v>
      </c>
      <c r="D79" s="449">
        <f>2000000+1500000</f>
        <v>3500000</v>
      </c>
      <c r="E79" s="449">
        <v>2000000</v>
      </c>
      <c r="F79" s="449">
        <f t="shared" si="14"/>
        <v>1500000</v>
      </c>
      <c r="G79" s="449">
        <v>1350000</v>
      </c>
      <c r="H79" s="449">
        <v>1311285</v>
      </c>
      <c r="I79" s="449">
        <v>0</v>
      </c>
      <c r="J79" s="449"/>
      <c r="K79" s="449">
        <f t="shared" si="15"/>
        <v>0</v>
      </c>
      <c r="L79" s="449">
        <f t="shared" si="16"/>
        <v>1311285</v>
      </c>
      <c r="M79" s="449">
        <f>P79+S79-180000</f>
        <v>8715</v>
      </c>
      <c r="N79" s="449">
        <f>1500000-820000-280000</f>
        <v>400000</v>
      </c>
      <c r="O79" s="449">
        <f t="shared" si="17"/>
        <v>1780000</v>
      </c>
      <c r="P79" s="449">
        <f t="shared" si="18"/>
        <v>38715</v>
      </c>
      <c r="Q79" s="482">
        <v>150000</v>
      </c>
      <c r="R79" s="449"/>
      <c r="S79" s="449">
        <f t="shared" si="13"/>
        <v>150000</v>
      </c>
      <c r="T79" s="449">
        <f t="shared" si="19"/>
        <v>180000</v>
      </c>
      <c r="U79" s="449">
        <f t="shared" si="20"/>
        <v>220000</v>
      </c>
      <c r="V79" s="449"/>
      <c r="W79" s="449">
        <f t="shared" ref="W79:W114" si="21">U79-AA79-V79-Y79</f>
        <v>220000</v>
      </c>
      <c r="X79" s="449"/>
      <c r="Y79" s="449"/>
      <c r="Z79" s="449"/>
      <c r="AA79" s="448"/>
      <c r="AB79" s="455" t="s">
        <v>895</v>
      </c>
      <c r="AC79" s="448">
        <v>848000</v>
      </c>
    </row>
    <row r="80" spans="1:43" ht="65.400000000000006" customHeight="1">
      <c r="A80" s="448">
        <f t="shared" si="12"/>
        <v>76</v>
      </c>
      <c r="B80" s="448">
        <v>20030</v>
      </c>
      <c r="C80" s="448" t="s">
        <v>617</v>
      </c>
      <c r="D80" s="449">
        <f>45150000+10000000+700000-800000</f>
        <v>55050000</v>
      </c>
      <c r="E80" s="449">
        <f>45150000+2700000</f>
        <v>47850000</v>
      </c>
      <c r="F80" s="449">
        <f t="shared" si="14"/>
        <v>7200000</v>
      </c>
      <c r="G80" s="449">
        <v>45150000</v>
      </c>
      <c r="H80" s="449">
        <v>44532460</v>
      </c>
      <c r="I80" s="449">
        <v>0</v>
      </c>
      <c r="J80" s="449">
        <f>26823+76966+118416+24912+1831+15756+1056+3874+149580+198520+31839+8967+139698+58207+58207</f>
        <v>914652</v>
      </c>
      <c r="K80" s="449">
        <f t="shared" si="15"/>
        <v>914652</v>
      </c>
      <c r="L80" s="449">
        <f t="shared" si="16"/>
        <v>45447112</v>
      </c>
      <c r="M80" s="449">
        <f>P80+S80-2000000-200000-150000-50000</f>
        <v>2888</v>
      </c>
      <c r="N80" s="488">
        <f>31000000-21000000-450000+50000</f>
        <v>9600000</v>
      </c>
      <c r="O80" s="449">
        <f t="shared" si="17"/>
        <v>0</v>
      </c>
      <c r="P80" s="449">
        <f t="shared" si="18"/>
        <v>-297112</v>
      </c>
      <c r="Q80" s="489"/>
      <c r="R80" s="488">
        <v>2700000</v>
      </c>
      <c r="S80" s="488">
        <f t="shared" si="13"/>
        <v>2700000</v>
      </c>
      <c r="T80" s="488">
        <f t="shared" si="19"/>
        <v>2400000</v>
      </c>
      <c r="U80" s="449">
        <f t="shared" si="20"/>
        <v>7200000</v>
      </c>
      <c r="V80" s="449">
        <v>1450000</v>
      </c>
      <c r="W80" s="449">
        <f t="shared" si="21"/>
        <v>5139500</v>
      </c>
      <c r="X80" s="449"/>
      <c r="Y80" s="449"/>
      <c r="Z80" s="449"/>
      <c r="AA80" s="449">
        <f>40500+285000+114000+171000</f>
        <v>610500</v>
      </c>
      <c r="AB80" s="448" t="s">
        <v>1395</v>
      </c>
      <c r="AC80" s="448">
        <v>810000</v>
      </c>
    </row>
    <row r="81" spans="1:29" ht="69">
      <c r="A81" s="448">
        <f t="shared" si="12"/>
        <v>77</v>
      </c>
      <c r="B81" s="448">
        <v>20032</v>
      </c>
      <c r="C81" s="448" t="s">
        <v>618</v>
      </c>
      <c r="D81" s="449">
        <f>4850000-1290000</f>
        <v>3560000</v>
      </c>
      <c r="E81" s="449">
        <v>4850000</v>
      </c>
      <c r="F81" s="449">
        <f t="shared" si="14"/>
        <v>-1290000</v>
      </c>
      <c r="G81" s="449">
        <v>3560000</v>
      </c>
      <c r="H81" s="449">
        <v>1237617</v>
      </c>
      <c r="I81" s="449">
        <v>2308424</v>
      </c>
      <c r="J81" s="449">
        <v>7561</v>
      </c>
      <c r="K81" s="449">
        <f t="shared" si="15"/>
        <v>2315985</v>
      </c>
      <c r="L81" s="449">
        <f t="shared" si="16"/>
        <v>3553602</v>
      </c>
      <c r="M81" s="449">
        <f>P81+S81</f>
        <v>6398</v>
      </c>
      <c r="N81" s="449"/>
      <c r="O81" s="449">
        <f t="shared" si="17"/>
        <v>0</v>
      </c>
      <c r="P81" s="449">
        <f t="shared" si="18"/>
        <v>6398</v>
      </c>
      <c r="Q81" s="482"/>
      <c r="R81" s="449"/>
      <c r="S81" s="449">
        <f t="shared" si="13"/>
        <v>0</v>
      </c>
      <c r="T81" s="449">
        <f t="shared" si="19"/>
        <v>0</v>
      </c>
      <c r="U81" s="449">
        <f t="shared" si="20"/>
        <v>0</v>
      </c>
      <c r="V81" s="449"/>
      <c r="W81" s="449">
        <f t="shared" si="21"/>
        <v>0</v>
      </c>
      <c r="X81" s="449"/>
      <c r="Y81" s="449"/>
      <c r="Z81" s="449"/>
      <c r="AA81" s="448"/>
      <c r="AB81" s="448" t="s">
        <v>1449</v>
      </c>
      <c r="AC81" s="448">
        <v>829000</v>
      </c>
    </row>
    <row r="82" spans="1:29" ht="55.2">
      <c r="A82" s="448">
        <f t="shared" si="12"/>
        <v>78</v>
      </c>
      <c r="B82" s="448">
        <v>20034</v>
      </c>
      <c r="C82" s="448" t="s">
        <v>982</v>
      </c>
      <c r="D82" s="449">
        <v>4000000</v>
      </c>
      <c r="E82" s="449">
        <v>4000000</v>
      </c>
      <c r="F82" s="449">
        <f t="shared" si="14"/>
        <v>0</v>
      </c>
      <c r="G82" s="449">
        <v>3000000</v>
      </c>
      <c r="H82" s="449">
        <v>1584796</v>
      </c>
      <c r="I82" s="449">
        <v>0</v>
      </c>
      <c r="J82" s="449"/>
      <c r="K82" s="449">
        <f t="shared" si="15"/>
        <v>0</v>
      </c>
      <c r="L82" s="449">
        <f t="shared" si="16"/>
        <v>1584796</v>
      </c>
      <c r="M82" s="449">
        <f>P82+S82-1400000</f>
        <v>15204</v>
      </c>
      <c r="N82" s="449">
        <v>1400000</v>
      </c>
      <c r="O82" s="449">
        <f t="shared" si="17"/>
        <v>1000000</v>
      </c>
      <c r="P82" s="449">
        <f t="shared" si="18"/>
        <v>1415204</v>
      </c>
      <c r="Q82" s="482"/>
      <c r="R82" s="449"/>
      <c r="S82" s="449">
        <f t="shared" si="13"/>
        <v>0</v>
      </c>
      <c r="T82" s="449">
        <f t="shared" si="19"/>
        <v>1400000</v>
      </c>
      <c r="U82" s="449">
        <f t="shared" si="20"/>
        <v>0</v>
      </c>
      <c r="V82" s="449"/>
      <c r="W82" s="449">
        <f t="shared" si="21"/>
        <v>0</v>
      </c>
      <c r="X82" s="449"/>
      <c r="Y82" s="449"/>
      <c r="Z82" s="449"/>
      <c r="AA82" s="448"/>
      <c r="AB82" s="448" t="s">
        <v>767</v>
      </c>
      <c r="AC82" s="448">
        <v>828000</v>
      </c>
    </row>
    <row r="83" spans="1:29" ht="55.2">
      <c r="A83" s="448">
        <f t="shared" si="12"/>
        <v>79</v>
      </c>
      <c r="B83" s="448">
        <v>20036</v>
      </c>
      <c r="C83" s="448" t="s">
        <v>620</v>
      </c>
      <c r="D83" s="449">
        <f>6375000-2464</f>
        <v>6372536</v>
      </c>
      <c r="E83" s="449">
        <v>6375000</v>
      </c>
      <c r="F83" s="449">
        <f t="shared" si="14"/>
        <v>-2464</v>
      </c>
      <c r="G83" s="449">
        <v>6375000</v>
      </c>
      <c r="H83" s="449">
        <v>6372536</v>
      </c>
      <c r="I83" s="449">
        <v>0</v>
      </c>
      <c r="J83" s="449"/>
      <c r="K83" s="449">
        <f t="shared" si="15"/>
        <v>0</v>
      </c>
      <c r="L83" s="449">
        <f t="shared" si="16"/>
        <v>6372536</v>
      </c>
      <c r="M83" s="449">
        <f>P83+S83-2464</f>
        <v>0</v>
      </c>
      <c r="N83" s="449"/>
      <c r="O83" s="449">
        <f t="shared" si="17"/>
        <v>0</v>
      </c>
      <c r="P83" s="449">
        <f t="shared" si="18"/>
        <v>2464</v>
      </c>
      <c r="Q83" s="482"/>
      <c r="R83" s="449"/>
      <c r="S83" s="449">
        <f t="shared" si="13"/>
        <v>0</v>
      </c>
      <c r="T83" s="449">
        <f t="shared" si="19"/>
        <v>2464</v>
      </c>
      <c r="U83" s="449">
        <f t="shared" si="20"/>
        <v>-2464</v>
      </c>
      <c r="V83" s="449"/>
      <c r="W83" s="449">
        <f t="shared" si="21"/>
        <v>-2464</v>
      </c>
      <c r="X83" s="449"/>
      <c r="Y83" s="449"/>
      <c r="Z83" s="449"/>
      <c r="AA83" s="448"/>
      <c r="AB83" s="448" t="s">
        <v>1468</v>
      </c>
      <c r="AC83" s="448">
        <v>810000</v>
      </c>
    </row>
    <row r="84" spans="1:29" ht="55.2">
      <c r="A84" s="448">
        <f t="shared" si="12"/>
        <v>80</v>
      </c>
      <c r="B84" s="448">
        <v>20037</v>
      </c>
      <c r="C84" s="448" t="s">
        <v>621</v>
      </c>
      <c r="D84" s="449">
        <v>2200000</v>
      </c>
      <c r="E84" s="449">
        <v>2200000</v>
      </c>
      <c r="F84" s="449">
        <f t="shared" si="14"/>
        <v>0</v>
      </c>
      <c r="G84" s="449">
        <v>2200000</v>
      </c>
      <c r="H84" s="449">
        <v>2199700</v>
      </c>
      <c r="I84" s="449">
        <v>0</v>
      </c>
      <c r="J84" s="449">
        <v>0</v>
      </c>
      <c r="K84" s="449">
        <f t="shared" si="15"/>
        <v>0</v>
      </c>
      <c r="L84" s="449">
        <f t="shared" si="16"/>
        <v>2199700</v>
      </c>
      <c r="M84" s="449">
        <f>P84+S84</f>
        <v>300</v>
      </c>
      <c r="N84" s="449"/>
      <c r="O84" s="449">
        <f t="shared" si="17"/>
        <v>0</v>
      </c>
      <c r="P84" s="449">
        <f t="shared" si="18"/>
        <v>300</v>
      </c>
      <c r="Q84" s="482"/>
      <c r="R84" s="449"/>
      <c r="S84" s="449">
        <f t="shared" si="13"/>
        <v>0</v>
      </c>
      <c r="T84" s="449">
        <f t="shared" si="19"/>
        <v>0</v>
      </c>
      <c r="U84" s="449">
        <f t="shared" si="20"/>
        <v>0</v>
      </c>
      <c r="V84" s="449"/>
      <c r="W84" s="449">
        <f t="shared" si="21"/>
        <v>0</v>
      </c>
      <c r="X84" s="449"/>
      <c r="Y84" s="449"/>
      <c r="Z84" s="449"/>
      <c r="AA84" s="448"/>
      <c r="AB84" s="448" t="s">
        <v>1521</v>
      </c>
      <c r="AC84" s="448">
        <v>826000</v>
      </c>
    </row>
    <row r="85" spans="1:29" ht="45" customHeight="1">
      <c r="A85" s="448">
        <f t="shared" si="12"/>
        <v>81</v>
      </c>
      <c r="B85" s="448">
        <v>20051</v>
      </c>
      <c r="C85" s="448" t="s">
        <v>983</v>
      </c>
      <c r="D85" s="449">
        <f>4100000+950000+650000-100000</f>
        <v>5600000</v>
      </c>
      <c r="E85" s="449">
        <v>5050000</v>
      </c>
      <c r="F85" s="449">
        <f t="shared" si="14"/>
        <v>550000</v>
      </c>
      <c r="G85" s="449">
        <v>5050000</v>
      </c>
      <c r="H85" s="449">
        <v>2346404</v>
      </c>
      <c r="I85" s="449">
        <v>0</v>
      </c>
      <c r="J85" s="449">
        <v>1849763</v>
      </c>
      <c r="K85" s="449">
        <f t="shared" si="15"/>
        <v>1849763</v>
      </c>
      <c r="L85" s="449">
        <f t="shared" si="16"/>
        <v>4196167</v>
      </c>
      <c r="M85" s="449">
        <f>P85+S85-840000-10000</f>
        <v>3833</v>
      </c>
      <c r="N85" s="449">
        <f>650000+800000-100000+40000-550000+10000</f>
        <v>850000</v>
      </c>
      <c r="O85" s="449">
        <f t="shared" si="17"/>
        <v>550000</v>
      </c>
      <c r="P85" s="449">
        <f t="shared" si="18"/>
        <v>853833</v>
      </c>
      <c r="Q85" s="482"/>
      <c r="R85" s="449"/>
      <c r="S85" s="449">
        <f t="shared" si="13"/>
        <v>0</v>
      </c>
      <c r="T85" s="449">
        <f t="shared" si="19"/>
        <v>850000</v>
      </c>
      <c r="U85" s="449">
        <f t="shared" si="20"/>
        <v>0</v>
      </c>
      <c r="V85" s="449"/>
      <c r="W85" s="449">
        <f t="shared" si="21"/>
        <v>0</v>
      </c>
      <c r="X85" s="449"/>
      <c r="Y85" s="449"/>
      <c r="Z85" s="449"/>
      <c r="AA85" s="448"/>
      <c r="AB85" s="448" t="s">
        <v>1312</v>
      </c>
      <c r="AC85" s="448">
        <v>742000</v>
      </c>
    </row>
    <row r="86" spans="1:29" ht="45" customHeight="1">
      <c r="A86" s="448">
        <f t="shared" si="12"/>
        <v>82</v>
      </c>
      <c r="B86" s="448">
        <v>20052</v>
      </c>
      <c r="C86" s="448" t="s">
        <v>739</v>
      </c>
      <c r="D86" s="449">
        <f>2820553-207</f>
        <v>2820346</v>
      </c>
      <c r="E86" s="449">
        <v>2820553</v>
      </c>
      <c r="F86" s="449">
        <f t="shared" si="14"/>
        <v>-207</v>
      </c>
      <c r="G86" s="449">
        <v>2820553</v>
      </c>
      <c r="H86" s="449">
        <v>2820346</v>
      </c>
      <c r="I86" s="449">
        <v>0</v>
      </c>
      <c r="J86" s="449">
        <v>0</v>
      </c>
      <c r="K86" s="449">
        <f t="shared" si="15"/>
        <v>0</v>
      </c>
      <c r="L86" s="449">
        <f t="shared" si="16"/>
        <v>2820346</v>
      </c>
      <c r="M86" s="449">
        <f>P86+S86-207</f>
        <v>0</v>
      </c>
      <c r="N86" s="449"/>
      <c r="O86" s="449">
        <f t="shared" si="17"/>
        <v>0</v>
      </c>
      <c r="P86" s="449">
        <f t="shared" si="18"/>
        <v>207</v>
      </c>
      <c r="Q86" s="482"/>
      <c r="R86" s="449"/>
      <c r="S86" s="449">
        <f t="shared" si="13"/>
        <v>0</v>
      </c>
      <c r="T86" s="449">
        <f t="shared" si="19"/>
        <v>207</v>
      </c>
      <c r="U86" s="449">
        <f t="shared" si="20"/>
        <v>-207</v>
      </c>
      <c r="V86" s="449"/>
      <c r="W86" s="449">
        <f t="shared" si="21"/>
        <v>-207</v>
      </c>
      <c r="X86" s="449"/>
      <c r="Y86" s="449"/>
      <c r="Z86" s="449"/>
      <c r="AA86" s="448"/>
      <c r="AB86" s="448" t="s">
        <v>1335</v>
      </c>
      <c r="AC86" s="448">
        <v>930000</v>
      </c>
    </row>
    <row r="87" spans="1:29" ht="45" customHeight="1">
      <c r="A87" s="448">
        <f t="shared" si="12"/>
        <v>83</v>
      </c>
      <c r="B87" s="448">
        <v>20054</v>
      </c>
      <c r="C87" s="448" t="s">
        <v>717</v>
      </c>
      <c r="D87" s="449">
        <f>1400000-140000</f>
        <v>1260000</v>
      </c>
      <c r="E87" s="449">
        <v>1400000</v>
      </c>
      <c r="F87" s="449">
        <f t="shared" si="14"/>
        <v>-140000</v>
      </c>
      <c r="G87" s="449">
        <v>1400000</v>
      </c>
      <c r="H87" s="449">
        <v>1251321</v>
      </c>
      <c r="I87" s="449">
        <v>0</v>
      </c>
      <c r="J87" s="449">
        <v>0</v>
      </c>
      <c r="K87" s="449">
        <f t="shared" si="15"/>
        <v>0</v>
      </c>
      <c r="L87" s="449">
        <f t="shared" si="16"/>
        <v>1251321</v>
      </c>
      <c r="M87" s="449">
        <f>P87+S87-140000</f>
        <v>8679</v>
      </c>
      <c r="N87" s="449"/>
      <c r="O87" s="449">
        <f t="shared" si="17"/>
        <v>0</v>
      </c>
      <c r="P87" s="449">
        <f t="shared" si="18"/>
        <v>148679</v>
      </c>
      <c r="Q87" s="482"/>
      <c r="R87" s="449"/>
      <c r="S87" s="449">
        <f t="shared" si="13"/>
        <v>0</v>
      </c>
      <c r="T87" s="449">
        <f t="shared" si="19"/>
        <v>140000</v>
      </c>
      <c r="U87" s="449">
        <f t="shared" si="20"/>
        <v>-140000</v>
      </c>
      <c r="V87" s="449">
        <v>-140000</v>
      </c>
      <c r="W87" s="449">
        <f t="shared" si="21"/>
        <v>0</v>
      </c>
      <c r="X87" s="449"/>
      <c r="Y87" s="449"/>
      <c r="Z87" s="449"/>
      <c r="AA87" s="448"/>
      <c r="AB87" s="448" t="s">
        <v>1450</v>
      </c>
      <c r="AC87" s="448">
        <v>810000</v>
      </c>
    </row>
    <row r="88" spans="1:29" ht="45" customHeight="1">
      <c r="A88" s="448">
        <f t="shared" si="12"/>
        <v>84</v>
      </c>
      <c r="B88" s="448">
        <v>20065</v>
      </c>
      <c r="C88" s="448" t="s">
        <v>740</v>
      </c>
      <c r="D88" s="449">
        <f>7611000-11000</f>
        <v>7600000</v>
      </c>
      <c r="E88" s="449">
        <v>3200000</v>
      </c>
      <c r="F88" s="449">
        <f t="shared" si="14"/>
        <v>4400000</v>
      </c>
      <c r="G88" s="449">
        <v>3200000</v>
      </c>
      <c r="H88" s="449">
        <v>2001616</v>
      </c>
      <c r="I88" s="449">
        <v>0</v>
      </c>
      <c r="J88" s="449">
        <f>998375</f>
        <v>998375</v>
      </c>
      <c r="K88" s="449">
        <f t="shared" si="15"/>
        <v>998375</v>
      </c>
      <c r="L88" s="449">
        <f t="shared" si="16"/>
        <v>2999991</v>
      </c>
      <c r="M88" s="449">
        <f>P88+S88-200000</f>
        <v>9</v>
      </c>
      <c r="N88" s="449">
        <f>7611000-3200000-11000+200000</f>
        <v>4600000</v>
      </c>
      <c r="O88" s="449">
        <f t="shared" si="17"/>
        <v>0</v>
      </c>
      <c r="P88" s="449">
        <f t="shared" si="18"/>
        <v>200009</v>
      </c>
      <c r="Q88" s="482"/>
      <c r="R88" s="449"/>
      <c r="S88" s="449">
        <f t="shared" si="13"/>
        <v>0</v>
      </c>
      <c r="T88" s="449">
        <f t="shared" si="19"/>
        <v>200000</v>
      </c>
      <c r="U88" s="449">
        <f t="shared" si="20"/>
        <v>4400000</v>
      </c>
      <c r="V88" s="449">
        <v>4400000</v>
      </c>
      <c r="W88" s="449">
        <f t="shared" si="21"/>
        <v>0</v>
      </c>
      <c r="X88" s="449"/>
      <c r="Y88" s="449"/>
      <c r="Z88" s="449"/>
      <c r="AA88" s="448"/>
      <c r="AB88" s="448" t="s">
        <v>859</v>
      </c>
      <c r="AC88" s="448">
        <v>824000</v>
      </c>
    </row>
    <row r="89" spans="1:29" ht="45" customHeight="1">
      <c r="A89" s="448">
        <f t="shared" si="12"/>
        <v>85</v>
      </c>
      <c r="B89" s="448">
        <v>20067</v>
      </c>
      <c r="C89" s="448" t="s">
        <v>741</v>
      </c>
      <c r="D89" s="449">
        <f>3500000+27000000-2500000</f>
        <v>28000000</v>
      </c>
      <c r="E89" s="449">
        <v>3500000</v>
      </c>
      <c r="F89" s="449">
        <f t="shared" si="14"/>
        <v>24500000</v>
      </c>
      <c r="G89" s="449">
        <v>1500000</v>
      </c>
      <c r="H89" s="449">
        <v>534744</v>
      </c>
      <c r="I89" s="449"/>
      <c r="J89" s="449">
        <f>324871-117000</f>
        <v>207871</v>
      </c>
      <c r="K89" s="449">
        <f t="shared" si="15"/>
        <v>207871</v>
      </c>
      <c r="L89" s="449">
        <f t="shared" si="16"/>
        <v>742615</v>
      </c>
      <c r="M89" s="449">
        <f>P89+S89-500000-100000-150000</f>
        <v>7385</v>
      </c>
      <c r="N89" s="449">
        <f>500*9000-1750000-1500000</f>
        <v>1250000</v>
      </c>
      <c r="O89" s="449">
        <f t="shared" si="17"/>
        <v>26000000</v>
      </c>
      <c r="P89" s="449">
        <f t="shared" si="18"/>
        <v>757385</v>
      </c>
      <c r="Q89" s="482"/>
      <c r="R89" s="449"/>
      <c r="S89" s="449">
        <f t="shared" si="13"/>
        <v>0</v>
      </c>
      <c r="T89" s="449">
        <f t="shared" si="19"/>
        <v>750000</v>
      </c>
      <c r="U89" s="449">
        <f t="shared" si="20"/>
        <v>500000</v>
      </c>
      <c r="V89" s="449"/>
      <c r="W89" s="449">
        <f t="shared" si="21"/>
        <v>500000</v>
      </c>
      <c r="X89" s="449"/>
      <c r="Y89" s="449"/>
      <c r="Z89" s="449"/>
      <c r="AA89" s="448"/>
      <c r="AB89" s="448" t="s">
        <v>1309</v>
      </c>
      <c r="AC89" s="448">
        <v>743000</v>
      </c>
    </row>
    <row r="90" spans="1:29" ht="45" customHeight="1">
      <c r="A90" s="448">
        <f t="shared" si="12"/>
        <v>86</v>
      </c>
      <c r="B90" s="448">
        <v>20069</v>
      </c>
      <c r="C90" s="448" t="s">
        <v>742</v>
      </c>
      <c r="D90" s="449">
        <v>33000</v>
      </c>
      <c r="E90" s="449">
        <v>33000</v>
      </c>
      <c r="F90" s="449">
        <f t="shared" si="14"/>
        <v>0</v>
      </c>
      <c r="G90" s="449">
        <v>33000</v>
      </c>
      <c r="H90" s="449">
        <v>29043</v>
      </c>
      <c r="I90" s="449">
        <v>0</v>
      </c>
      <c r="J90" s="449">
        <v>3557</v>
      </c>
      <c r="K90" s="449">
        <f t="shared" si="15"/>
        <v>3557</v>
      </c>
      <c r="L90" s="449">
        <f t="shared" si="16"/>
        <v>32600</v>
      </c>
      <c r="M90" s="449">
        <f>P90+S90</f>
        <v>400</v>
      </c>
      <c r="N90" s="449"/>
      <c r="O90" s="449">
        <f t="shared" si="17"/>
        <v>0</v>
      </c>
      <c r="P90" s="449">
        <f t="shared" si="18"/>
        <v>400</v>
      </c>
      <c r="Q90" s="482"/>
      <c r="R90" s="449"/>
      <c r="S90" s="449">
        <f t="shared" si="13"/>
        <v>0</v>
      </c>
      <c r="T90" s="449">
        <f t="shared" si="19"/>
        <v>0</v>
      </c>
      <c r="U90" s="449">
        <f t="shared" si="20"/>
        <v>0</v>
      </c>
      <c r="V90" s="449"/>
      <c r="W90" s="449">
        <f t="shared" si="21"/>
        <v>0</v>
      </c>
      <c r="X90" s="449"/>
      <c r="Y90" s="449"/>
      <c r="Z90" s="449"/>
      <c r="AA90" s="448"/>
      <c r="AB90" s="448" t="s">
        <v>1451</v>
      </c>
      <c r="AC90" s="448">
        <v>747000</v>
      </c>
    </row>
    <row r="91" spans="1:29" ht="45" customHeight="1">
      <c r="A91" s="448">
        <f t="shared" si="12"/>
        <v>87</v>
      </c>
      <c r="B91" s="448">
        <v>20070</v>
      </c>
      <c r="C91" s="448" t="s">
        <v>743</v>
      </c>
      <c r="D91" s="449">
        <v>450000</v>
      </c>
      <c r="E91" s="449">
        <v>450000</v>
      </c>
      <c r="F91" s="449">
        <f t="shared" si="14"/>
        <v>0</v>
      </c>
      <c r="G91" s="449">
        <v>450000</v>
      </c>
      <c r="H91" s="449">
        <v>0</v>
      </c>
      <c r="I91" s="449">
        <v>0</v>
      </c>
      <c r="J91" s="449">
        <v>220754</v>
      </c>
      <c r="K91" s="449">
        <f t="shared" si="15"/>
        <v>220754</v>
      </c>
      <c r="L91" s="449">
        <f t="shared" si="16"/>
        <v>220754</v>
      </c>
      <c r="M91" s="449">
        <f>P91+S91-220000</f>
        <v>9246</v>
      </c>
      <c r="N91" s="449">
        <v>220000</v>
      </c>
      <c r="O91" s="449">
        <f t="shared" si="17"/>
        <v>0</v>
      </c>
      <c r="P91" s="449">
        <f t="shared" si="18"/>
        <v>229246</v>
      </c>
      <c r="Q91" s="482"/>
      <c r="R91" s="449"/>
      <c r="S91" s="449">
        <f t="shared" si="13"/>
        <v>0</v>
      </c>
      <c r="T91" s="449">
        <f t="shared" si="19"/>
        <v>220000</v>
      </c>
      <c r="U91" s="449">
        <f t="shared" si="20"/>
        <v>0</v>
      </c>
      <c r="V91" s="449"/>
      <c r="W91" s="449">
        <f t="shared" si="21"/>
        <v>0</v>
      </c>
      <c r="X91" s="449"/>
      <c r="Y91" s="449"/>
      <c r="Z91" s="449"/>
      <c r="AA91" s="448"/>
      <c r="AB91" s="448" t="s">
        <v>1522</v>
      </c>
      <c r="AC91" s="448">
        <v>829000</v>
      </c>
    </row>
    <row r="92" spans="1:29" ht="45" customHeight="1">
      <c r="A92" s="448">
        <f t="shared" si="12"/>
        <v>88</v>
      </c>
      <c r="B92" s="448">
        <v>20071</v>
      </c>
      <c r="C92" s="448" t="s">
        <v>814</v>
      </c>
      <c r="D92" s="449">
        <f>450000+150000</f>
        <v>600000</v>
      </c>
      <c r="E92" s="449">
        <v>450000</v>
      </c>
      <c r="F92" s="449">
        <f t="shared" si="14"/>
        <v>150000</v>
      </c>
      <c r="G92" s="449">
        <v>0</v>
      </c>
      <c r="H92" s="449">
        <v>0</v>
      </c>
      <c r="I92" s="449">
        <v>0</v>
      </c>
      <c r="J92" s="449">
        <v>0</v>
      </c>
      <c r="K92" s="449">
        <f t="shared" si="15"/>
        <v>0</v>
      </c>
      <c r="L92" s="449">
        <f t="shared" si="16"/>
        <v>0</v>
      </c>
      <c r="M92" s="449">
        <f>P92+S92</f>
        <v>0</v>
      </c>
      <c r="N92" s="449">
        <f>600000-300000-300000</f>
        <v>0</v>
      </c>
      <c r="O92" s="449">
        <f t="shared" si="17"/>
        <v>600000</v>
      </c>
      <c r="P92" s="449">
        <f t="shared" si="18"/>
        <v>0</v>
      </c>
      <c r="Q92" s="482"/>
      <c r="R92" s="449"/>
      <c r="S92" s="449">
        <f t="shared" si="13"/>
        <v>0</v>
      </c>
      <c r="T92" s="449">
        <f t="shared" si="19"/>
        <v>0</v>
      </c>
      <c r="U92" s="449">
        <f t="shared" si="20"/>
        <v>0</v>
      </c>
      <c r="V92" s="449"/>
      <c r="W92" s="449">
        <f t="shared" si="21"/>
        <v>0</v>
      </c>
      <c r="X92" s="449"/>
      <c r="Y92" s="449"/>
      <c r="Z92" s="449"/>
      <c r="AA92" s="448"/>
      <c r="AB92" s="448" t="s">
        <v>896</v>
      </c>
      <c r="AC92" s="448">
        <v>747000</v>
      </c>
    </row>
    <row r="93" spans="1:29" ht="45" customHeight="1">
      <c r="A93" s="448">
        <f t="shared" si="12"/>
        <v>89</v>
      </c>
      <c r="B93" s="448">
        <v>20072</v>
      </c>
      <c r="C93" s="448" t="s">
        <v>792</v>
      </c>
      <c r="D93" s="449">
        <f>2000000-1000000</f>
        <v>1000000</v>
      </c>
      <c r="E93" s="449">
        <v>2000000</v>
      </c>
      <c r="F93" s="449">
        <f t="shared" si="14"/>
        <v>-1000000</v>
      </c>
      <c r="G93" s="449">
        <v>1000000</v>
      </c>
      <c r="H93" s="449">
        <v>700769</v>
      </c>
      <c r="I93" s="449">
        <v>0</v>
      </c>
      <c r="J93" s="449">
        <v>5010</v>
      </c>
      <c r="K93" s="449">
        <f t="shared" si="15"/>
        <v>5010</v>
      </c>
      <c r="L93" s="449">
        <f t="shared" si="16"/>
        <v>705779</v>
      </c>
      <c r="M93" s="449">
        <f>P93+S93-290000</f>
        <v>4221</v>
      </c>
      <c r="N93" s="449">
        <v>290000</v>
      </c>
      <c r="O93" s="449">
        <f t="shared" si="17"/>
        <v>0</v>
      </c>
      <c r="P93" s="449">
        <f t="shared" si="18"/>
        <v>294221</v>
      </c>
      <c r="Q93" s="482"/>
      <c r="R93" s="449"/>
      <c r="S93" s="449">
        <f t="shared" si="13"/>
        <v>0</v>
      </c>
      <c r="T93" s="449">
        <f t="shared" si="19"/>
        <v>290000</v>
      </c>
      <c r="U93" s="449">
        <f t="shared" si="20"/>
        <v>0</v>
      </c>
      <c r="V93" s="449"/>
      <c r="W93" s="449">
        <f t="shared" si="21"/>
        <v>0</v>
      </c>
      <c r="X93" s="449"/>
      <c r="Y93" s="449"/>
      <c r="Z93" s="449"/>
      <c r="AA93" s="448"/>
      <c r="AB93" s="448" t="s">
        <v>863</v>
      </c>
      <c r="AC93" s="448">
        <v>743000</v>
      </c>
    </row>
    <row r="94" spans="1:29" ht="45" customHeight="1">
      <c r="A94" s="448">
        <f t="shared" si="12"/>
        <v>90</v>
      </c>
      <c r="B94" s="448">
        <v>20073</v>
      </c>
      <c r="C94" s="448" t="s">
        <v>802</v>
      </c>
      <c r="D94" s="449">
        <v>300000</v>
      </c>
      <c r="E94" s="449">
        <v>300000</v>
      </c>
      <c r="F94" s="449">
        <f t="shared" si="14"/>
        <v>0</v>
      </c>
      <c r="G94" s="449">
        <v>300000</v>
      </c>
      <c r="H94" s="449">
        <v>59989</v>
      </c>
      <c r="I94" s="449">
        <v>0</v>
      </c>
      <c r="J94" s="449"/>
      <c r="K94" s="449">
        <f t="shared" si="15"/>
        <v>0</v>
      </c>
      <c r="L94" s="449">
        <f t="shared" si="16"/>
        <v>59989</v>
      </c>
      <c r="M94" s="449">
        <f>P94+S94-240000</f>
        <v>11</v>
      </c>
      <c r="N94" s="449">
        <v>240000</v>
      </c>
      <c r="O94" s="449">
        <f t="shared" si="17"/>
        <v>0</v>
      </c>
      <c r="P94" s="449">
        <f t="shared" si="18"/>
        <v>240011</v>
      </c>
      <c r="Q94" s="482"/>
      <c r="R94" s="449"/>
      <c r="S94" s="449">
        <f t="shared" si="13"/>
        <v>0</v>
      </c>
      <c r="T94" s="449">
        <f t="shared" si="19"/>
        <v>240000</v>
      </c>
      <c r="U94" s="449">
        <f t="shared" si="20"/>
        <v>0</v>
      </c>
      <c r="V94" s="449"/>
      <c r="W94" s="449">
        <f t="shared" si="21"/>
        <v>0</v>
      </c>
      <c r="X94" s="449"/>
      <c r="Y94" s="449"/>
      <c r="Z94" s="449"/>
      <c r="AA94" s="448"/>
      <c r="AB94" s="448" t="s">
        <v>463</v>
      </c>
      <c r="AC94" s="448">
        <v>810000</v>
      </c>
    </row>
    <row r="95" spans="1:29" ht="51.6" customHeight="1">
      <c r="A95" s="448">
        <f t="shared" si="12"/>
        <v>91</v>
      </c>
      <c r="B95" s="448">
        <v>20074</v>
      </c>
      <c r="C95" s="448" t="s">
        <v>815</v>
      </c>
      <c r="D95" s="449">
        <v>1500000</v>
      </c>
      <c r="E95" s="449">
        <v>1500000</v>
      </c>
      <c r="F95" s="449">
        <f t="shared" si="14"/>
        <v>0</v>
      </c>
      <c r="G95" s="449">
        <v>700000</v>
      </c>
      <c r="H95" s="449">
        <v>0</v>
      </c>
      <c r="I95" s="449">
        <v>0</v>
      </c>
      <c r="J95" s="449">
        <v>0</v>
      </c>
      <c r="K95" s="449">
        <f t="shared" si="15"/>
        <v>0</v>
      </c>
      <c r="L95" s="449">
        <f t="shared" si="16"/>
        <v>0</v>
      </c>
      <c r="M95" s="449">
        <f>P95+S95</f>
        <v>0</v>
      </c>
      <c r="N95" s="449">
        <v>700000</v>
      </c>
      <c r="O95" s="449">
        <f t="shared" si="17"/>
        <v>800000</v>
      </c>
      <c r="P95" s="449">
        <f t="shared" si="18"/>
        <v>700000</v>
      </c>
      <c r="Q95" s="482"/>
      <c r="R95" s="449">
        <v>-700000</v>
      </c>
      <c r="S95" s="449">
        <f t="shared" si="13"/>
        <v>-700000</v>
      </c>
      <c r="T95" s="449">
        <f t="shared" si="19"/>
        <v>0</v>
      </c>
      <c r="U95" s="449">
        <f t="shared" si="20"/>
        <v>700000</v>
      </c>
      <c r="V95" s="449"/>
      <c r="W95" s="449">
        <f t="shared" si="21"/>
        <v>700000</v>
      </c>
      <c r="X95" s="449"/>
      <c r="Y95" s="449"/>
      <c r="Z95" s="449"/>
      <c r="AA95" s="448"/>
      <c r="AB95" s="448" t="s">
        <v>864</v>
      </c>
      <c r="AC95" s="448">
        <v>930000</v>
      </c>
    </row>
    <row r="96" spans="1:29" ht="45" customHeight="1">
      <c r="A96" s="448">
        <f t="shared" si="12"/>
        <v>92</v>
      </c>
      <c r="B96" s="448">
        <v>20086</v>
      </c>
      <c r="C96" s="448" t="s">
        <v>802</v>
      </c>
      <c r="D96" s="449">
        <v>60000</v>
      </c>
      <c r="E96" s="449">
        <v>60000</v>
      </c>
      <c r="F96" s="449">
        <f t="shared" si="14"/>
        <v>0</v>
      </c>
      <c r="G96" s="449">
        <v>60000</v>
      </c>
      <c r="H96" s="449">
        <v>0</v>
      </c>
      <c r="I96" s="449">
        <v>0</v>
      </c>
      <c r="J96" s="449">
        <v>0</v>
      </c>
      <c r="K96" s="449">
        <f t="shared" si="15"/>
        <v>0</v>
      </c>
      <c r="L96" s="449">
        <f t="shared" si="16"/>
        <v>0</v>
      </c>
      <c r="M96" s="449">
        <f>P96+S96-60000</f>
        <v>0</v>
      </c>
      <c r="N96" s="449">
        <v>60000</v>
      </c>
      <c r="O96" s="449">
        <f t="shared" si="17"/>
        <v>0</v>
      </c>
      <c r="P96" s="449">
        <f t="shared" si="18"/>
        <v>60000</v>
      </c>
      <c r="Q96" s="482"/>
      <c r="R96" s="449"/>
      <c r="S96" s="449">
        <f t="shared" si="13"/>
        <v>0</v>
      </c>
      <c r="T96" s="449">
        <f t="shared" si="19"/>
        <v>60000</v>
      </c>
      <c r="U96" s="449">
        <f t="shared" si="20"/>
        <v>0</v>
      </c>
      <c r="V96" s="449"/>
      <c r="W96" s="449">
        <f t="shared" si="21"/>
        <v>0</v>
      </c>
      <c r="X96" s="449"/>
      <c r="Y96" s="449"/>
      <c r="Z96" s="449"/>
      <c r="AA96" s="448"/>
      <c r="AB96" s="448" t="s">
        <v>950</v>
      </c>
      <c r="AC96" s="448">
        <v>810000</v>
      </c>
    </row>
    <row r="97" spans="1:58" ht="45" customHeight="1">
      <c r="A97" s="448">
        <f t="shared" si="12"/>
        <v>93</v>
      </c>
      <c r="B97" s="448">
        <v>20088</v>
      </c>
      <c r="C97" s="448" t="s">
        <v>935</v>
      </c>
      <c r="D97" s="449">
        <v>30000</v>
      </c>
      <c r="E97" s="449">
        <v>30000</v>
      </c>
      <c r="F97" s="449">
        <f t="shared" si="14"/>
        <v>0</v>
      </c>
      <c r="G97" s="449">
        <v>30000</v>
      </c>
      <c r="H97" s="449">
        <v>0</v>
      </c>
      <c r="I97" s="449">
        <v>0</v>
      </c>
      <c r="J97" s="449">
        <v>0</v>
      </c>
      <c r="K97" s="449">
        <f t="shared" si="15"/>
        <v>0</v>
      </c>
      <c r="L97" s="449">
        <f t="shared" si="16"/>
        <v>0</v>
      </c>
      <c r="M97" s="449">
        <f>P97+S97-30000</f>
        <v>0</v>
      </c>
      <c r="N97" s="449">
        <v>30000</v>
      </c>
      <c r="O97" s="449">
        <f t="shared" si="17"/>
        <v>0</v>
      </c>
      <c r="P97" s="449">
        <f t="shared" si="18"/>
        <v>30000</v>
      </c>
      <c r="Q97" s="482"/>
      <c r="R97" s="449"/>
      <c r="S97" s="449">
        <f t="shared" si="13"/>
        <v>0</v>
      </c>
      <c r="T97" s="449">
        <f t="shared" si="19"/>
        <v>30000</v>
      </c>
      <c r="U97" s="449">
        <f t="shared" si="20"/>
        <v>0</v>
      </c>
      <c r="V97" s="449"/>
      <c r="W97" s="449">
        <f t="shared" si="21"/>
        <v>0</v>
      </c>
      <c r="X97" s="449"/>
      <c r="Y97" s="449"/>
      <c r="Z97" s="449"/>
      <c r="AA97" s="448"/>
      <c r="AB97" s="448" t="s">
        <v>951</v>
      </c>
      <c r="AC97" s="448">
        <v>810000</v>
      </c>
    </row>
    <row r="98" spans="1:58" ht="55.2">
      <c r="A98" s="448">
        <f t="shared" si="12"/>
        <v>94</v>
      </c>
      <c r="B98" s="448">
        <v>20089</v>
      </c>
      <c r="C98" s="448" t="s">
        <v>936</v>
      </c>
      <c r="D98" s="449">
        <v>1500000</v>
      </c>
      <c r="E98" s="449">
        <v>1500000</v>
      </c>
      <c r="F98" s="449">
        <f t="shared" si="14"/>
        <v>0</v>
      </c>
      <c r="G98" s="449">
        <v>500000</v>
      </c>
      <c r="H98" s="449">
        <v>0</v>
      </c>
      <c r="I98" s="449">
        <v>0</v>
      </c>
      <c r="J98" s="449">
        <v>0</v>
      </c>
      <c r="K98" s="449">
        <f t="shared" si="15"/>
        <v>0</v>
      </c>
      <c r="L98" s="449">
        <f t="shared" si="16"/>
        <v>0</v>
      </c>
      <c r="M98" s="449">
        <f>P98+S98-500000</f>
        <v>0</v>
      </c>
      <c r="N98" s="449">
        <f>500000+500000</f>
        <v>1000000</v>
      </c>
      <c r="O98" s="449">
        <f t="shared" si="17"/>
        <v>500000</v>
      </c>
      <c r="P98" s="449">
        <f t="shared" si="18"/>
        <v>500000</v>
      </c>
      <c r="Q98" s="482"/>
      <c r="R98" s="449"/>
      <c r="S98" s="449">
        <f t="shared" si="13"/>
        <v>0</v>
      </c>
      <c r="T98" s="449">
        <f t="shared" si="19"/>
        <v>500000</v>
      </c>
      <c r="U98" s="449">
        <f t="shared" si="20"/>
        <v>500000</v>
      </c>
      <c r="V98" s="449"/>
      <c r="W98" s="449">
        <f t="shared" si="21"/>
        <v>0</v>
      </c>
      <c r="X98" s="449"/>
      <c r="Y98" s="449"/>
      <c r="Z98" s="449"/>
      <c r="AA98" s="449">
        <v>500000</v>
      </c>
      <c r="AB98" s="448" t="s">
        <v>952</v>
      </c>
      <c r="AC98" s="448">
        <v>848000</v>
      </c>
    </row>
    <row r="99" spans="1:58" s="485" customFormat="1" ht="45" customHeight="1">
      <c r="A99" s="448">
        <f t="shared" si="12"/>
        <v>95</v>
      </c>
      <c r="B99" s="448">
        <v>20091</v>
      </c>
      <c r="C99" s="448" t="s">
        <v>937</v>
      </c>
      <c r="D99" s="449">
        <f>500000+375000+325000</f>
        <v>1200000</v>
      </c>
      <c r="E99" s="449">
        <v>500000</v>
      </c>
      <c r="F99" s="449">
        <f t="shared" si="14"/>
        <v>700000</v>
      </c>
      <c r="G99" s="449">
        <v>500000</v>
      </c>
      <c r="H99" s="449">
        <v>224455</v>
      </c>
      <c r="I99" s="449">
        <v>0</v>
      </c>
      <c r="J99" s="449">
        <v>275533</v>
      </c>
      <c r="K99" s="449">
        <f t="shared" si="15"/>
        <v>275533</v>
      </c>
      <c r="L99" s="449">
        <f t="shared" si="16"/>
        <v>499988</v>
      </c>
      <c r="M99" s="449">
        <f>P99+S99</f>
        <v>12</v>
      </c>
      <c r="N99" s="449">
        <f>375000+325000-300000</f>
        <v>400000</v>
      </c>
      <c r="O99" s="449">
        <f t="shared" si="17"/>
        <v>300000</v>
      </c>
      <c r="P99" s="449">
        <f t="shared" si="18"/>
        <v>12</v>
      </c>
      <c r="Q99" s="490"/>
      <c r="R99" s="449"/>
      <c r="S99" s="449">
        <f t="shared" si="13"/>
        <v>0</v>
      </c>
      <c r="T99" s="449">
        <f t="shared" si="19"/>
        <v>0</v>
      </c>
      <c r="U99" s="449">
        <f t="shared" si="20"/>
        <v>400000</v>
      </c>
      <c r="V99" s="449"/>
      <c r="W99" s="449">
        <f t="shared" si="21"/>
        <v>400000</v>
      </c>
      <c r="X99" s="449"/>
      <c r="Y99" s="449"/>
      <c r="Z99" s="449"/>
      <c r="AA99" s="448"/>
      <c r="AB99" s="448" t="s">
        <v>953</v>
      </c>
      <c r="AC99" s="448">
        <v>870000</v>
      </c>
      <c r="AD99" s="756"/>
      <c r="AE99" s="756"/>
      <c r="AF99" s="756"/>
      <c r="AG99" s="756"/>
      <c r="AH99" s="756"/>
      <c r="AI99" s="756"/>
      <c r="AJ99" s="756"/>
      <c r="AK99" s="756"/>
      <c r="AL99" s="756"/>
      <c r="AM99" s="756"/>
      <c r="AN99" s="756"/>
      <c r="AO99" s="756"/>
      <c r="AP99" s="756"/>
      <c r="AQ99"/>
    </row>
    <row r="100" spans="1:58" ht="45" customHeight="1">
      <c r="A100" s="448">
        <f t="shared" si="12"/>
        <v>96</v>
      </c>
      <c r="B100" s="448">
        <v>20092</v>
      </c>
      <c r="C100" s="448" t="s">
        <v>938</v>
      </c>
      <c r="D100" s="449">
        <v>530000</v>
      </c>
      <c r="E100" s="449">
        <v>530000</v>
      </c>
      <c r="F100" s="449">
        <f t="shared" si="14"/>
        <v>0</v>
      </c>
      <c r="G100" s="449">
        <v>530000</v>
      </c>
      <c r="H100" s="449">
        <v>530000</v>
      </c>
      <c r="I100" s="449">
        <v>0</v>
      </c>
      <c r="J100" s="449"/>
      <c r="K100" s="449">
        <f t="shared" si="15"/>
        <v>0</v>
      </c>
      <c r="L100" s="449">
        <f t="shared" si="16"/>
        <v>530000</v>
      </c>
      <c r="M100" s="449">
        <f>P100+S100</f>
        <v>0</v>
      </c>
      <c r="N100" s="449"/>
      <c r="O100" s="449">
        <f t="shared" si="17"/>
        <v>0</v>
      </c>
      <c r="P100" s="449">
        <f t="shared" si="18"/>
        <v>0</v>
      </c>
      <c r="Q100" s="482"/>
      <c r="R100" s="449"/>
      <c r="S100" s="449">
        <f t="shared" si="13"/>
        <v>0</v>
      </c>
      <c r="T100" s="449">
        <f t="shared" si="19"/>
        <v>0</v>
      </c>
      <c r="U100" s="449">
        <f t="shared" si="20"/>
        <v>0</v>
      </c>
      <c r="V100" s="449"/>
      <c r="W100" s="449">
        <f t="shared" si="21"/>
        <v>0</v>
      </c>
      <c r="X100" s="449"/>
      <c r="Y100" s="449"/>
      <c r="Z100" s="449"/>
      <c r="AA100" s="448"/>
      <c r="AB100" s="448" t="s">
        <v>1452</v>
      </c>
      <c r="AC100" s="448">
        <v>930000</v>
      </c>
    </row>
    <row r="101" spans="1:58" ht="45" customHeight="1">
      <c r="A101" s="448">
        <f t="shared" si="12"/>
        <v>97</v>
      </c>
      <c r="B101" s="448">
        <v>20094</v>
      </c>
      <c r="C101" s="448" t="s">
        <v>939</v>
      </c>
      <c r="D101" s="449">
        <v>2090000</v>
      </c>
      <c r="E101" s="449">
        <v>2090000</v>
      </c>
      <c r="F101" s="449">
        <f t="shared" si="14"/>
        <v>0</v>
      </c>
      <c r="G101" s="449">
        <v>2090000</v>
      </c>
      <c r="H101" s="449">
        <v>1770879</v>
      </c>
      <c r="I101" s="449"/>
      <c r="J101" s="449">
        <v>319121</v>
      </c>
      <c r="K101" s="449">
        <f t="shared" si="15"/>
        <v>319121</v>
      </c>
      <c r="L101" s="449">
        <f t="shared" si="16"/>
        <v>2090000</v>
      </c>
      <c r="M101" s="449">
        <f>P101+S101</f>
        <v>0</v>
      </c>
      <c r="N101" s="449"/>
      <c r="O101" s="449">
        <f t="shared" si="17"/>
        <v>0</v>
      </c>
      <c r="P101" s="449">
        <f t="shared" si="18"/>
        <v>0</v>
      </c>
      <c r="Q101" s="482"/>
      <c r="R101" s="449"/>
      <c r="S101" s="449">
        <f t="shared" si="13"/>
        <v>0</v>
      </c>
      <c r="T101" s="449">
        <f t="shared" si="19"/>
        <v>0</v>
      </c>
      <c r="U101" s="449">
        <f t="shared" si="20"/>
        <v>0</v>
      </c>
      <c r="V101" s="449">
        <v>-523000</v>
      </c>
      <c r="W101" s="449">
        <f t="shared" si="21"/>
        <v>0</v>
      </c>
      <c r="X101" s="449"/>
      <c r="Y101" s="449"/>
      <c r="Z101" s="449"/>
      <c r="AA101" s="449">
        <v>523000</v>
      </c>
      <c r="AB101" s="448" t="s">
        <v>1396</v>
      </c>
      <c r="AC101" s="448">
        <v>829000</v>
      </c>
    </row>
    <row r="102" spans="1:58" ht="45" customHeight="1">
      <c r="A102" s="448">
        <f t="shared" si="12"/>
        <v>98</v>
      </c>
      <c r="B102" s="448">
        <v>20095</v>
      </c>
      <c r="C102" s="448" t="s">
        <v>940</v>
      </c>
      <c r="D102" s="449">
        <v>1000000</v>
      </c>
      <c r="E102" s="449">
        <v>1000000</v>
      </c>
      <c r="F102" s="449">
        <f t="shared" si="14"/>
        <v>0</v>
      </c>
      <c r="G102" s="449">
        <v>1000000</v>
      </c>
      <c r="H102" s="449">
        <v>299790</v>
      </c>
      <c r="I102" s="449">
        <v>0</v>
      </c>
      <c r="J102" s="449">
        <v>349994</v>
      </c>
      <c r="K102" s="449">
        <f t="shared" si="15"/>
        <v>349994</v>
      </c>
      <c r="L102" s="449">
        <f t="shared" si="16"/>
        <v>649784</v>
      </c>
      <c r="M102" s="449">
        <f>P102+S102-350000</f>
        <v>216</v>
      </c>
      <c r="N102" s="449">
        <v>350000</v>
      </c>
      <c r="O102" s="449">
        <f t="shared" si="17"/>
        <v>0</v>
      </c>
      <c r="P102" s="449">
        <f t="shared" si="18"/>
        <v>350216</v>
      </c>
      <c r="Q102" s="482"/>
      <c r="R102" s="449"/>
      <c r="S102" s="449">
        <f t="shared" si="13"/>
        <v>0</v>
      </c>
      <c r="T102" s="449">
        <f t="shared" si="19"/>
        <v>350000</v>
      </c>
      <c r="U102" s="449">
        <f t="shared" si="20"/>
        <v>0</v>
      </c>
      <c r="V102" s="449"/>
      <c r="W102" s="449">
        <f t="shared" si="21"/>
        <v>0</v>
      </c>
      <c r="X102" s="449"/>
      <c r="Y102" s="449"/>
      <c r="Z102" s="449"/>
      <c r="AA102" s="448"/>
      <c r="AB102" s="448" t="s">
        <v>954</v>
      </c>
      <c r="AC102" s="448">
        <v>930000</v>
      </c>
    </row>
    <row r="103" spans="1:58" ht="45" customHeight="1">
      <c r="A103" s="448">
        <f t="shared" si="12"/>
        <v>99</v>
      </c>
      <c r="B103" s="448">
        <v>20096</v>
      </c>
      <c r="C103" s="448" t="s">
        <v>941</v>
      </c>
      <c r="D103" s="449">
        <v>2050000</v>
      </c>
      <c r="E103" s="449">
        <v>2050000</v>
      </c>
      <c r="F103" s="449">
        <f t="shared" si="14"/>
        <v>0</v>
      </c>
      <c r="G103" s="449">
        <v>2050000</v>
      </c>
      <c r="H103" s="449">
        <v>1513333</v>
      </c>
      <c r="I103" s="449">
        <v>0</v>
      </c>
      <c r="J103" s="449">
        <f>22753+425922</f>
        <v>448675</v>
      </c>
      <c r="K103" s="449">
        <f t="shared" si="15"/>
        <v>448675</v>
      </c>
      <c r="L103" s="449">
        <f t="shared" si="16"/>
        <v>1962008</v>
      </c>
      <c r="M103" s="449">
        <f>P103+S103-85000</f>
        <v>2992</v>
      </c>
      <c r="N103" s="449">
        <f>80000+5000</f>
        <v>85000</v>
      </c>
      <c r="O103" s="449">
        <f t="shared" si="17"/>
        <v>0</v>
      </c>
      <c r="P103" s="449">
        <f t="shared" si="18"/>
        <v>87992</v>
      </c>
      <c r="Q103" s="482"/>
      <c r="R103" s="449"/>
      <c r="S103" s="449">
        <f t="shared" si="13"/>
        <v>0</v>
      </c>
      <c r="T103" s="449">
        <f t="shared" si="19"/>
        <v>85000</v>
      </c>
      <c r="U103" s="449">
        <f t="shared" si="20"/>
        <v>0</v>
      </c>
      <c r="V103" s="449"/>
      <c r="W103" s="449">
        <f t="shared" si="21"/>
        <v>0</v>
      </c>
      <c r="X103" s="449"/>
      <c r="Y103" s="449"/>
      <c r="Z103" s="449"/>
      <c r="AA103" s="448"/>
      <c r="AB103" s="448" t="s">
        <v>955</v>
      </c>
      <c r="AC103" s="448">
        <v>930000</v>
      </c>
    </row>
    <row r="104" spans="1:58" ht="45" customHeight="1">
      <c r="A104" s="448">
        <f t="shared" si="12"/>
        <v>100</v>
      </c>
      <c r="B104" s="448">
        <v>20100</v>
      </c>
      <c r="C104" s="448" t="s">
        <v>942</v>
      </c>
      <c r="D104" s="449">
        <f>2100000-90000</f>
        <v>2010000</v>
      </c>
      <c r="E104" s="449">
        <v>2100000</v>
      </c>
      <c r="F104" s="449">
        <f>D104-E104</f>
        <v>-90000</v>
      </c>
      <c r="G104" s="449">
        <v>2100000</v>
      </c>
      <c r="H104" s="449">
        <v>2242</v>
      </c>
      <c r="I104" s="449">
        <v>0</v>
      </c>
      <c r="J104" s="449">
        <v>1974255</v>
      </c>
      <c r="K104" s="449">
        <f>I104+J104</f>
        <v>1974255</v>
      </c>
      <c r="L104" s="449">
        <f>H104+K104</f>
        <v>1976497</v>
      </c>
      <c r="M104" s="449">
        <f>P104+S104-100000-20000</f>
        <v>3503</v>
      </c>
      <c r="N104" s="449">
        <f>100000+20000-90000</f>
        <v>30000</v>
      </c>
      <c r="O104" s="449">
        <f>D104-L104-M104-N104</f>
        <v>0</v>
      </c>
      <c r="P104" s="449">
        <f>G104-L104</f>
        <v>123503</v>
      </c>
      <c r="Q104" s="482"/>
      <c r="R104" s="449"/>
      <c r="S104" s="449">
        <f>SUM(Q104:R104)</f>
        <v>0</v>
      </c>
      <c r="T104" s="449">
        <f>P104-M104+S104</f>
        <v>120000</v>
      </c>
      <c r="U104" s="449">
        <f>N104-T104</f>
        <v>-90000</v>
      </c>
      <c r="V104" s="449">
        <v>-90000</v>
      </c>
      <c r="W104" s="449">
        <f t="shared" si="21"/>
        <v>0</v>
      </c>
      <c r="X104" s="449"/>
      <c r="Y104" s="449"/>
      <c r="Z104" s="449"/>
      <c r="AA104" s="448"/>
      <c r="AB104" s="448" t="s">
        <v>956</v>
      </c>
      <c r="AC104" s="448">
        <v>742000</v>
      </c>
    </row>
    <row r="105" spans="1:58" ht="45" customHeight="1">
      <c r="A105" s="448">
        <f t="shared" si="12"/>
        <v>101</v>
      </c>
      <c r="B105" s="448">
        <v>20104</v>
      </c>
      <c r="C105" s="448" t="s">
        <v>1531</v>
      </c>
      <c r="D105" s="449">
        <f>5000000+17000000+1200000</f>
        <v>23200000</v>
      </c>
      <c r="E105" s="449">
        <f>5000000+18200000</f>
        <v>23200000</v>
      </c>
      <c r="F105" s="449">
        <f t="shared" si="14"/>
        <v>0</v>
      </c>
      <c r="G105" s="449"/>
      <c r="H105" s="449">
        <v>0</v>
      </c>
      <c r="I105" s="449">
        <v>0</v>
      </c>
      <c r="J105" s="449">
        <v>60652</v>
      </c>
      <c r="K105" s="449">
        <f t="shared" si="15"/>
        <v>60652</v>
      </c>
      <c r="L105" s="449">
        <f t="shared" si="16"/>
        <v>60652</v>
      </c>
      <c r="M105" s="449">
        <f>P105+S105-4800000-100000-35000</f>
        <v>4348</v>
      </c>
      <c r="N105" s="449">
        <f>4800000+100000+18200000+35000</f>
        <v>23135000</v>
      </c>
      <c r="O105" s="449">
        <f t="shared" si="17"/>
        <v>0</v>
      </c>
      <c r="P105" s="449">
        <f t="shared" si="18"/>
        <v>-60652</v>
      </c>
      <c r="Q105" s="482"/>
      <c r="R105" s="449">
        <v>5000000</v>
      </c>
      <c r="S105" s="449">
        <f t="shared" si="13"/>
        <v>5000000</v>
      </c>
      <c r="T105" s="449">
        <f t="shared" si="19"/>
        <v>4935000</v>
      </c>
      <c r="U105" s="449">
        <f t="shared" si="20"/>
        <v>18200000</v>
      </c>
      <c r="V105" s="449"/>
      <c r="W105" s="449">
        <f t="shared" si="21"/>
        <v>-5000000</v>
      </c>
      <c r="X105" s="449"/>
      <c r="Y105" s="449">
        <f>5000000+18200000</f>
        <v>23200000</v>
      </c>
      <c r="Z105" s="449"/>
      <c r="AA105" s="448"/>
      <c r="AB105" s="448" t="s">
        <v>1397</v>
      </c>
      <c r="AC105" s="448">
        <v>720000</v>
      </c>
    </row>
    <row r="106" spans="1:58" s="452" customFormat="1" ht="69">
      <c r="A106" s="448">
        <f t="shared" si="12"/>
        <v>102</v>
      </c>
      <c r="B106" s="448">
        <v>20115</v>
      </c>
      <c r="C106" s="135" t="s">
        <v>1456</v>
      </c>
      <c r="D106" s="120">
        <f>3830000+170000</f>
        <v>4000000</v>
      </c>
      <c r="E106" s="120"/>
      <c r="F106" s="120">
        <f t="shared" si="14"/>
        <v>4000000</v>
      </c>
      <c r="G106" s="120">
        <v>0</v>
      </c>
      <c r="H106" s="120"/>
      <c r="I106" s="120"/>
      <c r="J106" s="120"/>
      <c r="K106" s="120">
        <f t="shared" si="15"/>
        <v>0</v>
      </c>
      <c r="L106" s="120">
        <f t="shared" si="16"/>
        <v>0</v>
      </c>
      <c r="M106" s="120">
        <f t="shared" ref="M106:M113" si="22">P106+S106</f>
        <v>0</v>
      </c>
      <c r="N106" s="120">
        <v>4000000</v>
      </c>
      <c r="O106" s="120">
        <f t="shared" si="17"/>
        <v>0</v>
      </c>
      <c r="P106" s="120">
        <f t="shared" si="18"/>
        <v>0</v>
      </c>
      <c r="Q106" s="120"/>
      <c r="R106" s="120"/>
      <c r="S106" s="120">
        <f t="shared" ref="S106" si="23">SUM(Q106:R106)</f>
        <v>0</v>
      </c>
      <c r="T106" s="120">
        <f t="shared" si="19"/>
        <v>0</v>
      </c>
      <c r="U106" s="449">
        <f t="shared" si="20"/>
        <v>4000000</v>
      </c>
      <c r="V106" s="120"/>
      <c r="W106" s="449">
        <f t="shared" si="21"/>
        <v>4000000</v>
      </c>
      <c r="X106" s="120"/>
      <c r="Y106" s="120"/>
      <c r="Z106" s="120"/>
      <c r="AA106" s="120"/>
      <c r="AB106" s="448" t="s">
        <v>1457</v>
      </c>
      <c r="AC106" s="448">
        <v>742000</v>
      </c>
      <c r="AD106" s="756"/>
      <c r="AE106" s="756"/>
      <c r="AF106" s="756"/>
      <c r="AG106" s="756"/>
      <c r="AH106" s="756"/>
      <c r="AI106" s="756"/>
      <c r="AJ106" s="756"/>
      <c r="AK106" s="756"/>
      <c r="AL106" s="756"/>
      <c r="AM106" s="756"/>
      <c r="AN106" s="756"/>
      <c r="AO106" s="756"/>
      <c r="AP106" s="756"/>
      <c r="AQ106" s="315"/>
      <c r="AR106" s="465"/>
      <c r="AS106" s="465"/>
      <c r="AT106" s="465"/>
      <c r="AU106" s="465"/>
      <c r="AV106" s="465"/>
      <c r="AW106" s="465"/>
      <c r="AX106" s="272"/>
      <c r="AY106" s="272"/>
      <c r="AZ106" s="272"/>
      <c r="BA106" s="272"/>
      <c r="BB106" s="272"/>
      <c r="BC106" s="272"/>
      <c r="BD106" s="272"/>
      <c r="BE106" s="272"/>
      <c r="BF106" s="272"/>
    </row>
    <row r="107" spans="1:58" s="452" customFormat="1" ht="69">
      <c r="A107" s="448">
        <f t="shared" si="12"/>
        <v>103</v>
      </c>
      <c r="B107" s="448">
        <v>20116</v>
      </c>
      <c r="C107" s="135" t="s">
        <v>986</v>
      </c>
      <c r="D107" s="120">
        <f>5450000+825000-875000</f>
        <v>5400000</v>
      </c>
      <c r="E107" s="120"/>
      <c r="F107" s="120">
        <f t="shared" si="14"/>
        <v>5400000</v>
      </c>
      <c r="G107" s="120">
        <v>0</v>
      </c>
      <c r="H107" s="120"/>
      <c r="I107" s="120"/>
      <c r="J107" s="120"/>
      <c r="K107" s="120">
        <f t="shared" si="15"/>
        <v>0</v>
      </c>
      <c r="L107" s="120">
        <f t="shared" si="16"/>
        <v>0</v>
      </c>
      <c r="M107" s="120">
        <f t="shared" si="22"/>
        <v>0</v>
      </c>
      <c r="N107" s="120">
        <f>6275000-875000-3400000-1000000</f>
        <v>1000000</v>
      </c>
      <c r="O107" s="120">
        <f t="shared" si="17"/>
        <v>4400000</v>
      </c>
      <c r="P107" s="120">
        <f t="shared" si="18"/>
        <v>0</v>
      </c>
      <c r="Q107" s="120"/>
      <c r="R107" s="120"/>
      <c r="S107" s="120">
        <f t="shared" ref="S107:S113" si="24">SUM(Q107:R107)</f>
        <v>0</v>
      </c>
      <c r="T107" s="120">
        <f t="shared" si="19"/>
        <v>0</v>
      </c>
      <c r="U107" s="449">
        <f t="shared" si="20"/>
        <v>1000000</v>
      </c>
      <c r="V107" s="120">
        <v>1000000</v>
      </c>
      <c r="W107" s="449">
        <f t="shared" si="21"/>
        <v>0</v>
      </c>
      <c r="X107" s="120"/>
      <c r="Y107" s="120"/>
      <c r="Z107" s="120"/>
      <c r="AA107" s="120"/>
      <c r="AB107" s="448" t="s">
        <v>1348</v>
      </c>
      <c r="AC107" s="448">
        <v>742000</v>
      </c>
      <c r="AD107" s="756"/>
      <c r="AE107" s="756"/>
      <c r="AF107" s="756"/>
      <c r="AG107" s="756"/>
      <c r="AH107" s="756"/>
      <c r="AI107" s="756"/>
      <c r="AJ107" s="756"/>
      <c r="AK107" s="756"/>
      <c r="AL107" s="756"/>
      <c r="AM107" s="756"/>
      <c r="AN107" s="756"/>
      <c r="AO107" s="756"/>
      <c r="AP107" s="756"/>
      <c r="AQ107"/>
      <c r="AR107" s="465"/>
      <c r="AS107" s="465"/>
      <c r="AT107" s="465"/>
      <c r="AU107" s="465"/>
      <c r="AV107" s="465"/>
      <c r="AW107" s="465"/>
      <c r="AX107" s="272"/>
      <c r="AY107" s="272"/>
      <c r="AZ107" s="272"/>
      <c r="BA107" s="272"/>
      <c r="BB107" s="272"/>
      <c r="BC107" s="272"/>
      <c r="BD107" s="272"/>
      <c r="BE107" s="272"/>
      <c r="BF107" s="272"/>
    </row>
    <row r="108" spans="1:58" s="452" customFormat="1" ht="45" customHeight="1">
      <c r="A108" s="448">
        <f t="shared" si="12"/>
        <v>104</v>
      </c>
      <c r="B108" s="448">
        <v>20117</v>
      </c>
      <c r="C108" s="135" t="s">
        <v>1310</v>
      </c>
      <c r="D108" s="120">
        <v>1600000</v>
      </c>
      <c r="E108" s="120"/>
      <c r="F108" s="120">
        <f t="shared" si="14"/>
        <v>1600000</v>
      </c>
      <c r="G108" s="120">
        <v>0</v>
      </c>
      <c r="H108" s="120"/>
      <c r="I108" s="120"/>
      <c r="J108" s="120"/>
      <c r="K108" s="120">
        <f t="shared" si="15"/>
        <v>0</v>
      </c>
      <c r="L108" s="120">
        <f t="shared" si="16"/>
        <v>0</v>
      </c>
      <c r="M108" s="120">
        <f t="shared" si="22"/>
        <v>0</v>
      </c>
      <c r="N108" s="120">
        <f>1600000-400000</f>
        <v>1200000</v>
      </c>
      <c r="O108" s="120">
        <f t="shared" si="17"/>
        <v>400000</v>
      </c>
      <c r="P108" s="120">
        <f t="shared" si="18"/>
        <v>0</v>
      </c>
      <c r="Q108" s="120"/>
      <c r="R108" s="120"/>
      <c r="S108" s="120">
        <f t="shared" si="24"/>
        <v>0</v>
      </c>
      <c r="T108" s="120">
        <f t="shared" si="19"/>
        <v>0</v>
      </c>
      <c r="U108" s="449">
        <f t="shared" si="20"/>
        <v>1200000</v>
      </c>
      <c r="V108" s="120">
        <v>1200000</v>
      </c>
      <c r="W108" s="449">
        <f t="shared" si="21"/>
        <v>0</v>
      </c>
      <c r="X108" s="120"/>
      <c r="Y108" s="120"/>
      <c r="Z108" s="120"/>
      <c r="AA108" s="120"/>
      <c r="AB108" s="448" t="s">
        <v>1311</v>
      </c>
      <c r="AC108" s="448">
        <v>743000</v>
      </c>
      <c r="AD108" s="756"/>
      <c r="AE108" s="756"/>
      <c r="AF108" s="756"/>
      <c r="AG108" s="756"/>
      <c r="AH108" s="756"/>
      <c r="AI108" s="756"/>
      <c r="AJ108" s="756"/>
      <c r="AK108" s="756"/>
      <c r="AL108" s="756"/>
      <c r="AM108" s="756"/>
      <c r="AN108" s="756"/>
      <c r="AO108" s="756"/>
      <c r="AP108" s="756"/>
      <c r="AQ108"/>
      <c r="AR108" s="465"/>
      <c r="AS108" s="465"/>
      <c r="AT108" s="465"/>
      <c r="AU108" s="465"/>
      <c r="AV108" s="465"/>
      <c r="AW108" s="465"/>
      <c r="AX108" s="272"/>
      <c r="AY108" s="272"/>
      <c r="AZ108" s="272"/>
      <c r="BA108" s="272"/>
      <c r="BB108" s="272"/>
      <c r="BC108" s="272"/>
      <c r="BD108" s="272"/>
      <c r="BE108" s="272"/>
      <c r="BF108" s="272"/>
    </row>
    <row r="109" spans="1:58" s="452" customFormat="1" ht="45" customHeight="1">
      <c r="A109" s="448">
        <f t="shared" si="12"/>
        <v>105</v>
      </c>
      <c r="B109" s="448">
        <v>20118</v>
      </c>
      <c r="C109" s="135" t="s">
        <v>987</v>
      </c>
      <c r="D109" s="120">
        <v>50000</v>
      </c>
      <c r="E109" s="120"/>
      <c r="F109" s="120">
        <f t="shared" si="14"/>
        <v>50000</v>
      </c>
      <c r="G109" s="120">
        <v>0</v>
      </c>
      <c r="H109" s="120"/>
      <c r="I109" s="120"/>
      <c r="J109" s="120"/>
      <c r="K109" s="120">
        <f t="shared" si="15"/>
        <v>0</v>
      </c>
      <c r="L109" s="120">
        <f t="shared" si="16"/>
        <v>0</v>
      </c>
      <c r="M109" s="120">
        <f t="shared" si="22"/>
        <v>0</v>
      </c>
      <c r="N109" s="120">
        <v>50000</v>
      </c>
      <c r="O109" s="120">
        <f t="shared" si="17"/>
        <v>0</v>
      </c>
      <c r="P109" s="120">
        <f t="shared" si="18"/>
        <v>0</v>
      </c>
      <c r="Q109" s="120"/>
      <c r="R109" s="120"/>
      <c r="S109" s="120">
        <f t="shared" si="24"/>
        <v>0</v>
      </c>
      <c r="T109" s="120">
        <f t="shared" si="19"/>
        <v>0</v>
      </c>
      <c r="U109" s="449">
        <f t="shared" si="20"/>
        <v>50000</v>
      </c>
      <c r="V109" s="120"/>
      <c r="W109" s="449">
        <f t="shared" si="21"/>
        <v>0</v>
      </c>
      <c r="X109" s="120"/>
      <c r="Y109" s="120"/>
      <c r="Z109" s="120"/>
      <c r="AA109" s="120">
        <v>50000</v>
      </c>
      <c r="AB109" s="448" t="s">
        <v>461</v>
      </c>
      <c r="AC109" s="448">
        <v>747000</v>
      </c>
      <c r="AD109" s="756"/>
      <c r="AE109" s="756"/>
      <c r="AF109" s="756"/>
      <c r="AG109" s="756"/>
      <c r="AH109" s="756"/>
      <c r="AI109" s="756"/>
      <c r="AJ109" s="756"/>
      <c r="AK109" s="756"/>
      <c r="AL109" s="756"/>
      <c r="AM109" s="756"/>
      <c r="AN109" s="756"/>
      <c r="AO109" s="756"/>
      <c r="AP109" s="756"/>
      <c r="AQ109"/>
      <c r="AR109" s="465"/>
      <c r="AS109" s="465"/>
      <c r="AT109" s="465"/>
      <c r="AU109" s="465"/>
      <c r="AV109" s="465"/>
      <c r="AW109" s="465"/>
      <c r="AX109" s="272"/>
      <c r="AY109" s="272"/>
      <c r="AZ109" s="272"/>
      <c r="BA109" s="272"/>
      <c r="BB109" s="272"/>
      <c r="BC109" s="272"/>
      <c r="BD109" s="272"/>
      <c r="BE109" s="272"/>
      <c r="BF109" s="272"/>
    </row>
    <row r="110" spans="1:58" s="452" customFormat="1" ht="45" customHeight="1">
      <c r="A110" s="448">
        <f t="shared" si="12"/>
        <v>106</v>
      </c>
      <c r="B110" s="448">
        <v>20119</v>
      </c>
      <c r="C110" s="135" t="s">
        <v>988</v>
      </c>
      <c r="D110" s="120">
        <v>152000</v>
      </c>
      <c r="E110" s="120"/>
      <c r="F110" s="120">
        <f t="shared" si="14"/>
        <v>152000</v>
      </c>
      <c r="G110" s="120">
        <v>0</v>
      </c>
      <c r="H110" s="120"/>
      <c r="I110" s="120"/>
      <c r="J110" s="120"/>
      <c r="K110" s="120">
        <f t="shared" si="15"/>
        <v>0</v>
      </c>
      <c r="L110" s="120">
        <f t="shared" si="16"/>
        <v>0</v>
      </c>
      <c r="M110" s="120">
        <f t="shared" si="22"/>
        <v>0</v>
      </c>
      <c r="N110" s="120">
        <v>152000</v>
      </c>
      <c r="O110" s="120">
        <f t="shared" si="17"/>
        <v>0</v>
      </c>
      <c r="P110" s="120">
        <f t="shared" si="18"/>
        <v>0</v>
      </c>
      <c r="Q110" s="120"/>
      <c r="R110" s="120"/>
      <c r="S110" s="120">
        <f t="shared" si="24"/>
        <v>0</v>
      </c>
      <c r="T110" s="120">
        <f t="shared" si="19"/>
        <v>0</v>
      </c>
      <c r="U110" s="449">
        <f t="shared" si="20"/>
        <v>152000</v>
      </c>
      <c r="V110" s="120"/>
      <c r="W110" s="449">
        <f t="shared" si="21"/>
        <v>0</v>
      </c>
      <c r="X110" s="120"/>
      <c r="Y110" s="120"/>
      <c r="Z110" s="120"/>
      <c r="AA110" s="120">
        <v>152000</v>
      </c>
      <c r="AB110" s="448" t="s">
        <v>461</v>
      </c>
      <c r="AC110" s="448">
        <v>747000</v>
      </c>
      <c r="AD110" s="756"/>
      <c r="AE110" s="756"/>
      <c r="AF110" s="756"/>
      <c r="AG110" s="756"/>
      <c r="AH110" s="756"/>
      <c r="AI110" s="756"/>
      <c r="AJ110" s="756"/>
      <c r="AK110" s="756"/>
      <c r="AL110" s="756"/>
      <c r="AM110" s="756"/>
      <c r="AN110" s="756"/>
      <c r="AO110" s="756"/>
      <c r="AP110" s="756"/>
      <c r="AQ110"/>
      <c r="AR110" s="465"/>
      <c r="AS110" s="465"/>
      <c r="AT110" s="465"/>
      <c r="AU110" s="465"/>
      <c r="AV110" s="465"/>
      <c r="AW110" s="465"/>
      <c r="AX110" s="272"/>
      <c r="AY110" s="272"/>
      <c r="AZ110" s="272"/>
      <c r="BA110" s="272"/>
      <c r="BB110" s="272"/>
      <c r="BC110" s="272"/>
      <c r="BD110" s="272"/>
      <c r="BE110" s="272"/>
      <c r="BF110" s="272"/>
    </row>
    <row r="111" spans="1:58" s="452" customFormat="1" ht="45" customHeight="1">
      <c r="A111" s="448">
        <f t="shared" si="12"/>
        <v>107</v>
      </c>
      <c r="B111" s="448">
        <v>20120</v>
      </c>
      <c r="C111" s="135" t="s">
        <v>1498</v>
      </c>
      <c r="D111" s="120">
        <v>263395</v>
      </c>
      <c r="E111" s="120"/>
      <c r="F111" s="120">
        <f t="shared" si="14"/>
        <v>263395</v>
      </c>
      <c r="G111" s="120">
        <v>0</v>
      </c>
      <c r="H111" s="120"/>
      <c r="I111" s="120"/>
      <c r="J111" s="120"/>
      <c r="K111" s="120">
        <f t="shared" si="15"/>
        <v>0</v>
      </c>
      <c r="L111" s="120">
        <f t="shared" si="16"/>
        <v>0</v>
      </c>
      <c r="M111" s="120">
        <f t="shared" si="22"/>
        <v>0</v>
      </c>
      <c r="N111" s="120">
        <v>263395</v>
      </c>
      <c r="O111" s="120">
        <f t="shared" si="17"/>
        <v>0</v>
      </c>
      <c r="P111" s="120">
        <f t="shared" si="18"/>
        <v>0</v>
      </c>
      <c r="Q111" s="120"/>
      <c r="R111" s="120"/>
      <c r="S111" s="120">
        <f t="shared" si="24"/>
        <v>0</v>
      </c>
      <c r="T111" s="120">
        <f t="shared" si="19"/>
        <v>0</v>
      </c>
      <c r="U111" s="449">
        <f t="shared" si="20"/>
        <v>263395</v>
      </c>
      <c r="V111" s="120"/>
      <c r="W111" s="449">
        <f t="shared" si="21"/>
        <v>0</v>
      </c>
      <c r="X111" s="120"/>
      <c r="Y111" s="120"/>
      <c r="Z111" s="120"/>
      <c r="AA111" s="120">
        <v>263395</v>
      </c>
      <c r="AB111" s="448" t="s">
        <v>461</v>
      </c>
      <c r="AC111" s="448">
        <v>747000</v>
      </c>
      <c r="AD111" s="756"/>
      <c r="AE111" s="756"/>
      <c r="AF111" s="756"/>
      <c r="AG111" s="756"/>
      <c r="AH111" s="756"/>
      <c r="AI111" s="756"/>
      <c r="AJ111" s="756"/>
      <c r="AK111" s="756"/>
      <c r="AL111" s="756"/>
      <c r="AM111" s="756"/>
      <c r="AN111" s="756"/>
      <c r="AO111" s="756"/>
      <c r="AP111" s="756"/>
      <c r="AQ111"/>
      <c r="AR111" s="465"/>
      <c r="AS111" s="465"/>
      <c r="AT111" s="465"/>
      <c r="AU111" s="465"/>
      <c r="AV111" s="465"/>
      <c r="AW111" s="465"/>
      <c r="AX111" s="272"/>
      <c r="AY111" s="272"/>
      <c r="AZ111" s="272"/>
      <c r="BA111" s="272"/>
      <c r="BB111" s="272"/>
      <c r="BC111" s="272"/>
      <c r="BD111" s="272"/>
      <c r="BE111" s="272"/>
      <c r="BF111" s="272"/>
    </row>
    <row r="112" spans="1:58" s="452" customFormat="1" ht="45" customHeight="1">
      <c r="A112" s="448">
        <f t="shared" si="12"/>
        <v>108</v>
      </c>
      <c r="B112" s="448">
        <v>20121</v>
      </c>
      <c r="C112" s="135" t="s">
        <v>984</v>
      </c>
      <c r="D112" s="120">
        <f>1800000-100000</f>
        <v>1700000</v>
      </c>
      <c r="E112" s="120"/>
      <c r="F112" s="120">
        <f t="shared" si="14"/>
        <v>1700000</v>
      </c>
      <c r="G112" s="120">
        <v>0</v>
      </c>
      <c r="H112" s="120"/>
      <c r="I112" s="120"/>
      <c r="J112" s="120"/>
      <c r="K112" s="120">
        <f t="shared" si="15"/>
        <v>0</v>
      </c>
      <c r="L112" s="120">
        <f t="shared" si="16"/>
        <v>0</v>
      </c>
      <c r="M112" s="120">
        <f t="shared" si="22"/>
        <v>0</v>
      </c>
      <c r="N112" s="120">
        <f>1800000-100000-1200000</f>
        <v>500000</v>
      </c>
      <c r="O112" s="120">
        <f t="shared" si="17"/>
        <v>1200000</v>
      </c>
      <c r="P112" s="120">
        <f t="shared" si="18"/>
        <v>0</v>
      </c>
      <c r="Q112" s="120"/>
      <c r="R112" s="120"/>
      <c r="S112" s="120">
        <f t="shared" si="24"/>
        <v>0</v>
      </c>
      <c r="T112" s="120">
        <f t="shared" si="19"/>
        <v>0</v>
      </c>
      <c r="U112" s="449">
        <f t="shared" si="20"/>
        <v>500000</v>
      </c>
      <c r="V112" s="120">
        <v>500000</v>
      </c>
      <c r="W112" s="449">
        <f t="shared" si="21"/>
        <v>0</v>
      </c>
      <c r="X112" s="120"/>
      <c r="Y112" s="120"/>
      <c r="Z112" s="120"/>
      <c r="AA112" s="120"/>
      <c r="AB112" s="448" t="s">
        <v>985</v>
      </c>
      <c r="AC112" s="448">
        <v>743000</v>
      </c>
      <c r="AD112" s="756"/>
      <c r="AE112" s="756"/>
      <c r="AF112" s="756"/>
      <c r="AG112" s="756"/>
      <c r="AH112" s="756"/>
      <c r="AI112" s="756"/>
      <c r="AJ112" s="756"/>
      <c r="AK112" s="756"/>
      <c r="AL112" s="756"/>
      <c r="AM112" s="756"/>
      <c r="AN112" s="756"/>
      <c r="AO112" s="756"/>
      <c r="AP112" s="756"/>
      <c r="AQ112"/>
      <c r="AR112" s="465"/>
      <c r="AS112" s="465"/>
      <c r="AT112" s="465"/>
      <c r="AU112" s="465"/>
      <c r="AV112" s="465"/>
      <c r="AW112" s="465"/>
      <c r="AX112" s="272"/>
      <c r="AY112" s="272"/>
      <c r="AZ112" s="272"/>
      <c r="BA112" s="272"/>
      <c r="BB112" s="272"/>
      <c r="BC112" s="272"/>
      <c r="BD112" s="272"/>
      <c r="BE112" s="272"/>
      <c r="BF112" s="272"/>
    </row>
    <row r="113" spans="1:58" s="452" customFormat="1" ht="45" customHeight="1">
      <c r="A113" s="448">
        <f t="shared" si="12"/>
        <v>109</v>
      </c>
      <c r="B113" s="448">
        <v>20122</v>
      </c>
      <c r="C113" s="135" t="s">
        <v>1347</v>
      </c>
      <c r="D113" s="120">
        <f>850000-250000</f>
        <v>600000</v>
      </c>
      <c r="E113" s="120"/>
      <c r="F113" s="120">
        <f t="shared" si="14"/>
        <v>600000</v>
      </c>
      <c r="G113" s="120">
        <v>0</v>
      </c>
      <c r="H113" s="120"/>
      <c r="I113" s="120"/>
      <c r="J113" s="120"/>
      <c r="K113" s="120">
        <f t="shared" si="15"/>
        <v>0</v>
      </c>
      <c r="L113" s="120">
        <f t="shared" si="16"/>
        <v>0</v>
      </c>
      <c r="M113" s="120">
        <f t="shared" si="22"/>
        <v>0</v>
      </c>
      <c r="N113" s="120">
        <f>850000-250000</f>
        <v>600000</v>
      </c>
      <c r="O113" s="120">
        <f t="shared" si="17"/>
        <v>0</v>
      </c>
      <c r="P113" s="120">
        <f t="shared" si="18"/>
        <v>0</v>
      </c>
      <c r="Q113" s="120"/>
      <c r="R113" s="120"/>
      <c r="S113" s="120">
        <f t="shared" si="24"/>
        <v>0</v>
      </c>
      <c r="T113" s="120">
        <f t="shared" si="19"/>
        <v>0</v>
      </c>
      <c r="U113" s="449">
        <f t="shared" si="20"/>
        <v>600000</v>
      </c>
      <c r="V113" s="120"/>
      <c r="W113" s="449">
        <f t="shared" si="21"/>
        <v>600000</v>
      </c>
      <c r="X113" s="120"/>
      <c r="Y113" s="120"/>
      <c r="Z113" s="120"/>
      <c r="AA113" s="120"/>
      <c r="AB113" s="448" t="s">
        <v>1365</v>
      </c>
      <c r="AC113" s="448">
        <v>826000</v>
      </c>
      <c r="AD113" s="756"/>
      <c r="AE113" s="756"/>
      <c r="AF113" s="756"/>
      <c r="AG113" s="756"/>
      <c r="AH113" s="756"/>
      <c r="AI113" s="756"/>
      <c r="AJ113" s="756"/>
      <c r="AK113" s="756"/>
      <c r="AL113" s="756"/>
      <c r="AM113" s="756"/>
      <c r="AN113" s="756"/>
      <c r="AO113" s="756"/>
      <c r="AP113" s="756"/>
      <c r="AQ113"/>
      <c r="AR113" s="465"/>
      <c r="AS113" s="465"/>
      <c r="AT113" s="465"/>
      <c r="AU113" s="465"/>
      <c r="AV113" s="465"/>
      <c r="AW113" s="465"/>
      <c r="AX113" s="272"/>
      <c r="AY113" s="272"/>
      <c r="AZ113" s="272"/>
      <c r="BA113" s="272"/>
      <c r="BB113" s="272"/>
      <c r="BC113" s="272"/>
      <c r="BD113" s="272"/>
      <c r="BE113" s="272"/>
      <c r="BF113" s="272"/>
    </row>
    <row r="114" spans="1:58" s="452" customFormat="1" ht="45" customHeight="1">
      <c r="A114" s="448">
        <f t="shared" si="12"/>
        <v>110</v>
      </c>
      <c r="B114" s="448">
        <v>20123</v>
      </c>
      <c r="C114" s="135" t="s">
        <v>1358</v>
      </c>
      <c r="D114" s="120">
        <f>600000-250000</f>
        <v>350000</v>
      </c>
      <c r="E114" s="120"/>
      <c r="F114" s="120">
        <f>D114-E114</f>
        <v>350000</v>
      </c>
      <c r="G114" s="120">
        <v>0</v>
      </c>
      <c r="H114" s="120"/>
      <c r="I114" s="120"/>
      <c r="J114" s="120"/>
      <c r="K114" s="120">
        <f>I114+J114</f>
        <v>0</v>
      </c>
      <c r="L114" s="120">
        <f>H114+K114</f>
        <v>0</v>
      </c>
      <c r="M114" s="120">
        <f>P114+S114</f>
        <v>0</v>
      </c>
      <c r="N114" s="120">
        <f>600000-250000</f>
        <v>350000</v>
      </c>
      <c r="O114" s="120">
        <f>D114-L114-M114-N114</f>
        <v>0</v>
      </c>
      <c r="P114" s="120">
        <f>G114-L114</f>
        <v>0</v>
      </c>
      <c r="Q114" s="120"/>
      <c r="R114" s="120"/>
      <c r="S114" s="120">
        <f>SUM(Q114:R114)</f>
        <v>0</v>
      </c>
      <c r="T114" s="120">
        <f>P114-M114+S114</f>
        <v>0</v>
      </c>
      <c r="U114" s="449">
        <f>N114-T114</f>
        <v>350000</v>
      </c>
      <c r="V114" s="120"/>
      <c r="W114" s="449">
        <f t="shared" si="21"/>
        <v>350000</v>
      </c>
      <c r="X114" s="120"/>
      <c r="Y114" s="120"/>
      <c r="Z114" s="120"/>
      <c r="AA114" s="120"/>
      <c r="AB114" s="448" t="s">
        <v>1497</v>
      </c>
      <c r="AC114" s="448">
        <v>930000</v>
      </c>
      <c r="AD114" s="756"/>
      <c r="AE114" s="756"/>
      <c r="AF114" s="756"/>
      <c r="AG114" s="756"/>
      <c r="AH114" s="756"/>
      <c r="AI114" s="756"/>
      <c r="AJ114" s="756"/>
      <c r="AK114" s="756"/>
      <c r="AL114" s="756"/>
      <c r="AM114" s="756"/>
      <c r="AN114" s="756"/>
      <c r="AO114" s="756"/>
      <c r="AP114" s="756"/>
      <c r="AQ114"/>
      <c r="AR114" s="465"/>
      <c r="AS114" s="465"/>
      <c r="AT114" s="465"/>
      <c r="AU114" s="465"/>
      <c r="AV114" s="465"/>
      <c r="AW114" s="465"/>
      <c r="AX114" s="272"/>
      <c r="AY114" s="272"/>
      <c r="AZ114" s="272"/>
      <c r="BA114" s="272"/>
      <c r="BB114" s="272"/>
      <c r="BC114" s="272"/>
      <c r="BD114" s="272"/>
      <c r="BE114" s="272"/>
      <c r="BF114" s="272"/>
    </row>
    <row r="115" spans="1:58" s="473" customFormat="1" ht="45" customHeight="1">
      <c r="A115" s="249">
        <f>COUNT(A5:A114)</f>
        <v>110</v>
      </c>
      <c r="B115" s="454"/>
      <c r="C115" s="219" t="s">
        <v>668</v>
      </c>
      <c r="D115" s="249">
        <f t="shared" ref="D115:AB115" si="25">SUM(D5:D114)</f>
        <v>940096894</v>
      </c>
      <c r="E115" s="249">
        <f t="shared" si="25"/>
        <v>823808906</v>
      </c>
      <c r="F115" s="249">
        <f t="shared" si="25"/>
        <v>116287988</v>
      </c>
      <c r="G115" s="249">
        <f t="shared" si="25"/>
        <v>659925203</v>
      </c>
      <c r="H115" s="249">
        <f t="shared" si="25"/>
        <v>596264862</v>
      </c>
      <c r="I115" s="249">
        <f t="shared" si="25"/>
        <v>4044440</v>
      </c>
      <c r="J115" s="249">
        <f t="shared" si="25"/>
        <v>33517082</v>
      </c>
      <c r="K115" s="249">
        <f t="shared" si="25"/>
        <v>37561522</v>
      </c>
      <c r="L115" s="249">
        <f t="shared" si="25"/>
        <v>633826384</v>
      </c>
      <c r="M115" s="249">
        <f t="shared" si="25"/>
        <v>295768</v>
      </c>
      <c r="N115" s="249">
        <f t="shared" si="25"/>
        <v>103786594</v>
      </c>
      <c r="O115" s="249">
        <f t="shared" si="25"/>
        <v>202188148</v>
      </c>
      <c r="P115" s="249">
        <f t="shared" si="25"/>
        <v>26098819</v>
      </c>
      <c r="Q115" s="249">
        <f t="shared" si="25"/>
        <v>700000</v>
      </c>
      <c r="R115" s="249">
        <f t="shared" si="25"/>
        <v>10200000</v>
      </c>
      <c r="S115" s="249">
        <f t="shared" si="25"/>
        <v>10900000</v>
      </c>
      <c r="T115" s="249">
        <f t="shared" si="25"/>
        <v>36703051</v>
      </c>
      <c r="U115" s="249">
        <f t="shared" si="25"/>
        <v>67083543</v>
      </c>
      <c r="V115" s="249">
        <f t="shared" si="25"/>
        <v>8775568</v>
      </c>
      <c r="W115" s="249">
        <f t="shared" si="25"/>
        <v>22573844</v>
      </c>
      <c r="X115" s="249">
        <f t="shared" si="25"/>
        <v>0</v>
      </c>
      <c r="Y115" s="249">
        <f t="shared" si="25"/>
        <v>23905000</v>
      </c>
      <c r="Z115" s="249">
        <f t="shared" si="25"/>
        <v>0</v>
      </c>
      <c r="AA115" s="249">
        <f t="shared" si="25"/>
        <v>11829131</v>
      </c>
      <c r="AB115" s="249">
        <f t="shared" si="25"/>
        <v>0</v>
      </c>
      <c r="AC115" s="249"/>
      <c r="AD115" s="756"/>
      <c r="AE115" s="756"/>
      <c r="AF115" s="756"/>
      <c r="AG115" s="756"/>
      <c r="AH115" s="756"/>
      <c r="AI115" s="756"/>
      <c r="AJ115" s="756"/>
      <c r="AK115" s="756"/>
      <c r="AL115" s="756"/>
      <c r="AM115" s="756"/>
      <c r="AN115" s="756"/>
      <c r="AO115" s="756"/>
      <c r="AP115" s="756"/>
      <c r="AQ115"/>
      <c r="AR115" s="472"/>
      <c r="AS115" s="472"/>
      <c r="AT115" s="472"/>
      <c r="AU115" s="472"/>
      <c r="AV115" s="472"/>
      <c r="AW115" s="472"/>
      <c r="AX115" s="359"/>
      <c r="AY115" s="359"/>
      <c r="AZ115" s="359"/>
      <c r="BA115" s="359"/>
      <c r="BB115" s="359"/>
      <c r="BC115" s="359"/>
      <c r="BD115" s="359"/>
      <c r="BE115" s="359"/>
      <c r="BF115" s="359"/>
    </row>
    <row r="116" spans="1:58" s="473" customFormat="1" ht="25.2" hidden="1" customHeight="1">
      <c r="A116" s="428"/>
      <c r="B116" s="561"/>
      <c r="C116" s="427"/>
      <c r="D116" s="492">
        <f>SUM(L115:O115)</f>
        <v>940096894</v>
      </c>
      <c r="E116" s="467"/>
      <c r="F116" s="493">
        <f>D115-E115</f>
        <v>116287988</v>
      </c>
      <c r="G116" s="493"/>
      <c r="H116" s="493"/>
      <c r="I116" s="493"/>
      <c r="J116" s="493"/>
      <c r="K116" s="493"/>
      <c r="L116" s="492">
        <f>H115+K115</f>
        <v>633826384</v>
      </c>
      <c r="M116" s="493"/>
      <c r="N116" s="493"/>
      <c r="O116" s="493"/>
      <c r="P116" s="492">
        <f>G115-L116</f>
        <v>26098819</v>
      </c>
      <c r="Q116" s="493"/>
      <c r="R116" s="493"/>
      <c r="S116" s="493"/>
      <c r="T116" s="492">
        <f>P116+S115-M115</f>
        <v>36703051</v>
      </c>
      <c r="U116" s="492">
        <f>N115-T116</f>
        <v>67083543</v>
      </c>
      <c r="V116" s="428"/>
      <c r="W116" s="428"/>
      <c r="X116" s="428"/>
      <c r="Y116" s="428"/>
      <c r="Z116" s="428"/>
      <c r="AA116" s="428"/>
      <c r="AB116" s="561"/>
      <c r="AC116" s="561"/>
      <c r="AD116" s="756"/>
      <c r="AE116" s="756"/>
      <c r="AF116" s="756"/>
      <c r="AG116" s="756"/>
      <c r="AH116" s="756"/>
      <c r="AI116" s="756"/>
      <c r="AJ116" s="756"/>
      <c r="AK116" s="756"/>
      <c r="AL116" s="756"/>
      <c r="AM116" s="756"/>
      <c r="AN116" s="756"/>
      <c r="AO116" s="756"/>
      <c r="AP116" s="756"/>
      <c r="AQ116"/>
      <c r="AR116" s="472"/>
      <c r="AS116" s="472"/>
      <c r="AT116" s="472"/>
      <c r="AU116" s="472"/>
      <c r="AV116" s="472"/>
      <c r="AW116" s="472"/>
      <c r="AX116" s="359"/>
      <c r="AY116" s="359"/>
      <c r="AZ116" s="359"/>
      <c r="BA116" s="359"/>
      <c r="BB116" s="359"/>
      <c r="BC116" s="359"/>
      <c r="BD116" s="359"/>
      <c r="BE116" s="359"/>
      <c r="BF116" s="359"/>
    </row>
    <row r="117" spans="1:58" s="473" customFormat="1" ht="25.2" hidden="1" customHeight="1">
      <c r="A117" s="428"/>
      <c r="B117" s="561"/>
      <c r="C117" s="427"/>
      <c r="D117" s="492">
        <f>D115-D116</f>
        <v>0</v>
      </c>
      <c r="E117" s="467"/>
      <c r="F117" s="493"/>
      <c r="G117" s="493"/>
      <c r="H117" s="493"/>
      <c r="I117" s="493"/>
      <c r="J117" s="493"/>
      <c r="K117" s="493"/>
      <c r="L117" s="492">
        <f>L115-L116</f>
        <v>0</v>
      </c>
      <c r="M117" s="493"/>
      <c r="N117" s="493"/>
      <c r="O117" s="493"/>
      <c r="P117" s="492">
        <f>P115-P116</f>
        <v>0</v>
      </c>
      <c r="Q117" s="493"/>
      <c r="R117" s="493"/>
      <c r="S117" s="493"/>
      <c r="T117" s="492">
        <f>T115-T116</f>
        <v>0</v>
      </c>
      <c r="U117" s="492">
        <f>U115-U116</f>
        <v>0</v>
      </c>
      <c r="V117" s="428"/>
      <c r="W117" s="428"/>
      <c r="X117" s="428"/>
      <c r="Y117" s="428"/>
      <c r="Z117" s="428"/>
      <c r="AA117" s="428"/>
      <c r="AB117" s="561"/>
      <c r="AC117" s="561"/>
      <c r="AD117" s="756"/>
      <c r="AE117" s="756"/>
      <c r="AF117" s="756"/>
      <c r="AG117" s="756"/>
      <c r="AH117" s="756"/>
      <c r="AI117" s="756"/>
      <c r="AJ117" s="756"/>
      <c r="AK117" s="756"/>
      <c r="AL117" s="756"/>
      <c r="AM117" s="756"/>
      <c r="AN117" s="756"/>
      <c r="AO117" s="756"/>
      <c r="AP117" s="756"/>
      <c r="AQ117"/>
      <c r="AR117" s="472"/>
      <c r="AS117" s="472"/>
      <c r="AT117" s="472"/>
      <c r="AU117" s="472"/>
      <c r="AV117" s="472"/>
      <c r="AW117" s="472"/>
      <c r="AX117" s="359"/>
      <c r="AY117" s="359"/>
      <c r="AZ117" s="359"/>
      <c r="BA117" s="359"/>
      <c r="BB117" s="359"/>
      <c r="BC117" s="359"/>
      <c r="BD117" s="359"/>
      <c r="BE117" s="359"/>
      <c r="BF117" s="359"/>
    </row>
    <row r="118" spans="1:58" s="5" customFormat="1" ht="37.5" customHeight="1">
      <c r="A118" s="752"/>
      <c r="B118" s="563"/>
      <c r="C118" s="752"/>
      <c r="D118" s="756"/>
      <c r="E118" s="756"/>
      <c r="F118" s="756"/>
      <c r="G118" s="756"/>
      <c r="H118" s="756"/>
      <c r="I118" s="756"/>
      <c r="J118" s="756"/>
      <c r="K118" s="756"/>
      <c r="L118" s="756"/>
      <c r="M118" s="756"/>
      <c r="N118" s="756"/>
      <c r="O118" s="756"/>
      <c r="P118" s="756"/>
      <c r="Q118" s="757"/>
      <c r="R118" s="756"/>
      <c r="S118" s="756"/>
      <c r="T118" s="756"/>
      <c r="U118" s="756"/>
      <c r="V118" s="756"/>
      <c r="W118" s="756"/>
      <c r="X118" s="756"/>
      <c r="Y118" s="756"/>
      <c r="Z118" s="756"/>
      <c r="AA118" s="758"/>
      <c r="AB118" s="752"/>
      <c r="AC118" s="752"/>
      <c r="AD118" s="756"/>
      <c r="AE118" s="756"/>
      <c r="AF118" s="756"/>
      <c r="AG118" s="756"/>
      <c r="AH118" s="756"/>
      <c r="AI118" s="756"/>
      <c r="AJ118" s="756"/>
      <c r="AK118" s="756"/>
      <c r="AL118" s="756"/>
      <c r="AM118" s="756"/>
      <c r="AN118" s="756"/>
      <c r="AO118" s="756"/>
      <c r="AP118" s="756"/>
      <c r="AQ118"/>
      <c r="AR118" s="16"/>
      <c r="AS118" s="16"/>
      <c r="AT118" s="16"/>
      <c r="AU118" s="16"/>
      <c r="AV118" s="16"/>
    </row>
    <row r="119" spans="1:58" s="473" customFormat="1" ht="25.2" customHeight="1">
      <c r="A119" s="428"/>
      <c r="B119" s="561"/>
      <c r="C119" s="427"/>
      <c r="D119" s="493"/>
      <c r="E119" s="467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28"/>
      <c r="W119" s="428"/>
      <c r="X119" s="428"/>
      <c r="Y119" s="428"/>
      <c r="Z119" s="428"/>
      <c r="AA119" s="428"/>
      <c r="AB119" s="561"/>
      <c r="AC119" s="561"/>
      <c r="AD119" s="756"/>
      <c r="AE119" s="756"/>
      <c r="AF119" s="756"/>
      <c r="AG119" s="756"/>
      <c r="AH119" s="756"/>
      <c r="AI119" s="756"/>
      <c r="AJ119" s="756"/>
      <c r="AK119" s="756"/>
      <c r="AL119" s="756"/>
      <c r="AM119" s="756"/>
      <c r="AN119" s="756"/>
      <c r="AO119" s="756"/>
      <c r="AP119" s="756"/>
      <c r="AQ119"/>
      <c r="AR119" s="472"/>
      <c r="AS119" s="472"/>
      <c r="AT119" s="472"/>
      <c r="AU119" s="472"/>
      <c r="AV119" s="472"/>
      <c r="AW119" s="472"/>
      <c r="AX119" s="359"/>
      <c r="AY119" s="359"/>
      <c r="AZ119" s="359"/>
      <c r="BA119" s="359"/>
      <c r="BB119" s="359"/>
      <c r="BC119" s="359"/>
      <c r="BD119" s="359"/>
      <c r="BE119" s="359"/>
      <c r="BF119" s="359"/>
    </row>
    <row r="120" spans="1:58">
      <c r="A120" s="759"/>
    </row>
    <row r="125" spans="1:58" ht="37.950000000000003" customHeight="1"/>
    <row r="128" spans="1:58" ht="70.95" customHeight="1"/>
    <row r="131" ht="72" customHeight="1"/>
    <row r="133" ht="43.95" customHeight="1"/>
    <row r="135" ht="30" customHeight="1"/>
  </sheetData>
  <conditionalFormatting sqref="AB4">
    <cfRule type="cellIs" dxfId="409" priority="8" operator="equal">
      <formula>0</formula>
    </cfRule>
  </conditionalFormatting>
  <conditionalFormatting sqref="AF4">
    <cfRule type="cellIs" dxfId="408" priority="7" operator="equal">
      <formula>0</formula>
    </cfRule>
  </conditionalFormatting>
  <conditionalFormatting sqref="AG4">
    <cfRule type="cellIs" dxfId="407" priority="6" operator="equal">
      <formula>0</formula>
    </cfRule>
  </conditionalFormatting>
  <conditionalFormatting sqref="AH4">
    <cfRule type="cellIs" dxfId="406" priority="5" operator="equal">
      <formula>0</formula>
    </cfRule>
  </conditionalFormatting>
  <conditionalFormatting sqref="AJ4">
    <cfRule type="cellIs" dxfId="405" priority="3" operator="equal">
      <formula>0</formula>
    </cfRule>
  </conditionalFormatting>
  <conditionalFormatting sqref="AI4">
    <cfRule type="cellIs" dxfId="404" priority="4" operator="equal">
      <formula>0</formula>
    </cfRule>
  </conditionalFormatting>
  <conditionalFormatting sqref="AO4">
    <cfRule type="cellIs" dxfId="403" priority="2" operator="equal">
      <formula>0</formula>
    </cfRule>
  </conditionalFormatting>
  <conditionalFormatting sqref="AP1:AP1048576">
    <cfRule type="cellIs" dxfId="402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61"/>
  <sheetViews>
    <sheetView showZeros="0" rightToLeft="1" zoomScaleNormal="100" workbookViewId="0">
      <pane xSplit="4" ySplit="4" topLeftCell="E60" activePane="bottomRight" state="frozen"/>
      <selection activeCell="S45" sqref="S45"/>
      <selection pane="topRight" activeCell="S45" sqref="S45"/>
      <selection pane="bottomLeft" activeCell="S45" sqref="S45"/>
      <selection pane="bottomRight" activeCell="AB1" sqref="AB1:AB1048576"/>
    </sheetView>
  </sheetViews>
  <sheetFormatPr defaultColWidth="8.88671875" defaultRowHeight="13.8"/>
  <cols>
    <col min="1" max="1" width="3.6640625" style="477" customWidth="1"/>
    <col min="2" max="2" width="5.6640625" style="477" customWidth="1"/>
    <col min="3" max="3" width="17.109375" style="477" customWidth="1"/>
    <col min="4" max="4" width="10.109375" style="477" customWidth="1"/>
    <col min="5" max="5" width="11.88671875" style="477" customWidth="1"/>
    <col min="6" max="6" width="11" style="477" customWidth="1"/>
    <col min="7" max="8" width="11.109375" style="477" hidden="1" customWidth="1"/>
    <col min="9" max="10" width="10.109375" style="477" hidden="1" customWidth="1"/>
    <col min="11" max="11" width="10.44140625" style="477" hidden="1" customWidth="1"/>
    <col min="12" max="12" width="10" style="477" customWidth="1"/>
    <col min="13" max="13" width="7.6640625" style="477" customWidth="1"/>
    <col min="14" max="14" width="10.33203125" style="477" customWidth="1"/>
    <col min="15" max="15" width="10.44140625" style="477" customWidth="1"/>
    <col min="16" max="16" width="10.109375" style="477" hidden="1" customWidth="1"/>
    <col min="17" max="17" width="9.88671875" style="477" hidden="1" customWidth="1"/>
    <col min="18" max="18" width="8.88671875" style="477" hidden="1" customWidth="1"/>
    <col min="19" max="19" width="10.6640625" style="477" hidden="1" customWidth="1"/>
    <col min="20" max="20" width="9" style="477" customWidth="1"/>
    <col min="21" max="21" width="9.109375" style="477" customWidth="1"/>
    <col min="22" max="22" width="8.88671875" style="477" customWidth="1"/>
    <col min="23" max="23" width="9" style="477" customWidth="1"/>
    <col min="24" max="24" width="6.33203125" style="477" hidden="1" customWidth="1"/>
    <col min="25" max="25" width="9.109375" style="477" customWidth="1"/>
    <col min="26" max="26" width="9.5546875" style="477" hidden="1" customWidth="1"/>
    <col min="27" max="27" width="9.6640625" style="477" customWidth="1"/>
    <col min="28" max="28" width="30.33203125" style="157" hidden="1" customWidth="1"/>
    <col min="29" max="29" width="6.88671875" style="157" customWidth="1"/>
    <col min="30" max="30" width="31.33203125" style="756" customWidth="1"/>
    <col min="31" max="31" width="28.6640625" style="756" customWidth="1"/>
    <col min="32" max="32" width="14.6640625" style="756" customWidth="1"/>
    <col min="33" max="33" width="31.33203125" style="756" customWidth="1"/>
    <col min="34" max="34" width="6.44140625" style="756" customWidth="1"/>
    <col min="35" max="35" width="14.6640625" style="756" customWidth="1"/>
    <col min="36" max="36" width="19.44140625" style="756" customWidth="1"/>
    <col min="37" max="37" width="26.33203125" style="756" customWidth="1"/>
    <col min="38" max="39" width="9.44140625" style="756" customWidth="1"/>
    <col min="40" max="40" width="13" style="756" customWidth="1"/>
    <col min="41" max="41" width="26.44140625" style="756" customWidth="1"/>
    <col min="42" max="42" width="10.33203125" style="756" customWidth="1"/>
    <col min="43" max="43" width="32.88671875" customWidth="1"/>
    <col min="44" max="49" width="10.6640625" customWidth="1"/>
    <col min="50" max="50" width="11.33203125" customWidth="1"/>
    <col min="51" max="51" width="22.44140625" customWidth="1"/>
    <col min="52" max="52" width="12.44140625" customWidth="1"/>
    <col min="53" max="53" width="14.88671875" customWidth="1"/>
  </cols>
  <sheetData>
    <row r="1" spans="1:58">
      <c r="A1" s="475"/>
      <c r="B1" s="476"/>
      <c r="C1" s="476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4"/>
    </row>
    <row r="2" spans="1:58" ht="18">
      <c r="A2" s="433" t="s">
        <v>598</v>
      </c>
      <c r="B2" s="433"/>
      <c r="C2" s="476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4"/>
    </row>
    <row r="3" spans="1:58" ht="21">
      <c r="B3" s="478"/>
      <c r="C3" s="478"/>
      <c r="D3" s="423"/>
      <c r="E3" s="423"/>
      <c r="F3" s="423"/>
      <c r="G3" s="423"/>
      <c r="H3" s="423"/>
      <c r="I3" s="423"/>
      <c r="J3" s="423"/>
      <c r="K3" s="423"/>
      <c r="L3" s="423"/>
      <c r="M3" s="479"/>
      <c r="N3" s="423"/>
      <c r="O3" s="423"/>
      <c r="P3" s="423"/>
      <c r="Q3" s="423"/>
      <c r="R3" s="423"/>
      <c r="S3" s="423"/>
      <c r="T3" s="423"/>
      <c r="U3" s="424"/>
      <c r="V3" s="895" t="s">
        <v>79</v>
      </c>
      <c r="W3" s="895"/>
      <c r="X3" s="895"/>
      <c r="Y3" s="895"/>
      <c r="Z3" s="895"/>
      <c r="AA3" s="895"/>
      <c r="AB3" s="440"/>
      <c r="AC3" s="424"/>
    </row>
    <row r="4" spans="1:58" ht="82.8">
      <c r="A4" s="480" t="s">
        <v>0</v>
      </c>
      <c r="B4" s="480" t="s">
        <v>1</v>
      </c>
      <c r="C4" s="480" t="s">
        <v>2</v>
      </c>
      <c r="D4" s="480" t="s">
        <v>3</v>
      </c>
      <c r="E4" s="480" t="s">
        <v>4</v>
      </c>
      <c r="F4" s="480" t="s">
        <v>5</v>
      </c>
      <c r="G4" s="480" t="s">
        <v>6</v>
      </c>
      <c r="H4" s="480" t="s">
        <v>7</v>
      </c>
      <c r="I4" s="480" t="s">
        <v>9</v>
      </c>
      <c r="J4" s="480" t="s">
        <v>125</v>
      </c>
      <c r="K4" s="480" t="s">
        <v>10</v>
      </c>
      <c r="L4" s="480" t="s">
        <v>11</v>
      </c>
      <c r="M4" s="480" t="s">
        <v>917</v>
      </c>
      <c r="N4" s="480" t="s">
        <v>918</v>
      </c>
      <c r="O4" s="421" t="s">
        <v>919</v>
      </c>
      <c r="P4" s="481" t="s">
        <v>12</v>
      </c>
      <c r="Q4" s="480" t="s">
        <v>920</v>
      </c>
      <c r="R4" s="480" t="s">
        <v>921</v>
      </c>
      <c r="S4" s="421" t="s">
        <v>922</v>
      </c>
      <c r="T4" s="421" t="s">
        <v>923</v>
      </c>
      <c r="U4" s="421" t="s">
        <v>924</v>
      </c>
      <c r="V4" s="480" t="s">
        <v>13</v>
      </c>
      <c r="W4" s="480" t="s">
        <v>14</v>
      </c>
      <c r="X4" s="480" t="s">
        <v>15</v>
      </c>
      <c r="Y4" s="480" t="s">
        <v>214</v>
      </c>
      <c r="Z4" s="480" t="s">
        <v>502</v>
      </c>
      <c r="AA4" s="480" t="s">
        <v>75</v>
      </c>
      <c r="AB4" s="447" t="s">
        <v>242</v>
      </c>
      <c r="AC4" s="133" t="s">
        <v>16</v>
      </c>
    </row>
    <row r="5" spans="1:58" s="409" customFormat="1">
      <c r="A5" s="480"/>
      <c r="B5" s="480"/>
      <c r="C5" s="512">
        <v>61</v>
      </c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21"/>
      <c r="P5" s="481"/>
      <c r="Q5" s="480"/>
      <c r="R5" s="480"/>
      <c r="S5" s="421"/>
      <c r="T5" s="421"/>
      <c r="U5" s="421"/>
      <c r="V5" s="480"/>
      <c r="W5" s="480"/>
      <c r="X5" s="480"/>
      <c r="Y5" s="480"/>
      <c r="Z5" s="480"/>
      <c r="AA5" s="480"/>
      <c r="AB5" s="447"/>
      <c r="AC5" s="133"/>
      <c r="AD5" s="819"/>
      <c r="AE5" s="819"/>
      <c r="AF5" s="819"/>
      <c r="AG5" s="819"/>
      <c r="AH5" s="819"/>
      <c r="AI5" s="819"/>
      <c r="AJ5" s="819"/>
      <c r="AK5" s="819"/>
      <c r="AL5" s="819"/>
      <c r="AM5" s="819"/>
      <c r="AN5" s="819"/>
      <c r="AO5" s="819"/>
      <c r="AP5" s="819"/>
    </row>
    <row r="6" spans="1:58" ht="27.6">
      <c r="A6" s="3">
        <v>1</v>
      </c>
      <c r="B6" s="448">
        <v>2095</v>
      </c>
      <c r="C6" s="448" t="s">
        <v>272</v>
      </c>
      <c r="D6" s="449">
        <v>210000</v>
      </c>
      <c r="E6" s="449">
        <v>210000</v>
      </c>
      <c r="F6" s="449">
        <f>D6-E6</f>
        <v>0</v>
      </c>
      <c r="G6" s="449">
        <v>160000</v>
      </c>
      <c r="H6" s="449">
        <v>114953</v>
      </c>
      <c r="I6" s="449">
        <v>0</v>
      </c>
      <c r="J6" s="449">
        <v>29835</v>
      </c>
      <c r="K6" s="449">
        <f>I6+J6</f>
        <v>29835</v>
      </c>
      <c r="L6" s="449">
        <f>H6+K6</f>
        <v>144788</v>
      </c>
      <c r="M6" s="449">
        <f>P6+S6-60000</f>
        <v>5212</v>
      </c>
      <c r="N6" s="449">
        <v>60000</v>
      </c>
      <c r="O6" s="449">
        <f>D6-L6-M6-N6</f>
        <v>0</v>
      </c>
      <c r="P6" s="449">
        <f>G6-L6</f>
        <v>15212</v>
      </c>
      <c r="Q6" s="482">
        <v>50000</v>
      </c>
      <c r="R6" s="449"/>
      <c r="S6" s="449">
        <f>SUM(Q6:R6)</f>
        <v>50000</v>
      </c>
      <c r="T6" s="449">
        <f>P6-M6+S6</f>
        <v>60000</v>
      </c>
      <c r="U6" s="449">
        <f>N6-T6</f>
        <v>0</v>
      </c>
      <c r="V6" s="449"/>
      <c r="W6" s="449">
        <f>U6-AA6-V6-Y6</f>
        <v>0</v>
      </c>
      <c r="X6" s="449"/>
      <c r="Y6" s="449"/>
      <c r="Z6" s="449"/>
      <c r="AA6" s="448"/>
      <c r="AB6" s="448" t="s">
        <v>515</v>
      </c>
      <c r="AC6" s="448">
        <v>610000</v>
      </c>
    </row>
    <row r="7" spans="1:58" s="409" customFormat="1">
      <c r="A7" s="7"/>
      <c r="B7" s="512"/>
      <c r="C7" s="512" t="s">
        <v>1566</v>
      </c>
      <c r="D7" s="425">
        <f>SUM(D6)</f>
        <v>210000</v>
      </c>
      <c r="E7" s="425">
        <f t="shared" ref="E7:AA7" si="0">SUM(E6)</f>
        <v>210000</v>
      </c>
      <c r="F7" s="425">
        <f t="shared" si="0"/>
        <v>0</v>
      </c>
      <c r="G7" s="425">
        <f t="shared" si="0"/>
        <v>160000</v>
      </c>
      <c r="H7" s="425">
        <f t="shared" si="0"/>
        <v>114953</v>
      </c>
      <c r="I7" s="425">
        <f t="shared" si="0"/>
        <v>0</v>
      </c>
      <c r="J7" s="425">
        <f t="shared" si="0"/>
        <v>29835</v>
      </c>
      <c r="K7" s="425">
        <f t="shared" si="0"/>
        <v>29835</v>
      </c>
      <c r="L7" s="425">
        <f t="shared" si="0"/>
        <v>144788</v>
      </c>
      <c r="M7" s="425">
        <f t="shared" si="0"/>
        <v>5212</v>
      </c>
      <c r="N7" s="425">
        <f t="shared" si="0"/>
        <v>60000</v>
      </c>
      <c r="O7" s="425">
        <f t="shared" si="0"/>
        <v>0</v>
      </c>
      <c r="P7" s="425">
        <f t="shared" si="0"/>
        <v>15212</v>
      </c>
      <c r="Q7" s="425">
        <f t="shared" si="0"/>
        <v>50000</v>
      </c>
      <c r="R7" s="425">
        <f t="shared" si="0"/>
        <v>0</v>
      </c>
      <c r="S7" s="425">
        <f t="shared" si="0"/>
        <v>50000</v>
      </c>
      <c r="T7" s="425">
        <f t="shared" si="0"/>
        <v>60000</v>
      </c>
      <c r="U7" s="425">
        <f t="shared" si="0"/>
        <v>0</v>
      </c>
      <c r="V7" s="425">
        <f t="shared" si="0"/>
        <v>0</v>
      </c>
      <c r="W7" s="425">
        <f t="shared" si="0"/>
        <v>0</v>
      </c>
      <c r="X7" s="425">
        <f t="shared" si="0"/>
        <v>0</v>
      </c>
      <c r="Y7" s="425">
        <f t="shared" si="0"/>
        <v>0</v>
      </c>
      <c r="Z7" s="425">
        <f t="shared" si="0"/>
        <v>0</v>
      </c>
      <c r="AA7" s="425">
        <f t="shared" si="0"/>
        <v>0</v>
      </c>
      <c r="AB7" s="512"/>
      <c r="AC7" s="512"/>
      <c r="AD7" s="819"/>
      <c r="AE7" s="819"/>
      <c r="AF7" s="819"/>
      <c r="AG7" s="819"/>
      <c r="AH7" s="819"/>
      <c r="AI7" s="819"/>
      <c r="AJ7" s="819"/>
      <c r="AK7" s="819"/>
      <c r="AL7" s="819"/>
      <c r="AM7" s="819"/>
      <c r="AN7" s="819"/>
      <c r="AO7" s="819"/>
      <c r="AP7" s="819"/>
    </row>
    <row r="8" spans="1:58" s="409" customFormat="1">
      <c r="A8" s="7"/>
      <c r="B8" s="512"/>
      <c r="C8" s="512">
        <v>72</v>
      </c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820"/>
      <c r="R8" s="425"/>
      <c r="S8" s="425"/>
      <c r="T8" s="425"/>
      <c r="U8" s="425"/>
      <c r="V8" s="425"/>
      <c r="W8" s="425"/>
      <c r="X8" s="425"/>
      <c r="Y8" s="425"/>
      <c r="Z8" s="425"/>
      <c r="AA8" s="512"/>
      <c r="AB8" s="512"/>
      <c r="AC8" s="512"/>
      <c r="AD8" s="819"/>
      <c r="AE8" s="819"/>
      <c r="AF8" s="819"/>
      <c r="AG8" s="819"/>
      <c r="AH8" s="819"/>
      <c r="AI8" s="819"/>
      <c r="AJ8" s="819"/>
      <c r="AK8" s="819"/>
      <c r="AL8" s="819"/>
      <c r="AM8" s="819"/>
      <c r="AN8" s="819"/>
      <c r="AO8" s="819"/>
      <c r="AP8" s="819"/>
    </row>
    <row r="9" spans="1:58" ht="32.4" customHeight="1">
      <c r="A9" s="448">
        <f>A6+1</f>
        <v>2</v>
      </c>
      <c r="B9" s="448">
        <v>2156</v>
      </c>
      <c r="C9" s="448" t="s">
        <v>979</v>
      </c>
      <c r="D9" s="449">
        <v>2700000</v>
      </c>
      <c r="E9" s="449">
        <v>2700000</v>
      </c>
      <c r="F9" s="449">
        <f>D9-E9</f>
        <v>0</v>
      </c>
      <c r="G9" s="449">
        <v>800000</v>
      </c>
      <c r="H9" s="449">
        <v>656759</v>
      </c>
      <c r="I9" s="449">
        <v>0</v>
      </c>
      <c r="J9" s="449">
        <v>89163</v>
      </c>
      <c r="K9" s="449">
        <f>I9+J9</f>
        <v>89163</v>
      </c>
      <c r="L9" s="449">
        <f>H9+K9</f>
        <v>745922</v>
      </c>
      <c r="M9" s="449">
        <f>P9+S9-54000</f>
        <v>78</v>
      </c>
      <c r="N9" s="449">
        <f>750000-50000-400000+54000</f>
        <v>354000</v>
      </c>
      <c r="O9" s="449">
        <f>D9-L9-M9-N9</f>
        <v>1600000</v>
      </c>
      <c r="P9" s="449">
        <f>G9-L9</f>
        <v>54078</v>
      </c>
      <c r="Q9" s="449"/>
      <c r="R9" s="449"/>
      <c r="S9" s="449">
        <f>SUM(Q9:R9)</f>
        <v>0</v>
      </c>
      <c r="T9" s="449">
        <f>P9-M9+S9</f>
        <v>54000</v>
      </c>
      <c r="U9" s="449">
        <f>N9-T9</f>
        <v>300000</v>
      </c>
      <c r="V9" s="449"/>
      <c r="W9" s="449">
        <f>U9-AA9-V9-Y9</f>
        <v>300000</v>
      </c>
      <c r="X9" s="449"/>
      <c r="Y9" s="449"/>
      <c r="Z9" s="449"/>
      <c r="AA9" s="448"/>
      <c r="AB9" s="448" t="s">
        <v>1373</v>
      </c>
      <c r="AC9" s="448">
        <v>720000</v>
      </c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</row>
    <row r="10" spans="1:58" ht="34.950000000000003" customHeight="1">
      <c r="A10" s="448">
        <f t="shared" ref="A10:A85" si="1">A9+1</f>
        <v>3</v>
      </c>
      <c r="B10" s="448">
        <v>2240</v>
      </c>
      <c r="C10" s="448" t="s">
        <v>608</v>
      </c>
      <c r="D10" s="449">
        <v>13200000</v>
      </c>
      <c r="E10" s="449">
        <v>13200000</v>
      </c>
      <c r="F10" s="449">
        <f>D10-E10</f>
        <v>0</v>
      </c>
      <c r="G10" s="449">
        <v>4240000</v>
      </c>
      <c r="H10" s="449">
        <v>3141090</v>
      </c>
      <c r="I10" s="449">
        <v>0</v>
      </c>
      <c r="J10" s="449">
        <f>294722+400488</f>
        <v>695210</v>
      </c>
      <c r="K10" s="449">
        <f>I10+J10</f>
        <v>695210</v>
      </c>
      <c r="L10" s="449">
        <f>H10+K10</f>
        <v>3836300</v>
      </c>
      <c r="M10" s="449">
        <f>P10+S10-780000+390000</f>
        <v>13700</v>
      </c>
      <c r="N10" s="449">
        <f>2170000+780000-380000-570000</f>
        <v>2000000</v>
      </c>
      <c r="O10" s="449">
        <f>D10-L10-M10-N10</f>
        <v>7350000</v>
      </c>
      <c r="P10" s="449">
        <f>G10-L10</f>
        <v>403700</v>
      </c>
      <c r="Q10" s="482"/>
      <c r="R10" s="449"/>
      <c r="S10" s="449">
        <f>SUM(Q10:R10)</f>
        <v>0</v>
      </c>
      <c r="T10" s="449">
        <f>P10-M10+S10</f>
        <v>390000</v>
      </c>
      <c r="U10" s="449">
        <f>N10-T10</f>
        <v>1610000</v>
      </c>
      <c r="V10" s="449"/>
      <c r="W10" s="449">
        <f>U10-AA10-V10-Y10</f>
        <v>1675822</v>
      </c>
      <c r="X10" s="449"/>
      <c r="Y10" s="449"/>
      <c r="Z10" s="449"/>
      <c r="AA10" s="449">
        <v>-65822</v>
      </c>
      <c r="AB10" s="448" t="s">
        <v>1349</v>
      </c>
      <c r="AC10" s="448">
        <v>720000</v>
      </c>
    </row>
    <row r="11" spans="1:58" ht="79.95" customHeight="1">
      <c r="A11" s="448">
        <f t="shared" si="1"/>
        <v>4</v>
      </c>
      <c r="B11" s="448">
        <v>20020</v>
      </c>
      <c r="C11" s="448" t="s">
        <v>610</v>
      </c>
      <c r="D11" s="449">
        <f>730000+1330000+230000</f>
        <v>2290000</v>
      </c>
      <c r="E11" s="449">
        <f>730000+230000</f>
        <v>960000</v>
      </c>
      <c r="F11" s="449">
        <f>D11-E11</f>
        <v>1330000</v>
      </c>
      <c r="G11" s="449">
        <v>730000</v>
      </c>
      <c r="H11" s="449">
        <v>750324</v>
      </c>
      <c r="I11" s="449">
        <v>0</v>
      </c>
      <c r="J11" s="449">
        <f>39667+67181</f>
        <v>106848</v>
      </c>
      <c r="K11" s="449">
        <f>I11+J11</f>
        <v>106848</v>
      </c>
      <c r="L11" s="449">
        <f>H11+K11</f>
        <v>857172</v>
      </c>
      <c r="M11" s="449">
        <f>P11+S11-100000</f>
        <v>2828</v>
      </c>
      <c r="N11" s="449">
        <f>1330000+100000-730000-100000</f>
        <v>600000</v>
      </c>
      <c r="O11" s="449">
        <f>D11-L11-M11-N11</f>
        <v>830000</v>
      </c>
      <c r="P11" s="449">
        <f>G11-L11</f>
        <v>-127172</v>
      </c>
      <c r="Q11" s="482"/>
      <c r="R11" s="449">
        <v>230000</v>
      </c>
      <c r="S11" s="449">
        <f>SUM(Q11:R11)</f>
        <v>230000</v>
      </c>
      <c r="T11" s="449">
        <f>P11-M11+S11</f>
        <v>100000</v>
      </c>
      <c r="U11" s="449">
        <f>N11-T11</f>
        <v>500000</v>
      </c>
      <c r="V11" s="449"/>
      <c r="W11" s="449">
        <f>U11-AA11-V11-Y11</f>
        <v>410000</v>
      </c>
      <c r="X11" s="449"/>
      <c r="Y11" s="449"/>
      <c r="Z11" s="449"/>
      <c r="AA11" s="449">
        <v>90000</v>
      </c>
      <c r="AB11" s="322" t="s">
        <v>1534</v>
      </c>
      <c r="AC11" s="448">
        <v>720000</v>
      </c>
    </row>
    <row r="12" spans="1:58" ht="53.4" customHeight="1">
      <c r="A12" s="448">
        <f t="shared" si="1"/>
        <v>5</v>
      </c>
      <c r="B12" s="448">
        <v>20104</v>
      </c>
      <c r="C12" s="448" t="s">
        <v>1531</v>
      </c>
      <c r="D12" s="449">
        <f>5000000+17000000+1200000</f>
        <v>23200000</v>
      </c>
      <c r="E12" s="449">
        <f>5000000+18200000</f>
        <v>23200000</v>
      </c>
      <c r="F12" s="449">
        <f>D12-E12</f>
        <v>0</v>
      </c>
      <c r="G12" s="449"/>
      <c r="H12" s="449">
        <v>0</v>
      </c>
      <c r="I12" s="449">
        <v>0</v>
      </c>
      <c r="J12" s="449">
        <v>60652</v>
      </c>
      <c r="K12" s="449">
        <f>I12+J12</f>
        <v>60652</v>
      </c>
      <c r="L12" s="449">
        <f>H12+K12</f>
        <v>60652</v>
      </c>
      <c r="M12" s="449">
        <f>P12+S12-4800000-100000-35000</f>
        <v>4348</v>
      </c>
      <c r="N12" s="449">
        <f>4800000+100000+18200000+35000</f>
        <v>23135000</v>
      </c>
      <c r="O12" s="449">
        <f>D12-L12-M12-N12</f>
        <v>0</v>
      </c>
      <c r="P12" s="449">
        <f>G12-L12</f>
        <v>-60652</v>
      </c>
      <c r="Q12" s="482"/>
      <c r="R12" s="449">
        <v>5000000</v>
      </c>
      <c r="S12" s="449">
        <f>SUM(Q12:R12)</f>
        <v>5000000</v>
      </c>
      <c r="T12" s="449">
        <f>P12-M12+S12</f>
        <v>4935000</v>
      </c>
      <c r="U12" s="449">
        <f>N12-T12</f>
        <v>18200000</v>
      </c>
      <c r="V12" s="449"/>
      <c r="W12" s="449">
        <f>U12-AA12-V12-Y12</f>
        <v>-5000000</v>
      </c>
      <c r="X12" s="449"/>
      <c r="Y12" s="449">
        <f>5000000+18200000</f>
        <v>23200000</v>
      </c>
      <c r="Z12" s="449"/>
      <c r="AA12" s="448"/>
      <c r="AB12" s="448" t="s">
        <v>1397</v>
      </c>
      <c r="AC12" s="448">
        <v>720000</v>
      </c>
    </row>
    <row r="13" spans="1:58" ht="55.95" customHeight="1">
      <c r="A13" s="448">
        <f t="shared" si="1"/>
        <v>6</v>
      </c>
      <c r="B13" s="448">
        <v>1621</v>
      </c>
      <c r="C13" s="469" t="s">
        <v>46</v>
      </c>
      <c r="D13" s="449">
        <f>6030000+40000</f>
        <v>6070000</v>
      </c>
      <c r="E13" s="449">
        <v>6030000</v>
      </c>
      <c r="F13" s="449">
        <f>D13-E13</f>
        <v>40000</v>
      </c>
      <c r="G13" s="449">
        <v>4400000</v>
      </c>
      <c r="H13" s="449">
        <v>3545139</v>
      </c>
      <c r="I13" s="449">
        <v>0</v>
      </c>
      <c r="J13" s="449">
        <f>893856-24937-89006-75000</f>
        <v>704913</v>
      </c>
      <c r="K13" s="449">
        <f>I13+J13</f>
        <v>704913</v>
      </c>
      <c r="L13" s="449">
        <f>H13+K13</f>
        <v>4250052</v>
      </c>
      <c r="M13" s="449">
        <f>P13+S13-250000-45000</f>
        <v>4948</v>
      </c>
      <c r="N13" s="449">
        <f>1670000+45000</f>
        <v>1715000</v>
      </c>
      <c r="O13" s="449">
        <f>D13-L13-M13-N13</f>
        <v>100000</v>
      </c>
      <c r="P13" s="449">
        <f>G13-L13</f>
        <v>149948</v>
      </c>
      <c r="Q13" s="482"/>
      <c r="R13" s="449">
        <v>150000</v>
      </c>
      <c r="S13" s="449">
        <f>SUM(Q13:R13)</f>
        <v>150000</v>
      </c>
      <c r="T13" s="449">
        <f>P13-M13+S13</f>
        <v>295000</v>
      </c>
      <c r="U13" s="449">
        <f>N13-T13</f>
        <v>1420000</v>
      </c>
      <c r="V13" s="449"/>
      <c r="W13" s="449">
        <f>U13-AA13-V13-Y13</f>
        <v>1420000</v>
      </c>
      <c r="X13" s="449"/>
      <c r="Y13" s="449"/>
      <c r="Z13" s="449"/>
      <c r="AA13" s="448"/>
      <c r="AB13" s="483" t="s">
        <v>600</v>
      </c>
      <c r="AC13" s="469">
        <v>723000</v>
      </c>
    </row>
    <row r="14" spans="1:58" s="409" customFormat="1" ht="30" customHeight="1">
      <c r="A14" s="512"/>
      <c r="B14" s="512"/>
      <c r="C14" s="513" t="s">
        <v>1567</v>
      </c>
      <c r="D14" s="425">
        <f>SUM(D9:D13)</f>
        <v>47460000</v>
      </c>
      <c r="E14" s="425">
        <f t="shared" ref="E14:AA14" si="2">SUM(E9:E13)</f>
        <v>46090000</v>
      </c>
      <c r="F14" s="425">
        <f t="shared" si="2"/>
        <v>1370000</v>
      </c>
      <c r="G14" s="425">
        <f t="shared" si="2"/>
        <v>10170000</v>
      </c>
      <c r="H14" s="425">
        <f t="shared" si="2"/>
        <v>8093312</v>
      </c>
      <c r="I14" s="425">
        <f t="shared" si="2"/>
        <v>0</v>
      </c>
      <c r="J14" s="425">
        <f t="shared" si="2"/>
        <v>1656786</v>
      </c>
      <c r="K14" s="425">
        <f t="shared" si="2"/>
        <v>1656786</v>
      </c>
      <c r="L14" s="425">
        <f t="shared" si="2"/>
        <v>9750098</v>
      </c>
      <c r="M14" s="425">
        <f t="shared" si="2"/>
        <v>25902</v>
      </c>
      <c r="N14" s="425">
        <f t="shared" si="2"/>
        <v>27804000</v>
      </c>
      <c r="O14" s="425">
        <f t="shared" si="2"/>
        <v>9880000</v>
      </c>
      <c r="P14" s="425">
        <f t="shared" si="2"/>
        <v>419902</v>
      </c>
      <c r="Q14" s="425">
        <f t="shared" si="2"/>
        <v>0</v>
      </c>
      <c r="R14" s="425">
        <f t="shared" si="2"/>
        <v>5380000</v>
      </c>
      <c r="S14" s="425">
        <f t="shared" si="2"/>
        <v>5380000</v>
      </c>
      <c r="T14" s="425">
        <f t="shared" si="2"/>
        <v>5774000</v>
      </c>
      <c r="U14" s="425">
        <f t="shared" si="2"/>
        <v>22030000</v>
      </c>
      <c r="V14" s="425">
        <f t="shared" si="2"/>
        <v>0</v>
      </c>
      <c r="W14" s="425">
        <f t="shared" si="2"/>
        <v>-1194178</v>
      </c>
      <c r="X14" s="425">
        <f t="shared" si="2"/>
        <v>0</v>
      </c>
      <c r="Y14" s="425">
        <f t="shared" si="2"/>
        <v>23200000</v>
      </c>
      <c r="Z14" s="425">
        <f t="shared" si="2"/>
        <v>0</v>
      </c>
      <c r="AA14" s="425">
        <f t="shared" si="2"/>
        <v>24178</v>
      </c>
      <c r="AB14" s="624"/>
      <c r="AC14" s="513"/>
      <c r="AD14" s="819"/>
      <c r="AE14" s="819"/>
      <c r="AF14" s="819"/>
      <c r="AG14" s="819"/>
      <c r="AH14" s="819"/>
      <c r="AI14" s="819"/>
      <c r="AJ14" s="819"/>
      <c r="AK14" s="819"/>
      <c r="AL14" s="819"/>
      <c r="AM14" s="819"/>
      <c r="AN14" s="819"/>
      <c r="AO14" s="819"/>
      <c r="AP14" s="819"/>
    </row>
    <row r="15" spans="1:58" s="409" customFormat="1" ht="30" customHeight="1">
      <c r="A15" s="512"/>
      <c r="B15" s="512"/>
      <c r="C15" s="513">
        <v>73</v>
      </c>
      <c r="D15" s="425"/>
      <c r="E15" s="425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820"/>
      <c r="R15" s="425"/>
      <c r="S15" s="425"/>
      <c r="T15" s="425"/>
      <c r="U15" s="425"/>
      <c r="V15" s="425"/>
      <c r="W15" s="425"/>
      <c r="X15" s="425"/>
      <c r="Y15" s="425"/>
      <c r="Z15" s="425"/>
      <c r="AA15" s="512"/>
      <c r="AB15" s="624"/>
      <c r="AC15" s="513"/>
      <c r="AD15" s="819"/>
      <c r="AE15" s="819"/>
      <c r="AF15" s="819"/>
      <c r="AG15" s="819"/>
      <c r="AH15" s="819"/>
      <c r="AI15" s="819"/>
      <c r="AJ15" s="819"/>
      <c r="AK15" s="819"/>
      <c r="AL15" s="819"/>
      <c r="AM15" s="819"/>
      <c r="AN15" s="819"/>
      <c r="AO15" s="819"/>
      <c r="AP15" s="819"/>
    </row>
    <row r="16" spans="1:58" ht="75" customHeight="1">
      <c r="A16" s="448">
        <f>A13+1</f>
        <v>7</v>
      </c>
      <c r="B16" s="448">
        <v>1247</v>
      </c>
      <c r="C16" s="448" t="s">
        <v>43</v>
      </c>
      <c r="D16" s="449">
        <f>9750000+300000</f>
        <v>10050000</v>
      </c>
      <c r="E16" s="449">
        <v>9750000</v>
      </c>
      <c r="F16" s="449">
        <f>D16-E16</f>
        <v>300000</v>
      </c>
      <c r="G16" s="449">
        <v>9750000</v>
      </c>
      <c r="H16" s="449">
        <v>9382566</v>
      </c>
      <c r="I16" s="449">
        <v>0</v>
      </c>
      <c r="J16" s="449">
        <f>296384+70902</f>
        <v>367286</v>
      </c>
      <c r="K16" s="449">
        <f>I16+J16</f>
        <v>367286</v>
      </c>
      <c r="L16" s="449">
        <f>H16+K16</f>
        <v>9749852</v>
      </c>
      <c r="M16" s="449">
        <f>P16+S16</f>
        <v>148</v>
      </c>
      <c r="N16" s="449">
        <v>300000</v>
      </c>
      <c r="O16" s="449">
        <f>D16-L16-M16-N16</f>
        <v>0</v>
      </c>
      <c r="P16" s="449">
        <f>G16-L16</f>
        <v>148</v>
      </c>
      <c r="Q16" s="482"/>
      <c r="R16" s="449"/>
      <c r="S16" s="449">
        <f>SUM(Q16:R16)</f>
        <v>0</v>
      </c>
      <c r="T16" s="449">
        <f>P16-M16+S16</f>
        <v>0</v>
      </c>
      <c r="U16" s="449">
        <f>N16-T16</f>
        <v>300000</v>
      </c>
      <c r="V16" s="449"/>
      <c r="W16" s="449">
        <f>U16-AA16-V16-Y16</f>
        <v>300000</v>
      </c>
      <c r="X16" s="449"/>
      <c r="Y16" s="449"/>
      <c r="Z16" s="449"/>
      <c r="AA16" s="448"/>
      <c r="AB16" s="448" t="s">
        <v>599</v>
      </c>
      <c r="AC16" s="448">
        <v>732000</v>
      </c>
    </row>
    <row r="17" spans="1:58" s="409" customFormat="1" ht="28.2" customHeight="1">
      <c r="A17" s="512"/>
      <c r="B17" s="512"/>
      <c r="C17" s="512" t="s">
        <v>1557</v>
      </c>
      <c r="D17" s="425">
        <f>SUM(D16)</f>
        <v>10050000</v>
      </c>
      <c r="E17" s="425">
        <f t="shared" ref="E17:AA17" si="3">SUM(E16)</f>
        <v>9750000</v>
      </c>
      <c r="F17" s="425">
        <f t="shared" si="3"/>
        <v>300000</v>
      </c>
      <c r="G17" s="425">
        <f t="shared" si="3"/>
        <v>9750000</v>
      </c>
      <c r="H17" s="425">
        <f t="shared" si="3"/>
        <v>9382566</v>
      </c>
      <c r="I17" s="425">
        <f t="shared" si="3"/>
        <v>0</v>
      </c>
      <c r="J17" s="425">
        <f t="shared" si="3"/>
        <v>367286</v>
      </c>
      <c r="K17" s="425">
        <f t="shared" si="3"/>
        <v>367286</v>
      </c>
      <c r="L17" s="425">
        <f t="shared" si="3"/>
        <v>9749852</v>
      </c>
      <c r="M17" s="425">
        <f t="shared" si="3"/>
        <v>148</v>
      </c>
      <c r="N17" s="425">
        <f t="shared" si="3"/>
        <v>300000</v>
      </c>
      <c r="O17" s="425">
        <f t="shared" si="3"/>
        <v>0</v>
      </c>
      <c r="P17" s="425">
        <f t="shared" si="3"/>
        <v>148</v>
      </c>
      <c r="Q17" s="425">
        <f t="shared" si="3"/>
        <v>0</v>
      </c>
      <c r="R17" s="425">
        <f t="shared" si="3"/>
        <v>0</v>
      </c>
      <c r="S17" s="425">
        <f t="shared" si="3"/>
        <v>0</v>
      </c>
      <c r="T17" s="425">
        <f t="shared" si="3"/>
        <v>0</v>
      </c>
      <c r="U17" s="425">
        <f t="shared" si="3"/>
        <v>300000</v>
      </c>
      <c r="V17" s="425">
        <f t="shared" si="3"/>
        <v>0</v>
      </c>
      <c r="W17" s="425">
        <f t="shared" si="3"/>
        <v>300000</v>
      </c>
      <c r="X17" s="425">
        <f t="shared" si="3"/>
        <v>0</v>
      </c>
      <c r="Y17" s="425">
        <f t="shared" si="3"/>
        <v>0</v>
      </c>
      <c r="Z17" s="425">
        <f t="shared" si="3"/>
        <v>0</v>
      </c>
      <c r="AA17" s="425">
        <f t="shared" si="3"/>
        <v>0</v>
      </c>
      <c r="AB17" s="512"/>
      <c r="AC17" s="512"/>
      <c r="AD17" s="819"/>
      <c r="AE17" s="819"/>
      <c r="AF17" s="819"/>
      <c r="AG17" s="819"/>
      <c r="AH17" s="819"/>
      <c r="AI17" s="819"/>
      <c r="AJ17" s="819"/>
      <c r="AK17" s="819"/>
      <c r="AL17" s="819"/>
      <c r="AM17" s="819"/>
      <c r="AN17" s="819"/>
      <c r="AO17" s="819"/>
      <c r="AP17" s="819"/>
    </row>
    <row r="18" spans="1:58" s="409" customFormat="1" ht="28.2" customHeight="1">
      <c r="A18" s="512"/>
      <c r="B18" s="512"/>
      <c r="C18" s="512">
        <v>74</v>
      </c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820"/>
      <c r="R18" s="425"/>
      <c r="S18" s="425"/>
      <c r="T18" s="425"/>
      <c r="U18" s="425"/>
      <c r="V18" s="425"/>
      <c r="W18" s="425"/>
      <c r="X18" s="425"/>
      <c r="Y18" s="425"/>
      <c r="Z18" s="425"/>
      <c r="AA18" s="512"/>
      <c r="AB18" s="512"/>
      <c r="AC18" s="512"/>
      <c r="AD18" s="819"/>
      <c r="AE18" s="819"/>
      <c r="AF18" s="819"/>
      <c r="AG18" s="819"/>
      <c r="AH18" s="819"/>
      <c r="AI18" s="819"/>
      <c r="AJ18" s="819"/>
      <c r="AK18" s="819"/>
      <c r="AL18" s="819"/>
      <c r="AM18" s="819"/>
      <c r="AN18" s="819"/>
      <c r="AO18" s="819"/>
      <c r="AP18" s="819"/>
    </row>
    <row r="19" spans="1:58" ht="82.95" customHeight="1">
      <c r="A19" s="448">
        <f>A16+1</f>
        <v>8</v>
      </c>
      <c r="B19" s="448">
        <v>1489</v>
      </c>
      <c r="C19" s="448" t="s">
        <v>268</v>
      </c>
      <c r="D19" s="449">
        <f>68500000+11000000-13000000</f>
        <v>66500000</v>
      </c>
      <c r="E19" s="449">
        <v>68500000</v>
      </c>
      <c r="F19" s="449">
        <f t="shared" ref="F19:F42" si="4">D19-E19</f>
        <v>-2000000</v>
      </c>
      <c r="G19" s="449">
        <v>66500000</v>
      </c>
      <c r="H19" s="449">
        <v>61784558</v>
      </c>
      <c r="I19" s="449">
        <v>0</v>
      </c>
      <c r="J19" s="449">
        <f>4379600-35097-3510-5850-3112-276508-27650-44460-24403-14865-40081-4008-3086-265968-26596-25740-22281-13572</f>
        <v>3542813</v>
      </c>
      <c r="K19" s="449">
        <f t="shared" ref="K19:K42" si="5">I19+J19</f>
        <v>3542813</v>
      </c>
      <c r="L19" s="449">
        <f t="shared" ref="L19:L42" si="6">H19+K19</f>
        <v>65327371</v>
      </c>
      <c r="M19" s="449">
        <f>P19+S19-280000-890000</f>
        <v>2629</v>
      </c>
      <c r="N19" s="449">
        <f>17000000-4000000-6000000-720000-1780000+500000-3830000</f>
        <v>1170000</v>
      </c>
      <c r="O19" s="449">
        <f t="shared" ref="O19:O42" si="7">D19-L19-M19-N19</f>
        <v>0</v>
      </c>
      <c r="P19" s="449">
        <f t="shared" ref="P19:P42" si="8">G19-L19</f>
        <v>1172629</v>
      </c>
      <c r="Q19" s="482"/>
      <c r="R19" s="449"/>
      <c r="S19" s="449">
        <f t="shared" ref="S19:S42" si="9">SUM(Q19:R19)</f>
        <v>0</v>
      </c>
      <c r="T19" s="449">
        <f t="shared" ref="T19:T42" si="10">P19-M19+S19</f>
        <v>1170000</v>
      </c>
      <c r="U19" s="449">
        <f t="shared" ref="U19:U42" si="11">N19-T19</f>
        <v>0</v>
      </c>
      <c r="V19" s="449"/>
      <c r="W19" s="449">
        <f t="shared" ref="W19:W42" si="12">U19-AA19-V19-Y19</f>
        <v>0</v>
      </c>
      <c r="X19" s="449"/>
      <c r="Y19" s="449"/>
      <c r="Z19" s="449"/>
      <c r="AA19" s="448"/>
      <c r="AB19" s="448" t="s">
        <v>1515</v>
      </c>
      <c r="AC19" s="448">
        <v>742000</v>
      </c>
    </row>
    <row r="20" spans="1:58" ht="43.2" customHeight="1">
      <c r="A20" s="448">
        <f t="shared" si="1"/>
        <v>9</v>
      </c>
      <c r="B20" s="448">
        <v>1848</v>
      </c>
      <c r="C20" s="448" t="s">
        <v>720</v>
      </c>
      <c r="D20" s="449">
        <f>1900000+100000</f>
        <v>2000000</v>
      </c>
      <c r="E20" s="449">
        <v>1900000</v>
      </c>
      <c r="F20" s="449">
        <f t="shared" si="4"/>
        <v>100000</v>
      </c>
      <c r="G20" s="449">
        <v>1800000</v>
      </c>
      <c r="H20" s="449">
        <v>1760675</v>
      </c>
      <c r="I20" s="449">
        <v>0</v>
      </c>
      <c r="J20" s="449">
        <v>13406</v>
      </c>
      <c r="K20" s="449">
        <f t="shared" si="5"/>
        <v>13406</v>
      </c>
      <c r="L20" s="449">
        <f t="shared" si="6"/>
        <v>1774081</v>
      </c>
      <c r="M20" s="449">
        <f>P20+S20-25000</f>
        <v>919</v>
      </c>
      <c r="N20" s="449">
        <f>200000+25000</f>
        <v>225000</v>
      </c>
      <c r="O20" s="449">
        <f t="shared" si="7"/>
        <v>0</v>
      </c>
      <c r="P20" s="449">
        <f t="shared" si="8"/>
        <v>25919</v>
      </c>
      <c r="Q20" s="482"/>
      <c r="R20" s="449"/>
      <c r="S20" s="449">
        <f t="shared" si="9"/>
        <v>0</v>
      </c>
      <c r="T20" s="449">
        <f t="shared" si="10"/>
        <v>25000</v>
      </c>
      <c r="U20" s="449">
        <f t="shared" si="11"/>
        <v>200000</v>
      </c>
      <c r="V20" s="449"/>
      <c r="W20" s="449">
        <f t="shared" si="12"/>
        <v>200000</v>
      </c>
      <c r="X20" s="449"/>
      <c r="Y20" s="449"/>
      <c r="Z20" s="449"/>
      <c r="AA20" s="448"/>
      <c r="AB20" s="448" t="s">
        <v>601</v>
      </c>
      <c r="AC20" s="448">
        <v>742000</v>
      </c>
    </row>
    <row r="21" spans="1:58" ht="55.2">
      <c r="A21" s="448">
        <f t="shared" si="1"/>
        <v>10</v>
      </c>
      <c r="B21" s="448">
        <v>1973</v>
      </c>
      <c r="C21" s="448" t="s">
        <v>119</v>
      </c>
      <c r="D21" s="449">
        <f>2500000+750000</f>
        <v>3250000</v>
      </c>
      <c r="E21" s="449">
        <v>2500000</v>
      </c>
      <c r="F21" s="449">
        <f t="shared" si="4"/>
        <v>750000</v>
      </c>
      <c r="G21" s="449">
        <v>2250000</v>
      </c>
      <c r="H21" s="449">
        <v>2181760</v>
      </c>
      <c r="I21" s="449">
        <v>0</v>
      </c>
      <c r="J21" s="449">
        <v>51171</v>
      </c>
      <c r="K21" s="449">
        <f t="shared" si="5"/>
        <v>51171</v>
      </c>
      <c r="L21" s="449">
        <f t="shared" si="6"/>
        <v>2232931</v>
      </c>
      <c r="M21" s="449">
        <f>P21+S21-17000</f>
        <v>69</v>
      </c>
      <c r="N21" s="449">
        <f>600000-500000-50000+17000</f>
        <v>67000</v>
      </c>
      <c r="O21" s="449">
        <f t="shared" si="7"/>
        <v>950000</v>
      </c>
      <c r="P21" s="449">
        <f t="shared" si="8"/>
        <v>17069</v>
      </c>
      <c r="Q21" s="482"/>
      <c r="R21" s="449"/>
      <c r="S21" s="449">
        <f t="shared" si="9"/>
        <v>0</v>
      </c>
      <c r="T21" s="449">
        <f t="shared" si="10"/>
        <v>17000</v>
      </c>
      <c r="U21" s="449">
        <f t="shared" si="11"/>
        <v>50000</v>
      </c>
      <c r="V21" s="449"/>
      <c r="W21" s="449">
        <f t="shared" si="12"/>
        <v>50000</v>
      </c>
      <c r="X21" s="449"/>
      <c r="Y21" s="449"/>
      <c r="Z21" s="449"/>
      <c r="AA21" s="448"/>
      <c r="AB21" s="448" t="s">
        <v>1517</v>
      </c>
      <c r="AC21" s="448">
        <v>742000</v>
      </c>
    </row>
    <row r="22" spans="1:58" ht="75.599999999999994" customHeight="1">
      <c r="A22" s="448">
        <f t="shared" si="1"/>
        <v>11</v>
      </c>
      <c r="B22" s="448">
        <v>2167</v>
      </c>
      <c r="C22" s="448" t="s">
        <v>400</v>
      </c>
      <c r="D22" s="449">
        <v>1400000</v>
      </c>
      <c r="E22" s="449">
        <v>1400000</v>
      </c>
      <c r="F22" s="449">
        <f t="shared" si="4"/>
        <v>0</v>
      </c>
      <c r="G22" s="449">
        <v>100000</v>
      </c>
      <c r="H22" s="449">
        <v>94686</v>
      </c>
      <c r="I22" s="449">
        <v>0</v>
      </c>
      <c r="J22" s="449"/>
      <c r="K22" s="449">
        <f t="shared" si="5"/>
        <v>0</v>
      </c>
      <c r="L22" s="449">
        <f t="shared" si="6"/>
        <v>94686</v>
      </c>
      <c r="M22" s="449">
        <f>P22+S22-5000</f>
        <v>314</v>
      </c>
      <c r="N22" s="449">
        <f>100000-50000+5000</f>
        <v>55000</v>
      </c>
      <c r="O22" s="449">
        <f t="shared" si="7"/>
        <v>1250000</v>
      </c>
      <c r="P22" s="449">
        <f t="shared" si="8"/>
        <v>5314</v>
      </c>
      <c r="Q22" s="482"/>
      <c r="R22" s="449"/>
      <c r="S22" s="449">
        <f t="shared" si="9"/>
        <v>0</v>
      </c>
      <c r="T22" s="449">
        <f t="shared" si="10"/>
        <v>5000</v>
      </c>
      <c r="U22" s="449">
        <f t="shared" si="11"/>
        <v>50000</v>
      </c>
      <c r="V22" s="449"/>
      <c r="W22" s="449">
        <f t="shared" si="12"/>
        <v>50000</v>
      </c>
      <c r="X22" s="449"/>
      <c r="Y22" s="449"/>
      <c r="Z22" s="449"/>
      <c r="AA22" s="448"/>
      <c r="AB22" s="448" t="s">
        <v>845</v>
      </c>
      <c r="AC22" s="448">
        <v>742000</v>
      </c>
    </row>
    <row r="23" spans="1:58" ht="70.2" customHeight="1">
      <c r="A23" s="448">
        <f t="shared" si="1"/>
        <v>12</v>
      </c>
      <c r="B23" s="448">
        <v>2237</v>
      </c>
      <c r="C23" s="448" t="s">
        <v>605</v>
      </c>
      <c r="D23" s="449">
        <v>1700000</v>
      </c>
      <c r="E23" s="449">
        <v>1700000</v>
      </c>
      <c r="F23" s="449">
        <f t="shared" si="4"/>
        <v>0</v>
      </c>
      <c r="G23" s="449">
        <v>1300000</v>
      </c>
      <c r="H23" s="449">
        <v>1047135</v>
      </c>
      <c r="I23" s="449">
        <v>0</v>
      </c>
      <c r="J23" s="449">
        <f>29835-29835</f>
        <v>0</v>
      </c>
      <c r="K23" s="449">
        <f t="shared" si="5"/>
        <v>0</v>
      </c>
      <c r="L23" s="449">
        <f t="shared" si="6"/>
        <v>1047135</v>
      </c>
      <c r="M23" s="449">
        <f>P23+S23-250000</f>
        <v>2865</v>
      </c>
      <c r="N23" s="449">
        <f>400000-100000-100000</f>
        <v>200000</v>
      </c>
      <c r="O23" s="449">
        <f t="shared" si="7"/>
        <v>450000</v>
      </c>
      <c r="P23" s="449">
        <f t="shared" si="8"/>
        <v>252865</v>
      </c>
      <c r="Q23" s="482"/>
      <c r="R23" s="449"/>
      <c r="S23" s="449">
        <f t="shared" si="9"/>
        <v>0</v>
      </c>
      <c r="T23" s="449">
        <f t="shared" si="10"/>
        <v>250000</v>
      </c>
      <c r="U23" s="449">
        <f t="shared" si="11"/>
        <v>-50000</v>
      </c>
      <c r="V23" s="449">
        <v>-50000</v>
      </c>
      <c r="W23" s="449">
        <f t="shared" si="12"/>
        <v>0</v>
      </c>
      <c r="X23" s="449"/>
      <c r="Y23" s="449"/>
      <c r="Z23" s="449"/>
      <c r="AA23" s="448"/>
      <c r="AB23" s="448" t="s">
        <v>848</v>
      </c>
      <c r="AC23" s="448">
        <v>742000</v>
      </c>
    </row>
    <row r="24" spans="1:58" s="756" customFormat="1" ht="41.4">
      <c r="A24" s="448">
        <f t="shared" si="1"/>
        <v>13</v>
      </c>
      <c r="B24" s="448">
        <v>2239</v>
      </c>
      <c r="C24" s="448" t="s">
        <v>607</v>
      </c>
      <c r="D24" s="449">
        <v>30000000</v>
      </c>
      <c r="E24" s="449">
        <v>30000000</v>
      </c>
      <c r="F24" s="449">
        <f t="shared" si="4"/>
        <v>0</v>
      </c>
      <c r="G24" s="449">
        <v>5500000</v>
      </c>
      <c r="H24" s="449">
        <v>3340529</v>
      </c>
      <c r="I24" s="449">
        <v>0</v>
      </c>
      <c r="J24" s="449">
        <v>1951835</v>
      </c>
      <c r="K24" s="449">
        <f t="shared" si="5"/>
        <v>1951835</v>
      </c>
      <c r="L24" s="449">
        <f t="shared" si="6"/>
        <v>5292364</v>
      </c>
      <c r="M24" s="449">
        <f>P24+S24-130000-70000</f>
        <v>7636</v>
      </c>
      <c r="N24" s="449">
        <f>3400000-1270000-130000</f>
        <v>2000000</v>
      </c>
      <c r="O24" s="449">
        <f t="shared" si="7"/>
        <v>22700000</v>
      </c>
      <c r="P24" s="449">
        <f t="shared" si="8"/>
        <v>207636</v>
      </c>
      <c r="Q24" s="482"/>
      <c r="R24" s="449"/>
      <c r="S24" s="449">
        <f t="shared" si="9"/>
        <v>0</v>
      </c>
      <c r="T24" s="449">
        <f t="shared" si="10"/>
        <v>200000</v>
      </c>
      <c r="U24" s="449">
        <f t="shared" si="11"/>
        <v>1800000</v>
      </c>
      <c r="V24" s="449">
        <v>1800000</v>
      </c>
      <c r="W24" s="449">
        <f t="shared" si="12"/>
        <v>0</v>
      </c>
      <c r="X24" s="449"/>
      <c r="Y24" s="449"/>
      <c r="Z24" s="449"/>
      <c r="AA24" s="448"/>
      <c r="AB24" s="448" t="s">
        <v>678</v>
      </c>
      <c r="AC24" s="448">
        <v>742000</v>
      </c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8" s="756" customFormat="1" ht="41.4">
      <c r="A25" s="448">
        <f t="shared" si="1"/>
        <v>14</v>
      </c>
      <c r="B25" s="448">
        <v>20021</v>
      </c>
      <c r="C25" s="448" t="s">
        <v>611</v>
      </c>
      <c r="D25" s="449">
        <f>8000000+5000000</f>
        <v>13000000</v>
      </c>
      <c r="E25" s="449">
        <v>8000000</v>
      </c>
      <c r="F25" s="449">
        <f t="shared" si="4"/>
        <v>5000000</v>
      </c>
      <c r="G25" s="449">
        <v>7000000</v>
      </c>
      <c r="H25" s="449">
        <v>3832154</v>
      </c>
      <c r="I25" s="449">
        <v>0</v>
      </c>
      <c r="J25" s="449">
        <f>1544563-1278</f>
        <v>1543285</v>
      </c>
      <c r="K25" s="449">
        <f t="shared" si="5"/>
        <v>1543285</v>
      </c>
      <c r="L25" s="449">
        <f t="shared" si="6"/>
        <v>5375439</v>
      </c>
      <c r="M25" s="449">
        <f>P25+S25-1620000</f>
        <v>4561</v>
      </c>
      <c r="N25" s="449">
        <f>5500000+1620000-5500000-1620000</f>
        <v>0</v>
      </c>
      <c r="O25" s="449">
        <f t="shared" si="7"/>
        <v>7620000</v>
      </c>
      <c r="P25" s="449">
        <f t="shared" si="8"/>
        <v>1624561</v>
      </c>
      <c r="Q25" s="482"/>
      <c r="R25" s="449"/>
      <c r="S25" s="449">
        <f t="shared" si="9"/>
        <v>0</v>
      </c>
      <c r="T25" s="449">
        <f t="shared" si="10"/>
        <v>1620000</v>
      </c>
      <c r="U25" s="449">
        <f t="shared" si="11"/>
        <v>-1620000</v>
      </c>
      <c r="V25" s="449"/>
      <c r="W25" s="449">
        <f t="shared" si="12"/>
        <v>-1620000</v>
      </c>
      <c r="X25" s="449"/>
      <c r="Y25" s="449"/>
      <c r="Z25" s="449"/>
      <c r="AA25" s="448"/>
      <c r="AB25" s="448" t="s">
        <v>612</v>
      </c>
      <c r="AC25" s="448">
        <v>742000</v>
      </c>
      <c r="AQ2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</row>
    <row r="26" spans="1:58" s="756" customFormat="1" ht="40.200000000000003" customHeight="1">
      <c r="A26" s="448">
        <f t="shared" si="1"/>
        <v>15</v>
      </c>
      <c r="B26" s="448">
        <v>20051</v>
      </c>
      <c r="C26" s="448" t="s">
        <v>983</v>
      </c>
      <c r="D26" s="449">
        <f>4100000+950000+650000-100000</f>
        <v>5600000</v>
      </c>
      <c r="E26" s="449">
        <v>5050000</v>
      </c>
      <c r="F26" s="449">
        <f t="shared" si="4"/>
        <v>550000</v>
      </c>
      <c r="G26" s="449">
        <v>5050000</v>
      </c>
      <c r="H26" s="449">
        <v>2346404</v>
      </c>
      <c r="I26" s="449">
        <v>0</v>
      </c>
      <c r="J26" s="449">
        <v>1849763</v>
      </c>
      <c r="K26" s="449">
        <f t="shared" si="5"/>
        <v>1849763</v>
      </c>
      <c r="L26" s="449">
        <f t="shared" si="6"/>
        <v>4196167</v>
      </c>
      <c r="M26" s="449">
        <f>P26+S26-840000-10000</f>
        <v>3833</v>
      </c>
      <c r="N26" s="449">
        <f>650000+800000-100000+40000-550000+10000</f>
        <v>850000</v>
      </c>
      <c r="O26" s="449">
        <f t="shared" si="7"/>
        <v>550000</v>
      </c>
      <c r="P26" s="449">
        <f t="shared" si="8"/>
        <v>853833</v>
      </c>
      <c r="Q26" s="482"/>
      <c r="R26" s="449"/>
      <c r="S26" s="449">
        <f t="shared" si="9"/>
        <v>0</v>
      </c>
      <c r="T26" s="449">
        <f t="shared" si="10"/>
        <v>850000</v>
      </c>
      <c r="U26" s="449">
        <f t="shared" si="11"/>
        <v>0</v>
      </c>
      <c r="V26" s="449"/>
      <c r="W26" s="449">
        <f t="shared" si="12"/>
        <v>0</v>
      </c>
      <c r="X26" s="449"/>
      <c r="Y26" s="449"/>
      <c r="Z26" s="449"/>
      <c r="AA26" s="448"/>
      <c r="AB26" s="448" t="s">
        <v>1312</v>
      </c>
      <c r="AC26" s="448">
        <v>742000</v>
      </c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8" s="756" customFormat="1" ht="48" customHeight="1">
      <c r="A27" s="448">
        <f t="shared" si="1"/>
        <v>16</v>
      </c>
      <c r="B27" s="448">
        <v>20100</v>
      </c>
      <c r="C27" s="448" t="s">
        <v>942</v>
      </c>
      <c r="D27" s="449">
        <f>2100000-90000</f>
        <v>2010000</v>
      </c>
      <c r="E27" s="449">
        <v>2100000</v>
      </c>
      <c r="F27" s="449">
        <f t="shared" si="4"/>
        <v>-90000</v>
      </c>
      <c r="G27" s="449">
        <v>2100000</v>
      </c>
      <c r="H27" s="449">
        <v>2242</v>
      </c>
      <c r="I27" s="449">
        <v>0</v>
      </c>
      <c r="J27" s="449">
        <v>1974255</v>
      </c>
      <c r="K27" s="449">
        <f t="shared" si="5"/>
        <v>1974255</v>
      </c>
      <c r="L27" s="449">
        <f t="shared" si="6"/>
        <v>1976497</v>
      </c>
      <c r="M27" s="449">
        <f>P27+S27-100000-20000</f>
        <v>3503</v>
      </c>
      <c r="N27" s="449">
        <f>100000+20000-90000</f>
        <v>30000</v>
      </c>
      <c r="O27" s="449">
        <f t="shared" si="7"/>
        <v>0</v>
      </c>
      <c r="P27" s="449">
        <f t="shared" si="8"/>
        <v>123503</v>
      </c>
      <c r="Q27" s="482"/>
      <c r="R27" s="449"/>
      <c r="S27" s="449">
        <f t="shared" si="9"/>
        <v>0</v>
      </c>
      <c r="T27" s="449">
        <f t="shared" si="10"/>
        <v>120000</v>
      </c>
      <c r="U27" s="449">
        <f t="shared" si="11"/>
        <v>-90000</v>
      </c>
      <c r="V27" s="449">
        <v>-90000</v>
      </c>
      <c r="W27" s="449">
        <f t="shared" si="12"/>
        <v>0</v>
      </c>
      <c r="X27" s="449"/>
      <c r="Y27" s="449"/>
      <c r="Z27" s="449"/>
      <c r="AA27" s="448"/>
      <c r="AB27" s="448" t="s">
        <v>956</v>
      </c>
      <c r="AC27" s="448">
        <v>742000</v>
      </c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8" s="756" customFormat="1" ht="46.95" customHeight="1">
      <c r="A28" s="448">
        <f t="shared" si="1"/>
        <v>17</v>
      </c>
      <c r="B28" s="448">
        <v>20115</v>
      </c>
      <c r="C28" s="135" t="s">
        <v>1456</v>
      </c>
      <c r="D28" s="120">
        <f>3830000+170000</f>
        <v>4000000</v>
      </c>
      <c r="E28" s="120"/>
      <c r="F28" s="120">
        <f t="shared" si="4"/>
        <v>4000000</v>
      </c>
      <c r="G28" s="120">
        <v>0</v>
      </c>
      <c r="H28" s="120"/>
      <c r="I28" s="120"/>
      <c r="J28" s="120"/>
      <c r="K28" s="120">
        <f t="shared" si="5"/>
        <v>0</v>
      </c>
      <c r="L28" s="120">
        <f t="shared" si="6"/>
        <v>0</v>
      </c>
      <c r="M28" s="120">
        <f>P28+S28</f>
        <v>0</v>
      </c>
      <c r="N28" s="120">
        <v>4000000</v>
      </c>
      <c r="O28" s="120">
        <f t="shared" si="7"/>
        <v>0</v>
      </c>
      <c r="P28" s="120">
        <f t="shared" si="8"/>
        <v>0</v>
      </c>
      <c r="Q28" s="120"/>
      <c r="R28" s="120"/>
      <c r="S28" s="120">
        <f t="shared" si="9"/>
        <v>0</v>
      </c>
      <c r="T28" s="120">
        <f t="shared" si="10"/>
        <v>0</v>
      </c>
      <c r="U28" s="449">
        <f t="shared" si="11"/>
        <v>4000000</v>
      </c>
      <c r="V28" s="120"/>
      <c r="W28" s="449">
        <f t="shared" si="12"/>
        <v>4000000</v>
      </c>
      <c r="X28" s="120"/>
      <c r="Y28" s="120"/>
      <c r="Z28" s="120"/>
      <c r="AA28" s="120"/>
      <c r="AB28" s="448" t="s">
        <v>1457</v>
      </c>
      <c r="AC28" s="448">
        <v>742000</v>
      </c>
      <c r="AQ28" s="315"/>
      <c r="AR28" s="465"/>
      <c r="AS28" s="465"/>
      <c r="AT28" s="465"/>
      <c r="AU28" s="465"/>
      <c r="AV28" s="465"/>
      <c r="AW28" s="465"/>
      <c r="AX28" s="272"/>
      <c r="AY28" s="272"/>
      <c r="AZ28" s="272"/>
      <c r="BA28" s="272"/>
      <c r="BB28" s="272"/>
      <c r="BC28" s="272"/>
      <c r="BD28" s="272"/>
      <c r="BE28" s="272"/>
      <c r="BF28" s="272"/>
    </row>
    <row r="29" spans="1:58" s="756" customFormat="1" ht="69">
      <c r="A29" s="448">
        <f t="shared" si="1"/>
        <v>18</v>
      </c>
      <c r="B29" s="448">
        <v>20116</v>
      </c>
      <c r="C29" s="135" t="s">
        <v>986</v>
      </c>
      <c r="D29" s="120">
        <f>5450000+825000-875000</f>
        <v>5400000</v>
      </c>
      <c r="E29" s="120"/>
      <c r="F29" s="120">
        <f t="shared" si="4"/>
        <v>5400000</v>
      </c>
      <c r="G29" s="120">
        <v>0</v>
      </c>
      <c r="H29" s="120"/>
      <c r="I29" s="120"/>
      <c r="J29" s="120"/>
      <c r="K29" s="120">
        <f t="shared" si="5"/>
        <v>0</v>
      </c>
      <c r="L29" s="120">
        <f t="shared" si="6"/>
        <v>0</v>
      </c>
      <c r="M29" s="120">
        <f>P29+S29</f>
        <v>0</v>
      </c>
      <c r="N29" s="120">
        <f>6275000-875000-3400000-1000000</f>
        <v>1000000</v>
      </c>
      <c r="O29" s="120">
        <f t="shared" si="7"/>
        <v>4400000</v>
      </c>
      <c r="P29" s="120">
        <f t="shared" si="8"/>
        <v>0</v>
      </c>
      <c r="Q29" s="120"/>
      <c r="R29" s="120"/>
      <c r="S29" s="120">
        <f t="shared" si="9"/>
        <v>0</v>
      </c>
      <c r="T29" s="120">
        <f t="shared" si="10"/>
        <v>0</v>
      </c>
      <c r="U29" s="449">
        <f t="shared" si="11"/>
        <v>1000000</v>
      </c>
      <c r="V29" s="120">
        <v>1000000</v>
      </c>
      <c r="W29" s="449">
        <f t="shared" si="12"/>
        <v>0</v>
      </c>
      <c r="X29" s="120"/>
      <c r="Y29" s="120"/>
      <c r="Z29" s="120"/>
      <c r="AA29" s="120"/>
      <c r="AB29" s="448" t="s">
        <v>1348</v>
      </c>
      <c r="AC29" s="448">
        <v>742000</v>
      </c>
      <c r="AQ29"/>
      <c r="AR29" s="465"/>
      <c r="AS29" s="465"/>
      <c r="AT29" s="465"/>
      <c r="AU29" s="465"/>
      <c r="AV29" s="465"/>
      <c r="AW29" s="465"/>
      <c r="AX29" s="272"/>
      <c r="AY29" s="272"/>
      <c r="AZ29" s="272"/>
      <c r="BA29" s="272"/>
      <c r="BB29" s="272"/>
      <c r="BC29" s="272"/>
      <c r="BD29" s="272"/>
      <c r="BE29" s="272"/>
      <c r="BF29" s="272"/>
    </row>
    <row r="30" spans="1:58" s="756" customFormat="1" ht="43.2" customHeight="1">
      <c r="A30" s="448">
        <f t="shared" si="1"/>
        <v>19</v>
      </c>
      <c r="B30" s="448">
        <v>1917</v>
      </c>
      <c r="C30" s="448" t="s">
        <v>109</v>
      </c>
      <c r="D30" s="449">
        <v>33701000</v>
      </c>
      <c r="E30" s="449">
        <v>33701000</v>
      </c>
      <c r="F30" s="449">
        <f t="shared" si="4"/>
        <v>0</v>
      </c>
      <c r="G30" s="449">
        <v>33701000</v>
      </c>
      <c r="H30" s="449">
        <v>30359309</v>
      </c>
      <c r="I30" s="449">
        <v>0</v>
      </c>
      <c r="J30" s="449">
        <v>3210528</v>
      </c>
      <c r="K30" s="449">
        <f t="shared" si="5"/>
        <v>3210528</v>
      </c>
      <c r="L30" s="449">
        <f t="shared" si="6"/>
        <v>33569837</v>
      </c>
      <c r="M30" s="449">
        <f>P30+S30-130000</f>
        <v>1163</v>
      </c>
      <c r="N30" s="449">
        <v>130000</v>
      </c>
      <c r="O30" s="449">
        <f t="shared" si="7"/>
        <v>0</v>
      </c>
      <c r="P30" s="449">
        <f t="shared" si="8"/>
        <v>131163</v>
      </c>
      <c r="Q30" s="482"/>
      <c r="R30" s="449"/>
      <c r="S30" s="449">
        <f t="shared" si="9"/>
        <v>0</v>
      </c>
      <c r="T30" s="449">
        <f t="shared" si="10"/>
        <v>130000</v>
      </c>
      <c r="U30" s="449">
        <f t="shared" si="11"/>
        <v>0</v>
      </c>
      <c r="V30" s="449">
        <v>201613</v>
      </c>
      <c r="W30" s="449">
        <f t="shared" si="12"/>
        <v>0</v>
      </c>
      <c r="X30" s="449"/>
      <c r="Y30" s="449"/>
      <c r="Z30" s="449"/>
      <c r="AA30" s="449">
        <v>-201613</v>
      </c>
      <c r="AB30" s="448" t="s">
        <v>1393</v>
      </c>
      <c r="AC30" s="448">
        <v>743000</v>
      </c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8" s="756" customFormat="1" ht="40.950000000000003" customHeight="1">
      <c r="A31" s="448">
        <f t="shared" si="1"/>
        <v>20</v>
      </c>
      <c r="B31" s="448">
        <v>20067</v>
      </c>
      <c r="C31" s="448" t="s">
        <v>741</v>
      </c>
      <c r="D31" s="449">
        <f>3500000+27000000-2500000</f>
        <v>28000000</v>
      </c>
      <c r="E31" s="449">
        <v>3500000</v>
      </c>
      <c r="F31" s="449">
        <f t="shared" si="4"/>
        <v>24500000</v>
      </c>
      <c r="G31" s="449">
        <v>1500000</v>
      </c>
      <c r="H31" s="449">
        <v>534744</v>
      </c>
      <c r="I31" s="449"/>
      <c r="J31" s="449">
        <f>324871-117000</f>
        <v>207871</v>
      </c>
      <c r="K31" s="449">
        <f t="shared" si="5"/>
        <v>207871</v>
      </c>
      <c r="L31" s="449">
        <f t="shared" si="6"/>
        <v>742615</v>
      </c>
      <c r="M31" s="449">
        <f>P31+S31-500000-100000-150000</f>
        <v>7385</v>
      </c>
      <c r="N31" s="449">
        <f>500*9000-1750000-1500000</f>
        <v>1250000</v>
      </c>
      <c r="O31" s="449">
        <f t="shared" si="7"/>
        <v>26000000</v>
      </c>
      <c r="P31" s="449">
        <f t="shared" si="8"/>
        <v>757385</v>
      </c>
      <c r="Q31" s="482"/>
      <c r="R31" s="449"/>
      <c r="S31" s="449">
        <f t="shared" si="9"/>
        <v>0</v>
      </c>
      <c r="T31" s="449">
        <f t="shared" si="10"/>
        <v>750000</v>
      </c>
      <c r="U31" s="449">
        <f t="shared" si="11"/>
        <v>500000</v>
      </c>
      <c r="V31" s="449"/>
      <c r="W31" s="449">
        <f t="shared" si="12"/>
        <v>500000</v>
      </c>
      <c r="X31" s="449"/>
      <c r="Y31" s="449"/>
      <c r="Z31" s="449"/>
      <c r="AA31" s="448"/>
      <c r="AB31" s="448" t="s">
        <v>1309</v>
      </c>
      <c r="AC31" s="448">
        <v>743000</v>
      </c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8" s="756" customFormat="1" ht="62.4" customHeight="1">
      <c r="A32" s="448">
        <f t="shared" si="1"/>
        <v>21</v>
      </c>
      <c r="B32" s="448">
        <v>20072</v>
      </c>
      <c r="C32" s="448" t="s">
        <v>792</v>
      </c>
      <c r="D32" s="449">
        <f>2000000-1000000</f>
        <v>1000000</v>
      </c>
      <c r="E32" s="449">
        <v>2000000</v>
      </c>
      <c r="F32" s="449">
        <f t="shared" si="4"/>
        <v>-1000000</v>
      </c>
      <c r="G32" s="449">
        <v>1000000</v>
      </c>
      <c r="H32" s="449">
        <v>700769</v>
      </c>
      <c r="I32" s="449">
        <v>0</v>
      </c>
      <c r="J32" s="449">
        <v>5010</v>
      </c>
      <c r="K32" s="449">
        <f t="shared" si="5"/>
        <v>5010</v>
      </c>
      <c r="L32" s="449">
        <f t="shared" si="6"/>
        <v>705779</v>
      </c>
      <c r="M32" s="449">
        <f>P32+S32-290000</f>
        <v>4221</v>
      </c>
      <c r="N32" s="449">
        <v>290000</v>
      </c>
      <c r="O32" s="449">
        <f t="shared" si="7"/>
        <v>0</v>
      </c>
      <c r="P32" s="449">
        <f t="shared" si="8"/>
        <v>294221</v>
      </c>
      <c r="Q32" s="482"/>
      <c r="R32" s="449"/>
      <c r="S32" s="449">
        <f t="shared" si="9"/>
        <v>0</v>
      </c>
      <c r="T32" s="449">
        <f t="shared" si="10"/>
        <v>290000</v>
      </c>
      <c r="U32" s="449">
        <f t="shared" si="11"/>
        <v>0</v>
      </c>
      <c r="V32" s="449"/>
      <c r="W32" s="449">
        <f t="shared" si="12"/>
        <v>0</v>
      </c>
      <c r="X32" s="449"/>
      <c r="Y32" s="449"/>
      <c r="Z32" s="449"/>
      <c r="AA32" s="448"/>
      <c r="AB32" s="448" t="s">
        <v>863</v>
      </c>
      <c r="AC32" s="448">
        <v>743000</v>
      </c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58" s="756" customFormat="1" ht="27.6">
      <c r="A33" s="448">
        <f t="shared" si="1"/>
        <v>22</v>
      </c>
      <c r="B33" s="448">
        <v>20117</v>
      </c>
      <c r="C33" s="135" t="s">
        <v>1310</v>
      </c>
      <c r="D33" s="120">
        <v>1600000</v>
      </c>
      <c r="E33" s="120"/>
      <c r="F33" s="120">
        <f t="shared" si="4"/>
        <v>1600000</v>
      </c>
      <c r="G33" s="120">
        <v>0</v>
      </c>
      <c r="H33" s="120"/>
      <c r="I33" s="120"/>
      <c r="J33" s="120"/>
      <c r="K33" s="120">
        <f t="shared" si="5"/>
        <v>0</v>
      </c>
      <c r="L33" s="120">
        <f t="shared" si="6"/>
        <v>0</v>
      </c>
      <c r="M33" s="120">
        <f>P33+S33</f>
        <v>0</v>
      </c>
      <c r="N33" s="120">
        <f>1600000-400000</f>
        <v>1200000</v>
      </c>
      <c r="O33" s="120">
        <f t="shared" si="7"/>
        <v>400000</v>
      </c>
      <c r="P33" s="120">
        <f t="shared" si="8"/>
        <v>0</v>
      </c>
      <c r="Q33" s="120"/>
      <c r="R33" s="120"/>
      <c r="S33" s="120">
        <f t="shared" si="9"/>
        <v>0</v>
      </c>
      <c r="T33" s="120">
        <f t="shared" si="10"/>
        <v>0</v>
      </c>
      <c r="U33" s="449">
        <f t="shared" si="11"/>
        <v>1200000</v>
      </c>
      <c r="V33" s="120">
        <v>1200000</v>
      </c>
      <c r="W33" s="449">
        <f t="shared" si="12"/>
        <v>0</v>
      </c>
      <c r="X33" s="120"/>
      <c r="Y33" s="120"/>
      <c r="Z33" s="120"/>
      <c r="AA33" s="120"/>
      <c r="AB33" s="448" t="s">
        <v>1311</v>
      </c>
      <c r="AC33" s="448">
        <v>743000</v>
      </c>
      <c r="AQ33"/>
      <c r="AR33" s="465"/>
      <c r="AS33" s="465"/>
      <c r="AT33" s="465"/>
      <c r="AU33" s="465"/>
      <c r="AV33" s="465"/>
      <c r="AW33" s="465"/>
      <c r="AX33" s="272"/>
      <c r="AY33" s="272"/>
      <c r="AZ33" s="272"/>
      <c r="BA33" s="272"/>
      <c r="BB33" s="272"/>
      <c r="BC33" s="272"/>
      <c r="BD33" s="272"/>
      <c r="BE33" s="272"/>
      <c r="BF33" s="272"/>
    </row>
    <row r="34" spans="1:58" s="756" customFormat="1" ht="72" customHeight="1">
      <c r="A34" s="448">
        <f t="shared" si="1"/>
        <v>23</v>
      </c>
      <c r="B34" s="448">
        <v>20121</v>
      </c>
      <c r="C34" s="135" t="s">
        <v>984</v>
      </c>
      <c r="D34" s="120">
        <f>1800000-100000</f>
        <v>1700000</v>
      </c>
      <c r="E34" s="120"/>
      <c r="F34" s="120">
        <f t="shared" si="4"/>
        <v>1700000</v>
      </c>
      <c r="G34" s="120">
        <v>0</v>
      </c>
      <c r="H34" s="120"/>
      <c r="I34" s="120"/>
      <c r="J34" s="120"/>
      <c r="K34" s="120">
        <f t="shared" si="5"/>
        <v>0</v>
      </c>
      <c r="L34" s="120">
        <f t="shared" si="6"/>
        <v>0</v>
      </c>
      <c r="M34" s="120">
        <f>P34+S34</f>
        <v>0</v>
      </c>
      <c r="N34" s="120">
        <f>1800000-100000-1200000</f>
        <v>500000</v>
      </c>
      <c r="O34" s="120">
        <f t="shared" si="7"/>
        <v>1200000</v>
      </c>
      <c r="P34" s="120">
        <f t="shared" si="8"/>
        <v>0</v>
      </c>
      <c r="Q34" s="120"/>
      <c r="R34" s="120"/>
      <c r="S34" s="120">
        <f t="shared" si="9"/>
        <v>0</v>
      </c>
      <c r="T34" s="120">
        <f t="shared" si="10"/>
        <v>0</v>
      </c>
      <c r="U34" s="449">
        <f t="shared" si="11"/>
        <v>500000</v>
      </c>
      <c r="V34" s="120">
        <v>500000</v>
      </c>
      <c r="W34" s="449">
        <f t="shared" si="12"/>
        <v>0</v>
      </c>
      <c r="X34" s="120"/>
      <c r="Y34" s="120"/>
      <c r="Z34" s="120"/>
      <c r="AA34" s="120"/>
      <c r="AB34" s="448" t="s">
        <v>985</v>
      </c>
      <c r="AC34" s="448">
        <v>743000</v>
      </c>
      <c r="AQ34"/>
      <c r="AR34" s="465"/>
      <c r="AS34" s="465"/>
      <c r="AT34" s="465"/>
      <c r="AU34" s="465"/>
      <c r="AV34" s="465"/>
      <c r="AW34" s="465"/>
      <c r="AX34" s="272"/>
      <c r="AY34" s="272"/>
      <c r="AZ34" s="272"/>
      <c r="BA34" s="272"/>
      <c r="BB34" s="272"/>
      <c r="BC34" s="272"/>
      <c r="BD34" s="272"/>
      <c r="BE34" s="272"/>
      <c r="BF34" s="272"/>
    </row>
    <row r="35" spans="1:58" s="756" customFormat="1" ht="82.8">
      <c r="A35" s="448">
        <f t="shared" si="1"/>
        <v>24</v>
      </c>
      <c r="B35" s="448">
        <v>1254</v>
      </c>
      <c r="C35" s="448" t="s">
        <v>280</v>
      </c>
      <c r="D35" s="449">
        <f>53372866+8500000</f>
        <v>61872866</v>
      </c>
      <c r="E35" s="449">
        <v>53372866</v>
      </c>
      <c r="F35" s="449">
        <f t="shared" si="4"/>
        <v>8500000</v>
      </c>
      <c r="G35" s="449">
        <v>51372866</v>
      </c>
      <c r="H35" s="449">
        <v>50975610</v>
      </c>
      <c r="I35" s="449">
        <v>0</v>
      </c>
      <c r="J35" s="449">
        <f>358105-100706-93600+3837</f>
        <v>167636</v>
      </c>
      <c r="K35" s="449">
        <f t="shared" si="5"/>
        <v>167636</v>
      </c>
      <c r="L35" s="449">
        <f t="shared" si="6"/>
        <v>51143246</v>
      </c>
      <c r="M35" s="449">
        <f>P35+S35-225000</f>
        <v>4620</v>
      </c>
      <c r="N35" s="449">
        <f>6500000-3500000-1000000+225000</f>
        <v>2225000</v>
      </c>
      <c r="O35" s="449">
        <f t="shared" si="7"/>
        <v>8500000</v>
      </c>
      <c r="P35" s="449">
        <f t="shared" si="8"/>
        <v>229620</v>
      </c>
      <c r="Q35" s="482"/>
      <c r="R35" s="449"/>
      <c r="S35" s="449">
        <f t="shared" si="9"/>
        <v>0</v>
      </c>
      <c r="T35" s="449">
        <f t="shared" si="10"/>
        <v>225000</v>
      </c>
      <c r="U35" s="449">
        <f t="shared" si="11"/>
        <v>2000000</v>
      </c>
      <c r="V35" s="449"/>
      <c r="W35" s="449">
        <f t="shared" si="12"/>
        <v>2000000</v>
      </c>
      <c r="X35" s="449"/>
      <c r="Y35" s="449"/>
      <c r="Z35" s="449"/>
      <c r="AA35" s="448"/>
      <c r="AB35" s="448" t="s">
        <v>808</v>
      </c>
      <c r="AC35" s="448">
        <v>746000</v>
      </c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58" s="756" customFormat="1" ht="49.2" customHeight="1">
      <c r="A36" s="448">
        <f t="shared" si="1"/>
        <v>25</v>
      </c>
      <c r="B36" s="448">
        <v>1342</v>
      </c>
      <c r="C36" s="448" t="s">
        <v>64</v>
      </c>
      <c r="D36" s="449">
        <f>4700000+1500000</f>
        <v>6200000</v>
      </c>
      <c r="E36" s="449">
        <v>4700000</v>
      </c>
      <c r="F36" s="449">
        <f t="shared" si="4"/>
        <v>1500000</v>
      </c>
      <c r="G36" s="449">
        <v>3940000</v>
      </c>
      <c r="H36" s="449">
        <v>3014312</v>
      </c>
      <c r="I36" s="449">
        <v>0</v>
      </c>
      <c r="J36" s="449">
        <v>918785</v>
      </c>
      <c r="K36" s="449">
        <f t="shared" si="5"/>
        <v>918785</v>
      </c>
      <c r="L36" s="449">
        <f t="shared" si="6"/>
        <v>3933097</v>
      </c>
      <c r="M36" s="449">
        <f>P36+S36</f>
        <v>6903</v>
      </c>
      <c r="N36" s="449">
        <f>1500000-750000-250000</f>
        <v>500000</v>
      </c>
      <c r="O36" s="449">
        <f t="shared" si="7"/>
        <v>1760000</v>
      </c>
      <c r="P36" s="449">
        <f t="shared" si="8"/>
        <v>6903</v>
      </c>
      <c r="Q36" s="482"/>
      <c r="R36" s="449"/>
      <c r="S36" s="449">
        <f t="shared" si="9"/>
        <v>0</v>
      </c>
      <c r="T36" s="449">
        <f t="shared" si="10"/>
        <v>0</v>
      </c>
      <c r="U36" s="449">
        <f t="shared" si="11"/>
        <v>500000</v>
      </c>
      <c r="V36" s="449">
        <v>500000</v>
      </c>
      <c r="W36" s="449">
        <f t="shared" si="12"/>
        <v>0</v>
      </c>
      <c r="X36" s="449"/>
      <c r="Y36" s="449"/>
      <c r="Z36" s="449"/>
      <c r="AA36" s="448"/>
      <c r="AB36" s="448" t="s">
        <v>763</v>
      </c>
      <c r="AC36" s="448">
        <v>746000</v>
      </c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58" s="756" customFormat="1" ht="55.2">
      <c r="A37" s="448">
        <f t="shared" si="1"/>
        <v>26</v>
      </c>
      <c r="B37" s="448">
        <v>1343</v>
      </c>
      <c r="C37" s="448" t="s">
        <v>65</v>
      </c>
      <c r="D37" s="449">
        <f>7570000+1000000</f>
        <v>8570000</v>
      </c>
      <c r="E37" s="449">
        <v>7570000</v>
      </c>
      <c r="F37" s="449">
        <f t="shared" si="4"/>
        <v>1000000</v>
      </c>
      <c r="G37" s="449">
        <v>7570000</v>
      </c>
      <c r="H37" s="449">
        <v>7193339</v>
      </c>
      <c r="I37" s="449">
        <v>0</v>
      </c>
      <c r="J37" s="449">
        <f>376660-94517-128900</f>
        <v>153243</v>
      </c>
      <c r="K37" s="449">
        <f t="shared" si="5"/>
        <v>153243</v>
      </c>
      <c r="L37" s="449">
        <f t="shared" si="6"/>
        <v>7346582</v>
      </c>
      <c r="M37" s="449">
        <f>P37+S37-200000-20000</f>
        <v>3418</v>
      </c>
      <c r="N37" s="449">
        <f>750000+200000-150000+20000</f>
        <v>820000</v>
      </c>
      <c r="O37" s="449">
        <f t="shared" si="7"/>
        <v>400000</v>
      </c>
      <c r="P37" s="449">
        <f t="shared" si="8"/>
        <v>223418</v>
      </c>
      <c r="Q37" s="482"/>
      <c r="R37" s="449"/>
      <c r="S37" s="449">
        <f t="shared" si="9"/>
        <v>0</v>
      </c>
      <c r="T37" s="449">
        <f t="shared" si="10"/>
        <v>220000</v>
      </c>
      <c r="U37" s="449">
        <f t="shared" si="11"/>
        <v>600000</v>
      </c>
      <c r="V37" s="449"/>
      <c r="W37" s="449">
        <f t="shared" si="12"/>
        <v>600000</v>
      </c>
      <c r="X37" s="449"/>
      <c r="Y37" s="449"/>
      <c r="Z37" s="449"/>
      <c r="AA37" s="448"/>
      <c r="AB37" s="448" t="s">
        <v>455</v>
      </c>
      <c r="AC37" s="448">
        <v>746000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s="756" customFormat="1" ht="35.4" customHeight="1">
      <c r="A38" s="448">
        <f t="shared" si="1"/>
        <v>27</v>
      </c>
      <c r="B38" s="448">
        <v>1504</v>
      </c>
      <c r="C38" s="448" t="s">
        <v>66</v>
      </c>
      <c r="D38" s="449">
        <v>2500000</v>
      </c>
      <c r="E38" s="449">
        <v>2500000</v>
      </c>
      <c r="F38" s="449">
        <f t="shared" si="4"/>
        <v>0</v>
      </c>
      <c r="G38" s="449">
        <v>1800000</v>
      </c>
      <c r="H38" s="449">
        <v>1793055</v>
      </c>
      <c r="I38" s="449">
        <v>0</v>
      </c>
      <c r="J38" s="449"/>
      <c r="K38" s="449">
        <f t="shared" si="5"/>
        <v>0</v>
      </c>
      <c r="L38" s="449">
        <f t="shared" si="6"/>
        <v>1793055</v>
      </c>
      <c r="M38" s="449">
        <f>P38+S38-100000-5000</f>
        <v>1945</v>
      </c>
      <c r="N38" s="449">
        <f>300000+5000</f>
        <v>305000</v>
      </c>
      <c r="O38" s="449">
        <f t="shared" si="7"/>
        <v>400000</v>
      </c>
      <c r="P38" s="449">
        <f t="shared" si="8"/>
        <v>6945</v>
      </c>
      <c r="Q38" s="482">
        <v>100000</v>
      </c>
      <c r="R38" s="449"/>
      <c r="S38" s="449">
        <f t="shared" si="9"/>
        <v>100000</v>
      </c>
      <c r="T38" s="449">
        <f t="shared" si="10"/>
        <v>105000</v>
      </c>
      <c r="U38" s="449">
        <f t="shared" si="11"/>
        <v>200000</v>
      </c>
      <c r="V38" s="449">
        <v>200000</v>
      </c>
      <c r="W38" s="449">
        <f t="shared" si="12"/>
        <v>0</v>
      </c>
      <c r="X38" s="449"/>
      <c r="Y38" s="449"/>
      <c r="Z38" s="449"/>
      <c r="AA38" s="448"/>
      <c r="AB38" s="448" t="s">
        <v>395</v>
      </c>
      <c r="AC38" s="448">
        <v>746000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58" s="756" customFormat="1" ht="64.2" customHeight="1">
      <c r="A39" s="448">
        <f t="shared" si="1"/>
        <v>28</v>
      </c>
      <c r="B39" s="448">
        <v>1560</v>
      </c>
      <c r="C39" s="448" t="s">
        <v>45</v>
      </c>
      <c r="D39" s="449">
        <f>9060000+3725000</f>
        <v>12785000</v>
      </c>
      <c r="E39" s="449">
        <v>9060000</v>
      </c>
      <c r="F39" s="449">
        <f t="shared" si="4"/>
        <v>3725000</v>
      </c>
      <c r="G39" s="449">
        <v>9060000</v>
      </c>
      <c r="H39" s="449">
        <v>8852994</v>
      </c>
      <c r="I39" s="449">
        <v>0</v>
      </c>
      <c r="J39" s="449"/>
      <c r="K39" s="449">
        <f t="shared" si="5"/>
        <v>0</v>
      </c>
      <c r="L39" s="449">
        <f t="shared" si="6"/>
        <v>8852994</v>
      </c>
      <c r="M39" s="449">
        <f>P39+S39-200000</f>
        <v>7006</v>
      </c>
      <c r="N39" s="449">
        <f>2595000+1005000+125000-1975000-750000+200000</f>
        <v>1200000</v>
      </c>
      <c r="O39" s="449">
        <f t="shared" si="7"/>
        <v>2725000</v>
      </c>
      <c r="P39" s="449">
        <f t="shared" si="8"/>
        <v>207006</v>
      </c>
      <c r="Q39" s="482"/>
      <c r="R39" s="449"/>
      <c r="S39" s="449">
        <f t="shared" si="9"/>
        <v>0</v>
      </c>
      <c r="T39" s="449">
        <f t="shared" si="10"/>
        <v>200000</v>
      </c>
      <c r="U39" s="449">
        <f t="shared" si="11"/>
        <v>1000000</v>
      </c>
      <c r="V39" s="449"/>
      <c r="W39" s="449">
        <f t="shared" si="12"/>
        <v>1000000</v>
      </c>
      <c r="X39" s="449"/>
      <c r="Y39" s="449"/>
      <c r="Z39" s="449"/>
      <c r="AA39" s="448"/>
      <c r="AB39" s="448" t="s">
        <v>978</v>
      </c>
      <c r="AC39" s="448">
        <v>746000</v>
      </c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58" ht="66.599999999999994" customHeight="1">
      <c r="A40" s="448">
        <f t="shared" si="1"/>
        <v>29</v>
      </c>
      <c r="B40" s="448">
        <v>1680</v>
      </c>
      <c r="C40" s="448" t="s">
        <v>67</v>
      </c>
      <c r="D40" s="449">
        <f>1700000+1000000</f>
        <v>2700000</v>
      </c>
      <c r="E40" s="449">
        <v>1700000</v>
      </c>
      <c r="F40" s="449">
        <f t="shared" si="4"/>
        <v>1000000</v>
      </c>
      <c r="G40" s="449">
        <v>1600000</v>
      </c>
      <c r="H40" s="449">
        <v>1547840</v>
      </c>
      <c r="I40" s="449">
        <v>0</v>
      </c>
      <c r="J40" s="449">
        <v>47258</v>
      </c>
      <c r="K40" s="449">
        <f t="shared" si="5"/>
        <v>47258</v>
      </c>
      <c r="L40" s="449">
        <f t="shared" si="6"/>
        <v>1595098</v>
      </c>
      <c r="M40" s="449">
        <f>P40+S40-150000+50000</f>
        <v>4902</v>
      </c>
      <c r="N40" s="449">
        <f>800000-250000-50000-50000</f>
        <v>450000</v>
      </c>
      <c r="O40" s="449">
        <f t="shared" si="7"/>
        <v>650000</v>
      </c>
      <c r="P40" s="449">
        <f t="shared" si="8"/>
        <v>4902</v>
      </c>
      <c r="Q40" s="482">
        <v>100000</v>
      </c>
      <c r="R40" s="449"/>
      <c r="S40" s="449">
        <f t="shared" si="9"/>
        <v>100000</v>
      </c>
      <c r="T40" s="449">
        <f t="shared" si="10"/>
        <v>100000</v>
      </c>
      <c r="U40" s="449">
        <f t="shared" si="11"/>
        <v>350000</v>
      </c>
      <c r="V40" s="449"/>
      <c r="W40" s="449">
        <f t="shared" si="12"/>
        <v>350000</v>
      </c>
      <c r="X40" s="449"/>
      <c r="Y40" s="449"/>
      <c r="Z40" s="449"/>
      <c r="AA40" s="448"/>
      <c r="AB40" s="448" t="s">
        <v>456</v>
      </c>
      <c r="AC40" s="448">
        <v>746000</v>
      </c>
    </row>
    <row r="41" spans="1:58" ht="41.4">
      <c r="A41" s="448">
        <f t="shared" si="1"/>
        <v>30</v>
      </c>
      <c r="B41" s="448">
        <v>2165</v>
      </c>
      <c r="C41" s="448" t="s">
        <v>604</v>
      </c>
      <c r="D41" s="449">
        <v>1600000</v>
      </c>
      <c r="E41" s="449">
        <v>1600000</v>
      </c>
      <c r="F41" s="449">
        <f t="shared" si="4"/>
        <v>0</v>
      </c>
      <c r="G41" s="449">
        <v>0</v>
      </c>
      <c r="H41" s="449">
        <v>0</v>
      </c>
      <c r="I41" s="449">
        <v>0</v>
      </c>
      <c r="J41" s="449">
        <v>0</v>
      </c>
      <c r="K41" s="449">
        <f t="shared" si="5"/>
        <v>0</v>
      </c>
      <c r="L41" s="449">
        <f t="shared" si="6"/>
        <v>0</v>
      </c>
      <c r="M41" s="449">
        <f>P41+S41</f>
        <v>0</v>
      </c>
      <c r="N41" s="449"/>
      <c r="O41" s="449">
        <f t="shared" si="7"/>
        <v>1600000</v>
      </c>
      <c r="P41" s="449">
        <f t="shared" si="8"/>
        <v>0</v>
      </c>
      <c r="Q41" s="482"/>
      <c r="R41" s="449"/>
      <c r="S41" s="449">
        <f t="shared" si="9"/>
        <v>0</v>
      </c>
      <c r="T41" s="449">
        <f t="shared" si="10"/>
        <v>0</v>
      </c>
      <c r="U41" s="449">
        <f t="shared" si="11"/>
        <v>0</v>
      </c>
      <c r="V41" s="449"/>
      <c r="W41" s="449">
        <f t="shared" si="12"/>
        <v>0</v>
      </c>
      <c r="X41" s="449"/>
      <c r="Y41" s="449"/>
      <c r="Z41" s="449"/>
      <c r="AA41" s="448"/>
      <c r="AB41" s="448" t="s">
        <v>738</v>
      </c>
      <c r="AC41" s="448">
        <v>746000</v>
      </c>
    </row>
    <row r="42" spans="1:58" ht="41.4">
      <c r="A42" s="448">
        <f t="shared" si="1"/>
        <v>31</v>
      </c>
      <c r="B42" s="448">
        <v>2166</v>
      </c>
      <c r="C42" s="448" t="s">
        <v>399</v>
      </c>
      <c r="D42" s="449">
        <f>500000+2205000+3495000</f>
        <v>6200000</v>
      </c>
      <c r="E42" s="449">
        <v>500000</v>
      </c>
      <c r="F42" s="449">
        <f t="shared" si="4"/>
        <v>5700000</v>
      </c>
      <c r="G42" s="449">
        <v>0</v>
      </c>
      <c r="H42" s="449">
        <v>0</v>
      </c>
      <c r="I42" s="449">
        <v>0</v>
      </c>
      <c r="J42" s="449">
        <v>0</v>
      </c>
      <c r="K42" s="449">
        <f t="shared" si="5"/>
        <v>0</v>
      </c>
      <c r="L42" s="449">
        <f t="shared" si="6"/>
        <v>0</v>
      </c>
      <c r="M42" s="449">
        <f>P42+S42</f>
        <v>0</v>
      </c>
      <c r="N42" s="449">
        <f>2705000+3495000-4200000-2000000</f>
        <v>0</v>
      </c>
      <c r="O42" s="449">
        <f t="shared" si="7"/>
        <v>6200000</v>
      </c>
      <c r="P42" s="449">
        <f t="shared" si="8"/>
        <v>0</v>
      </c>
      <c r="Q42" s="482"/>
      <c r="R42" s="449"/>
      <c r="S42" s="449">
        <f t="shared" si="9"/>
        <v>0</v>
      </c>
      <c r="T42" s="449">
        <f t="shared" si="10"/>
        <v>0</v>
      </c>
      <c r="U42" s="449">
        <f t="shared" si="11"/>
        <v>0</v>
      </c>
      <c r="V42" s="449"/>
      <c r="W42" s="449">
        <f t="shared" si="12"/>
        <v>0</v>
      </c>
      <c r="X42" s="449"/>
      <c r="Y42" s="449"/>
      <c r="Z42" s="449"/>
      <c r="AA42" s="448"/>
      <c r="AB42" s="448" t="s">
        <v>980</v>
      </c>
      <c r="AC42" s="448">
        <v>746000</v>
      </c>
    </row>
    <row r="43" spans="1:58" s="409" customFormat="1">
      <c r="A43" s="512"/>
      <c r="B43" s="512"/>
      <c r="C43" s="512" t="s">
        <v>1558</v>
      </c>
      <c r="D43" s="425">
        <f>SUM(D19:D42)</f>
        <v>303288866</v>
      </c>
      <c r="E43" s="425">
        <f t="shared" ref="E43:AA43" si="13">SUM(E19:E42)</f>
        <v>241353866</v>
      </c>
      <c r="F43" s="425">
        <f t="shared" si="13"/>
        <v>61935000</v>
      </c>
      <c r="G43" s="425">
        <f t="shared" si="13"/>
        <v>203143866</v>
      </c>
      <c r="H43" s="425">
        <f t="shared" si="13"/>
        <v>181362115</v>
      </c>
      <c r="I43" s="425">
        <f t="shared" si="13"/>
        <v>0</v>
      </c>
      <c r="J43" s="425">
        <f t="shared" si="13"/>
        <v>15636859</v>
      </c>
      <c r="K43" s="425">
        <f t="shared" si="13"/>
        <v>15636859</v>
      </c>
      <c r="L43" s="425">
        <f t="shared" si="13"/>
        <v>196998974</v>
      </c>
      <c r="M43" s="425">
        <f t="shared" si="13"/>
        <v>67892</v>
      </c>
      <c r="N43" s="425">
        <f t="shared" si="13"/>
        <v>18467000</v>
      </c>
      <c r="O43" s="425">
        <f t="shared" si="13"/>
        <v>87755000</v>
      </c>
      <c r="P43" s="425">
        <f t="shared" si="13"/>
        <v>6144892</v>
      </c>
      <c r="Q43" s="425">
        <f t="shared" si="13"/>
        <v>200000</v>
      </c>
      <c r="R43" s="425">
        <f t="shared" si="13"/>
        <v>0</v>
      </c>
      <c r="S43" s="425">
        <f t="shared" si="13"/>
        <v>200000</v>
      </c>
      <c r="T43" s="425">
        <f t="shared" si="13"/>
        <v>6277000</v>
      </c>
      <c r="U43" s="425">
        <f t="shared" si="13"/>
        <v>12190000</v>
      </c>
      <c r="V43" s="425">
        <f t="shared" si="13"/>
        <v>5261613</v>
      </c>
      <c r="W43" s="425">
        <f t="shared" si="13"/>
        <v>7130000</v>
      </c>
      <c r="X43" s="425">
        <f t="shared" si="13"/>
        <v>0</v>
      </c>
      <c r="Y43" s="425">
        <f t="shared" si="13"/>
        <v>0</v>
      </c>
      <c r="Z43" s="425">
        <f t="shared" si="13"/>
        <v>0</v>
      </c>
      <c r="AA43" s="425">
        <f t="shared" si="13"/>
        <v>-201613</v>
      </c>
      <c r="AB43" s="512"/>
      <c r="AC43" s="512"/>
      <c r="AD43" s="819"/>
      <c r="AE43" s="819"/>
      <c r="AF43" s="819"/>
      <c r="AG43" s="819"/>
      <c r="AH43" s="819"/>
      <c r="AI43" s="819"/>
      <c r="AJ43" s="819"/>
      <c r="AK43" s="819"/>
      <c r="AL43" s="819"/>
      <c r="AM43" s="819"/>
      <c r="AN43" s="819"/>
      <c r="AO43" s="819"/>
      <c r="AP43" s="819"/>
    </row>
    <row r="44" spans="1:58" s="409" customFormat="1">
      <c r="A44" s="512"/>
      <c r="B44" s="512"/>
      <c r="C44" s="512">
        <v>747</v>
      </c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820"/>
      <c r="R44" s="425"/>
      <c r="S44" s="425"/>
      <c r="T44" s="425"/>
      <c r="U44" s="425"/>
      <c r="V44" s="425"/>
      <c r="W44" s="425"/>
      <c r="X44" s="425"/>
      <c r="Y44" s="425"/>
      <c r="Z44" s="425"/>
      <c r="AA44" s="512"/>
      <c r="AB44" s="512"/>
      <c r="AC44" s="512"/>
      <c r="AD44" s="819"/>
      <c r="AE44" s="819"/>
      <c r="AF44" s="819"/>
      <c r="AG44" s="819"/>
      <c r="AH44" s="819"/>
      <c r="AI44" s="819"/>
      <c r="AJ44" s="819"/>
      <c r="AK44" s="819"/>
      <c r="AL44" s="819"/>
      <c r="AM44" s="819"/>
      <c r="AN44" s="819"/>
      <c r="AO44" s="819"/>
      <c r="AP44" s="819"/>
    </row>
    <row r="45" spans="1:58" ht="54" customHeight="1">
      <c r="A45" s="448">
        <f>A42+1</f>
        <v>32</v>
      </c>
      <c r="B45" s="448">
        <v>2043</v>
      </c>
      <c r="C45" s="448" t="s">
        <v>402</v>
      </c>
      <c r="D45" s="449">
        <f>15350000+6000000-850000</f>
        <v>20500000</v>
      </c>
      <c r="E45" s="449">
        <f>15350000+3000000</f>
        <v>18350000</v>
      </c>
      <c r="F45" s="449">
        <f t="shared" ref="F45:F60" si="14">D45-E45</f>
        <v>2150000</v>
      </c>
      <c r="G45" s="449">
        <v>14850000</v>
      </c>
      <c r="H45" s="449">
        <v>15411264</v>
      </c>
      <c r="I45" s="449">
        <v>56624</v>
      </c>
      <c r="J45" s="449">
        <f>2218+200000+999980</f>
        <v>1202198</v>
      </c>
      <c r="K45" s="449">
        <f t="shared" ref="K45:K60" si="15">I45+J45</f>
        <v>1258822</v>
      </c>
      <c r="L45" s="449">
        <f t="shared" ref="L45:L60" si="16">H45+K45</f>
        <v>16670086</v>
      </c>
      <c r="M45" s="449">
        <f>P45+S45-2500000+500000+825000</f>
        <v>4914</v>
      </c>
      <c r="N45" s="449">
        <f>5650000-3000000+2000000-1050000-825000+1050000-150000</f>
        <v>3675000</v>
      </c>
      <c r="O45" s="449">
        <f t="shared" ref="O45:O60" si="17">D45-L45-M45-N45</f>
        <v>150000</v>
      </c>
      <c r="P45" s="449">
        <f t="shared" ref="P45:P60" si="18">G45-L45</f>
        <v>-1820086</v>
      </c>
      <c r="Q45" s="482"/>
      <c r="R45" s="449">
        <v>3000000</v>
      </c>
      <c r="S45" s="449">
        <f t="shared" ref="S45:S60" si="19">SUM(Q45:R45)</f>
        <v>3000000</v>
      </c>
      <c r="T45" s="449">
        <f t="shared" ref="T45:T60" si="20">P45-M45+S45</f>
        <v>1175000</v>
      </c>
      <c r="U45" s="449">
        <f t="shared" ref="U45:U60" si="21">N45-T45</f>
        <v>2500000</v>
      </c>
      <c r="V45" s="449"/>
      <c r="W45" s="449">
        <f t="shared" ref="W45:W60" si="22">U45-AA45-V45-Y45</f>
        <v>2500000</v>
      </c>
      <c r="X45" s="449"/>
      <c r="Y45" s="449"/>
      <c r="Z45" s="449"/>
      <c r="AA45" s="448"/>
      <c r="AB45" s="448" t="s">
        <v>702</v>
      </c>
      <c r="AC45" s="448">
        <v>747000</v>
      </c>
    </row>
    <row r="46" spans="1:58" ht="27.6">
      <c r="A46" s="448">
        <f t="shared" si="1"/>
        <v>33</v>
      </c>
      <c r="B46" s="448">
        <v>2044</v>
      </c>
      <c r="C46" s="448" t="s">
        <v>131</v>
      </c>
      <c r="D46" s="449">
        <v>105000</v>
      </c>
      <c r="E46" s="449">
        <v>105000</v>
      </c>
      <c r="F46" s="449">
        <f t="shared" si="14"/>
        <v>0</v>
      </c>
      <c r="G46" s="449">
        <v>105000</v>
      </c>
      <c r="H46" s="449">
        <v>56160</v>
      </c>
      <c r="I46" s="449">
        <v>0</v>
      </c>
      <c r="J46" s="449">
        <v>0</v>
      </c>
      <c r="K46" s="449">
        <f t="shared" si="15"/>
        <v>0</v>
      </c>
      <c r="L46" s="449">
        <f t="shared" si="16"/>
        <v>56160</v>
      </c>
      <c r="M46" s="449">
        <f>P46+S46-48800</f>
        <v>40</v>
      </c>
      <c r="N46" s="449">
        <v>48800</v>
      </c>
      <c r="O46" s="449">
        <f t="shared" si="17"/>
        <v>0</v>
      </c>
      <c r="P46" s="449">
        <f t="shared" si="18"/>
        <v>48840</v>
      </c>
      <c r="Q46" s="482"/>
      <c r="R46" s="449"/>
      <c r="S46" s="449">
        <f t="shared" si="19"/>
        <v>0</v>
      </c>
      <c r="T46" s="449">
        <f t="shared" si="20"/>
        <v>48800</v>
      </c>
      <c r="U46" s="449">
        <f t="shared" si="21"/>
        <v>0</v>
      </c>
      <c r="V46" s="449"/>
      <c r="W46" s="449">
        <f t="shared" si="22"/>
        <v>0</v>
      </c>
      <c r="X46" s="449"/>
      <c r="Y46" s="449"/>
      <c r="Z46" s="449"/>
      <c r="AA46" s="448"/>
      <c r="AB46" s="448" t="s">
        <v>554</v>
      </c>
      <c r="AC46" s="448">
        <v>747000</v>
      </c>
    </row>
    <row r="47" spans="1:58" ht="36.6" customHeight="1">
      <c r="A47" s="448">
        <f t="shared" si="1"/>
        <v>34</v>
      </c>
      <c r="B47" s="448">
        <v>2047</v>
      </c>
      <c r="C47" s="448" t="s">
        <v>283</v>
      </c>
      <c r="D47" s="449">
        <v>170000</v>
      </c>
      <c r="E47" s="449">
        <v>170000</v>
      </c>
      <c r="F47" s="449">
        <f t="shared" si="14"/>
        <v>0</v>
      </c>
      <c r="G47" s="449">
        <v>170000</v>
      </c>
      <c r="H47" s="449">
        <v>170000</v>
      </c>
      <c r="I47" s="449">
        <v>0</v>
      </c>
      <c r="J47" s="449">
        <v>0</v>
      </c>
      <c r="K47" s="449">
        <f t="shared" si="15"/>
        <v>0</v>
      </c>
      <c r="L47" s="449">
        <f t="shared" si="16"/>
        <v>170000</v>
      </c>
      <c r="M47" s="449">
        <f t="shared" ref="M47:M54" si="23">P47+S47</f>
        <v>0</v>
      </c>
      <c r="N47" s="449"/>
      <c r="O47" s="449">
        <f t="shared" si="17"/>
        <v>0</v>
      </c>
      <c r="P47" s="449">
        <f t="shared" si="18"/>
        <v>0</v>
      </c>
      <c r="Q47" s="482"/>
      <c r="R47" s="449"/>
      <c r="S47" s="449">
        <f t="shared" si="19"/>
        <v>0</v>
      </c>
      <c r="T47" s="449">
        <f t="shared" si="20"/>
        <v>0</v>
      </c>
      <c r="U47" s="449">
        <f t="shared" si="21"/>
        <v>0</v>
      </c>
      <c r="V47" s="449"/>
      <c r="W47" s="449">
        <f t="shared" si="22"/>
        <v>0</v>
      </c>
      <c r="X47" s="449"/>
      <c r="Y47" s="449"/>
      <c r="Z47" s="449"/>
      <c r="AA47" s="448"/>
      <c r="AB47" s="448" t="s">
        <v>1439</v>
      </c>
      <c r="AC47" s="448">
        <v>747000</v>
      </c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</row>
    <row r="48" spans="1:58" s="485" customFormat="1" ht="34.200000000000003" customHeight="1">
      <c r="A48" s="448">
        <f t="shared" si="1"/>
        <v>35</v>
      </c>
      <c r="B48" s="448">
        <v>2137</v>
      </c>
      <c r="C48" s="448" t="s">
        <v>378</v>
      </c>
      <c r="D48" s="449">
        <v>50000</v>
      </c>
      <c r="E48" s="449">
        <v>50000</v>
      </c>
      <c r="F48" s="449">
        <f t="shared" si="14"/>
        <v>0</v>
      </c>
      <c r="G48" s="449">
        <v>50000</v>
      </c>
      <c r="H48" s="449">
        <v>49966</v>
      </c>
      <c r="I48" s="449">
        <v>0</v>
      </c>
      <c r="J48" s="449">
        <v>0</v>
      </c>
      <c r="K48" s="449">
        <f t="shared" si="15"/>
        <v>0</v>
      </c>
      <c r="L48" s="449">
        <f t="shared" si="16"/>
        <v>49966</v>
      </c>
      <c r="M48" s="449">
        <f t="shared" si="23"/>
        <v>34</v>
      </c>
      <c r="N48" s="449"/>
      <c r="O48" s="449">
        <f t="shared" si="17"/>
        <v>0</v>
      </c>
      <c r="P48" s="449">
        <f t="shared" si="18"/>
        <v>34</v>
      </c>
      <c r="Q48" s="482"/>
      <c r="R48" s="449"/>
      <c r="S48" s="449">
        <f t="shared" si="19"/>
        <v>0</v>
      </c>
      <c r="T48" s="449">
        <f t="shared" si="20"/>
        <v>0</v>
      </c>
      <c r="U48" s="449">
        <f t="shared" si="21"/>
        <v>0</v>
      </c>
      <c r="V48" s="449"/>
      <c r="W48" s="449">
        <f t="shared" si="22"/>
        <v>0</v>
      </c>
      <c r="X48" s="449"/>
      <c r="Y48" s="449"/>
      <c r="Z48" s="449"/>
      <c r="AA48" s="448"/>
      <c r="AB48" s="448" t="s">
        <v>1443</v>
      </c>
      <c r="AC48" s="448">
        <v>747000</v>
      </c>
      <c r="AD48" s="756"/>
      <c r="AE48" s="756"/>
      <c r="AF48" s="756"/>
      <c r="AG48" s="756"/>
      <c r="AH48" s="756"/>
      <c r="AI48" s="756"/>
      <c r="AJ48" s="756"/>
      <c r="AK48" s="756"/>
      <c r="AL48" s="756"/>
      <c r="AM48" s="756"/>
      <c r="AN48" s="756"/>
      <c r="AO48" s="756"/>
      <c r="AP48" s="756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</row>
    <row r="49" spans="1:58" ht="49.95" customHeight="1">
      <c r="A49" s="448">
        <f t="shared" si="1"/>
        <v>36</v>
      </c>
      <c r="B49" s="448">
        <v>2181</v>
      </c>
      <c r="C49" s="448" t="s">
        <v>434</v>
      </c>
      <c r="D49" s="449">
        <v>1259000</v>
      </c>
      <c r="E49" s="449">
        <v>1259000</v>
      </c>
      <c r="F49" s="449">
        <f t="shared" si="14"/>
        <v>0</v>
      </c>
      <c r="G49" s="449">
        <v>1259000</v>
      </c>
      <c r="H49" s="449">
        <v>1259000</v>
      </c>
      <c r="I49" s="449">
        <v>0</v>
      </c>
      <c r="J49" s="449">
        <v>0</v>
      </c>
      <c r="K49" s="449">
        <f t="shared" si="15"/>
        <v>0</v>
      </c>
      <c r="L49" s="449">
        <f t="shared" si="16"/>
        <v>1259000</v>
      </c>
      <c r="M49" s="449">
        <f t="shared" si="23"/>
        <v>0</v>
      </c>
      <c r="N49" s="449"/>
      <c r="O49" s="449">
        <f t="shared" si="17"/>
        <v>0</v>
      </c>
      <c r="P49" s="449">
        <f t="shared" si="18"/>
        <v>0</v>
      </c>
      <c r="Q49" s="482"/>
      <c r="R49" s="449"/>
      <c r="S49" s="449">
        <f t="shared" si="19"/>
        <v>0</v>
      </c>
      <c r="T49" s="449">
        <f t="shared" si="20"/>
        <v>0</v>
      </c>
      <c r="U49" s="449">
        <f t="shared" si="21"/>
        <v>0</v>
      </c>
      <c r="V49" s="449"/>
      <c r="W49" s="449">
        <f t="shared" si="22"/>
        <v>0</v>
      </c>
      <c r="X49" s="449"/>
      <c r="Y49" s="449"/>
      <c r="Z49" s="449"/>
      <c r="AA49" s="448"/>
      <c r="AB49" s="448" t="s">
        <v>1446</v>
      </c>
      <c r="AC49" s="448">
        <v>747000</v>
      </c>
    </row>
    <row r="50" spans="1:58" ht="40.200000000000003" customHeight="1">
      <c r="A50" s="448">
        <f t="shared" si="1"/>
        <v>37</v>
      </c>
      <c r="B50" s="448">
        <v>2221</v>
      </c>
      <c r="C50" s="448" t="s">
        <v>460</v>
      </c>
      <c r="D50" s="449">
        <v>91304</v>
      </c>
      <c r="E50" s="449">
        <v>91304</v>
      </c>
      <c r="F50" s="449">
        <f t="shared" si="14"/>
        <v>0</v>
      </c>
      <c r="G50" s="449">
        <v>91304</v>
      </c>
      <c r="H50" s="449">
        <v>91202</v>
      </c>
      <c r="I50" s="449">
        <v>0</v>
      </c>
      <c r="J50" s="449">
        <v>0</v>
      </c>
      <c r="K50" s="449">
        <f t="shared" si="15"/>
        <v>0</v>
      </c>
      <c r="L50" s="449">
        <f t="shared" si="16"/>
        <v>91202</v>
      </c>
      <c r="M50" s="449">
        <f t="shared" si="23"/>
        <v>102</v>
      </c>
      <c r="N50" s="449"/>
      <c r="O50" s="449">
        <f t="shared" si="17"/>
        <v>0</v>
      </c>
      <c r="P50" s="449">
        <f t="shared" si="18"/>
        <v>102</v>
      </c>
      <c r="Q50" s="482"/>
      <c r="R50" s="449"/>
      <c r="S50" s="449">
        <f t="shared" si="19"/>
        <v>0</v>
      </c>
      <c r="T50" s="449">
        <f t="shared" si="20"/>
        <v>0</v>
      </c>
      <c r="U50" s="449">
        <f t="shared" si="21"/>
        <v>0</v>
      </c>
      <c r="V50" s="449"/>
      <c r="W50" s="449">
        <f t="shared" si="22"/>
        <v>0</v>
      </c>
      <c r="X50" s="449"/>
      <c r="Y50" s="449"/>
      <c r="Z50" s="449"/>
      <c r="AA50" s="448"/>
      <c r="AB50" s="448" t="s">
        <v>1439</v>
      </c>
      <c r="AC50" s="448">
        <v>747000</v>
      </c>
    </row>
    <row r="51" spans="1:58" s="5" customFormat="1" ht="49.2" customHeight="1">
      <c r="A51" s="448">
        <f t="shared" si="1"/>
        <v>38</v>
      </c>
      <c r="B51" s="448">
        <v>2226</v>
      </c>
      <c r="C51" s="448" t="s">
        <v>570</v>
      </c>
      <c r="D51" s="449">
        <v>91304</v>
      </c>
      <c r="E51" s="449">
        <v>91304</v>
      </c>
      <c r="F51" s="449">
        <f t="shared" si="14"/>
        <v>0</v>
      </c>
      <c r="G51" s="449">
        <v>91304</v>
      </c>
      <c r="H51" s="449">
        <v>76577</v>
      </c>
      <c r="I51" s="449">
        <v>0</v>
      </c>
      <c r="J51" s="449">
        <v>0</v>
      </c>
      <c r="K51" s="449">
        <f t="shared" si="15"/>
        <v>0</v>
      </c>
      <c r="L51" s="449">
        <f t="shared" si="16"/>
        <v>76577</v>
      </c>
      <c r="M51" s="449">
        <f t="shared" si="23"/>
        <v>14727</v>
      </c>
      <c r="N51" s="449"/>
      <c r="O51" s="449">
        <f t="shared" si="17"/>
        <v>0</v>
      </c>
      <c r="P51" s="449">
        <f t="shared" si="18"/>
        <v>14727</v>
      </c>
      <c r="Q51" s="482"/>
      <c r="R51" s="449"/>
      <c r="S51" s="449">
        <f t="shared" si="19"/>
        <v>0</v>
      </c>
      <c r="T51" s="449">
        <f t="shared" si="20"/>
        <v>0</v>
      </c>
      <c r="U51" s="449">
        <f t="shared" si="21"/>
        <v>0</v>
      </c>
      <c r="V51" s="449"/>
      <c r="W51" s="449">
        <f t="shared" si="22"/>
        <v>0</v>
      </c>
      <c r="X51" s="449"/>
      <c r="Y51" s="449"/>
      <c r="Z51" s="449"/>
      <c r="AA51" s="448"/>
      <c r="AB51" s="448" t="s">
        <v>461</v>
      </c>
      <c r="AC51" s="448">
        <v>747000</v>
      </c>
      <c r="AD51" s="756"/>
      <c r="AE51" s="756"/>
      <c r="AF51" s="756"/>
      <c r="AG51" s="756"/>
      <c r="AH51" s="756"/>
      <c r="AI51" s="756"/>
      <c r="AJ51" s="756"/>
      <c r="AK51" s="756"/>
      <c r="AL51" s="756"/>
      <c r="AM51" s="756"/>
      <c r="AN51" s="756"/>
      <c r="AO51" s="756"/>
      <c r="AP51" s="756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</row>
    <row r="52" spans="1:58" ht="27.6">
      <c r="A52" s="448">
        <f t="shared" si="1"/>
        <v>39</v>
      </c>
      <c r="B52" s="448">
        <v>2238</v>
      </c>
      <c r="C52" s="448" t="s">
        <v>606</v>
      </c>
      <c r="D52" s="449">
        <f>7100000+300000-100000</f>
        <v>7300000</v>
      </c>
      <c r="E52" s="449">
        <v>7100000</v>
      </c>
      <c r="F52" s="449">
        <f t="shared" si="14"/>
        <v>200000</v>
      </c>
      <c r="G52" s="449">
        <v>7100000</v>
      </c>
      <c r="H52" s="449">
        <v>7084174</v>
      </c>
      <c r="I52" s="449">
        <v>0</v>
      </c>
      <c r="J52" s="449"/>
      <c r="K52" s="449">
        <f t="shared" si="15"/>
        <v>0</v>
      </c>
      <c r="L52" s="449">
        <f t="shared" si="16"/>
        <v>7084174</v>
      </c>
      <c r="M52" s="449">
        <f t="shared" si="23"/>
        <v>15826</v>
      </c>
      <c r="N52" s="449">
        <f>300000-100000</f>
        <v>200000</v>
      </c>
      <c r="O52" s="449">
        <f t="shared" si="17"/>
        <v>0</v>
      </c>
      <c r="P52" s="449">
        <f t="shared" si="18"/>
        <v>15826</v>
      </c>
      <c r="Q52" s="482"/>
      <c r="R52" s="449"/>
      <c r="S52" s="449">
        <f t="shared" si="19"/>
        <v>0</v>
      </c>
      <c r="T52" s="449">
        <f t="shared" si="20"/>
        <v>0</v>
      </c>
      <c r="U52" s="449">
        <f t="shared" si="21"/>
        <v>200000</v>
      </c>
      <c r="V52" s="449"/>
      <c r="W52" s="449">
        <f t="shared" si="22"/>
        <v>200000</v>
      </c>
      <c r="X52" s="449"/>
      <c r="Y52" s="449"/>
      <c r="Z52" s="449"/>
      <c r="AA52" s="448"/>
      <c r="AB52" s="448" t="s">
        <v>689</v>
      </c>
      <c r="AC52" s="448">
        <v>747000</v>
      </c>
    </row>
    <row r="53" spans="1:58" ht="55.2" customHeight="1">
      <c r="A53" s="448">
        <f t="shared" si="1"/>
        <v>40</v>
      </c>
      <c r="B53" s="448">
        <v>20022</v>
      </c>
      <c r="C53" s="448" t="s">
        <v>613</v>
      </c>
      <c r="D53" s="449">
        <f>180000-180000</f>
        <v>0</v>
      </c>
      <c r="E53" s="449">
        <v>180000</v>
      </c>
      <c r="F53" s="449">
        <f t="shared" si="14"/>
        <v>-180000</v>
      </c>
      <c r="G53" s="449">
        <v>0</v>
      </c>
      <c r="H53" s="449">
        <v>0</v>
      </c>
      <c r="I53" s="449">
        <v>0</v>
      </c>
      <c r="J53" s="449">
        <v>0</v>
      </c>
      <c r="K53" s="449">
        <f t="shared" si="15"/>
        <v>0</v>
      </c>
      <c r="L53" s="449">
        <f t="shared" si="16"/>
        <v>0</v>
      </c>
      <c r="M53" s="449">
        <f t="shared" si="23"/>
        <v>0</v>
      </c>
      <c r="N53" s="449">
        <f>560000-560000</f>
        <v>0</v>
      </c>
      <c r="O53" s="449">
        <f t="shared" si="17"/>
        <v>0</v>
      </c>
      <c r="P53" s="449">
        <f t="shared" si="18"/>
        <v>0</v>
      </c>
      <c r="Q53" s="482"/>
      <c r="R53" s="449"/>
      <c r="S53" s="449">
        <f t="shared" si="19"/>
        <v>0</v>
      </c>
      <c r="T53" s="449">
        <f t="shared" si="20"/>
        <v>0</v>
      </c>
      <c r="U53" s="449">
        <f t="shared" si="21"/>
        <v>0</v>
      </c>
      <c r="V53" s="449"/>
      <c r="W53" s="449">
        <f t="shared" si="22"/>
        <v>0</v>
      </c>
      <c r="X53" s="449"/>
      <c r="Y53" s="449"/>
      <c r="Z53" s="449"/>
      <c r="AA53" s="448"/>
      <c r="AB53" s="448" t="s">
        <v>1520</v>
      </c>
      <c r="AC53" s="448">
        <v>747000</v>
      </c>
    </row>
    <row r="54" spans="1:58" s="315" customFormat="1" ht="71.400000000000006" customHeight="1">
      <c r="A54" s="448">
        <f t="shared" si="1"/>
        <v>41</v>
      </c>
      <c r="B54" s="448">
        <v>20023</v>
      </c>
      <c r="C54" s="448" t="s">
        <v>614</v>
      </c>
      <c r="D54" s="449">
        <v>200000</v>
      </c>
      <c r="E54" s="449">
        <v>200000</v>
      </c>
      <c r="F54" s="449">
        <f t="shared" si="14"/>
        <v>0</v>
      </c>
      <c r="G54" s="449">
        <v>200000</v>
      </c>
      <c r="H54" s="449">
        <v>0</v>
      </c>
      <c r="I54" s="449">
        <v>0</v>
      </c>
      <c r="J54" s="449">
        <v>200000</v>
      </c>
      <c r="K54" s="449">
        <f t="shared" si="15"/>
        <v>200000</v>
      </c>
      <c r="L54" s="449">
        <f t="shared" si="16"/>
        <v>200000</v>
      </c>
      <c r="M54" s="449">
        <f t="shared" si="23"/>
        <v>0</v>
      </c>
      <c r="N54" s="449"/>
      <c r="O54" s="449">
        <f t="shared" si="17"/>
        <v>0</v>
      </c>
      <c r="P54" s="449">
        <f t="shared" si="18"/>
        <v>0</v>
      </c>
      <c r="Q54" s="482"/>
      <c r="R54" s="449"/>
      <c r="S54" s="449">
        <f t="shared" si="19"/>
        <v>0</v>
      </c>
      <c r="T54" s="449">
        <f t="shared" si="20"/>
        <v>0</v>
      </c>
      <c r="U54" s="449">
        <f t="shared" si="21"/>
        <v>0</v>
      </c>
      <c r="V54" s="449"/>
      <c r="W54" s="449">
        <f t="shared" si="22"/>
        <v>0</v>
      </c>
      <c r="X54" s="449"/>
      <c r="Y54" s="449"/>
      <c r="Z54" s="449"/>
      <c r="AA54" s="448"/>
      <c r="AB54" s="448" t="s">
        <v>680</v>
      </c>
      <c r="AC54" s="448">
        <v>747000</v>
      </c>
      <c r="AD54" s="756"/>
      <c r="AE54" s="756"/>
      <c r="AF54" s="756"/>
      <c r="AG54" s="756"/>
      <c r="AH54" s="756"/>
      <c r="AI54" s="756"/>
      <c r="AJ54" s="756"/>
      <c r="AK54" s="756"/>
      <c r="AL54" s="756"/>
      <c r="AM54" s="756"/>
      <c r="AN54" s="756"/>
      <c r="AO54" s="756"/>
      <c r="AP54" s="756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</row>
    <row r="55" spans="1:58" ht="46.95" customHeight="1">
      <c r="A55" s="448">
        <f t="shared" si="1"/>
        <v>42</v>
      </c>
      <c r="B55" s="448">
        <v>20027</v>
      </c>
      <c r="C55" s="448" t="s">
        <v>615</v>
      </c>
      <c r="D55" s="449">
        <v>82800</v>
      </c>
      <c r="E55" s="449">
        <v>82800</v>
      </c>
      <c r="F55" s="449">
        <f t="shared" si="14"/>
        <v>0</v>
      </c>
      <c r="G55" s="449">
        <v>82800</v>
      </c>
      <c r="H55" s="449">
        <v>62950</v>
      </c>
      <c r="I55" s="449">
        <v>0</v>
      </c>
      <c r="J55" s="449">
        <v>0</v>
      </c>
      <c r="K55" s="449">
        <f t="shared" si="15"/>
        <v>0</v>
      </c>
      <c r="L55" s="449">
        <f t="shared" si="16"/>
        <v>62950</v>
      </c>
      <c r="M55" s="449">
        <f>P55+S55-19850</f>
        <v>0</v>
      </c>
      <c r="N55" s="449">
        <v>19850</v>
      </c>
      <c r="O55" s="449">
        <f t="shared" si="17"/>
        <v>0</v>
      </c>
      <c r="P55" s="449">
        <f t="shared" si="18"/>
        <v>19850</v>
      </c>
      <c r="Q55" s="482"/>
      <c r="R55" s="449"/>
      <c r="S55" s="449">
        <f t="shared" si="19"/>
        <v>0</v>
      </c>
      <c r="T55" s="449">
        <f t="shared" si="20"/>
        <v>19850</v>
      </c>
      <c r="U55" s="449">
        <f t="shared" si="21"/>
        <v>0</v>
      </c>
      <c r="V55" s="449"/>
      <c r="W55" s="449">
        <f t="shared" si="22"/>
        <v>0</v>
      </c>
      <c r="X55" s="449"/>
      <c r="Y55" s="449"/>
      <c r="Z55" s="449"/>
      <c r="AA55" s="448"/>
      <c r="AB55" s="448" t="s">
        <v>461</v>
      </c>
      <c r="AC55" s="448">
        <v>747000</v>
      </c>
    </row>
    <row r="56" spans="1:58" ht="34.200000000000003" customHeight="1">
      <c r="A56" s="448">
        <f t="shared" si="1"/>
        <v>43</v>
      </c>
      <c r="B56" s="448">
        <v>20069</v>
      </c>
      <c r="C56" s="448" t="s">
        <v>742</v>
      </c>
      <c r="D56" s="449">
        <v>33000</v>
      </c>
      <c r="E56" s="449">
        <v>33000</v>
      </c>
      <c r="F56" s="449">
        <f t="shared" si="14"/>
        <v>0</v>
      </c>
      <c r="G56" s="449">
        <v>33000</v>
      </c>
      <c r="H56" s="449">
        <v>29043</v>
      </c>
      <c r="I56" s="449">
        <v>0</v>
      </c>
      <c r="J56" s="449">
        <v>3557</v>
      </c>
      <c r="K56" s="449">
        <f t="shared" si="15"/>
        <v>3557</v>
      </c>
      <c r="L56" s="449">
        <f t="shared" si="16"/>
        <v>32600</v>
      </c>
      <c r="M56" s="449">
        <f>P56+S56</f>
        <v>400</v>
      </c>
      <c r="N56" s="449"/>
      <c r="O56" s="449">
        <f t="shared" si="17"/>
        <v>0</v>
      </c>
      <c r="P56" s="449">
        <f t="shared" si="18"/>
        <v>400</v>
      </c>
      <c r="Q56" s="482"/>
      <c r="R56" s="449"/>
      <c r="S56" s="449">
        <f t="shared" si="19"/>
        <v>0</v>
      </c>
      <c r="T56" s="449">
        <f t="shared" si="20"/>
        <v>0</v>
      </c>
      <c r="U56" s="449">
        <f t="shared" si="21"/>
        <v>0</v>
      </c>
      <c r="V56" s="449"/>
      <c r="W56" s="449">
        <f t="shared" si="22"/>
        <v>0</v>
      </c>
      <c r="X56" s="449"/>
      <c r="Y56" s="449"/>
      <c r="Z56" s="449"/>
      <c r="AA56" s="448"/>
      <c r="AB56" s="448" t="s">
        <v>1451</v>
      </c>
      <c r="AC56" s="448">
        <v>747000</v>
      </c>
    </row>
    <row r="57" spans="1:58" ht="54.6" customHeight="1">
      <c r="A57" s="448">
        <f t="shared" si="1"/>
        <v>44</v>
      </c>
      <c r="B57" s="448">
        <v>20071</v>
      </c>
      <c r="C57" s="448" t="s">
        <v>814</v>
      </c>
      <c r="D57" s="449">
        <f>450000+150000</f>
        <v>600000</v>
      </c>
      <c r="E57" s="449">
        <v>450000</v>
      </c>
      <c r="F57" s="449">
        <f t="shared" si="14"/>
        <v>150000</v>
      </c>
      <c r="G57" s="449">
        <v>0</v>
      </c>
      <c r="H57" s="449">
        <v>0</v>
      </c>
      <c r="I57" s="449">
        <v>0</v>
      </c>
      <c r="J57" s="449">
        <v>0</v>
      </c>
      <c r="K57" s="449">
        <f t="shared" si="15"/>
        <v>0</v>
      </c>
      <c r="L57" s="449">
        <f t="shared" si="16"/>
        <v>0</v>
      </c>
      <c r="M57" s="449">
        <f>P57+S57</f>
        <v>0</v>
      </c>
      <c r="N57" s="449">
        <f>600000-300000-300000</f>
        <v>0</v>
      </c>
      <c r="O57" s="449">
        <f t="shared" si="17"/>
        <v>600000</v>
      </c>
      <c r="P57" s="449">
        <f t="shared" si="18"/>
        <v>0</v>
      </c>
      <c r="Q57" s="482"/>
      <c r="R57" s="449"/>
      <c r="S57" s="449">
        <f t="shared" si="19"/>
        <v>0</v>
      </c>
      <c r="T57" s="449">
        <f t="shared" si="20"/>
        <v>0</v>
      </c>
      <c r="U57" s="449">
        <f t="shared" si="21"/>
        <v>0</v>
      </c>
      <c r="V57" s="449"/>
      <c r="W57" s="449">
        <f t="shared" si="22"/>
        <v>0</v>
      </c>
      <c r="X57" s="449"/>
      <c r="Y57" s="449"/>
      <c r="Z57" s="449"/>
      <c r="AA57" s="448"/>
      <c r="AB57" s="448" t="s">
        <v>896</v>
      </c>
      <c r="AC57" s="448">
        <v>747000</v>
      </c>
    </row>
    <row r="58" spans="1:58" s="315" customFormat="1">
      <c r="A58" s="448">
        <f t="shared" si="1"/>
        <v>45</v>
      </c>
      <c r="B58" s="448">
        <v>20118</v>
      </c>
      <c r="C58" s="135" t="s">
        <v>987</v>
      </c>
      <c r="D58" s="120">
        <v>50000</v>
      </c>
      <c r="E58" s="120"/>
      <c r="F58" s="120">
        <f t="shared" si="14"/>
        <v>50000</v>
      </c>
      <c r="G58" s="120">
        <v>0</v>
      </c>
      <c r="H58" s="120"/>
      <c r="I58" s="120"/>
      <c r="J58" s="120"/>
      <c r="K58" s="120">
        <f t="shared" si="15"/>
        <v>0</v>
      </c>
      <c r="L58" s="120">
        <f t="shared" si="16"/>
        <v>0</v>
      </c>
      <c r="M58" s="120">
        <f>P58+S58</f>
        <v>0</v>
      </c>
      <c r="N58" s="120">
        <v>50000</v>
      </c>
      <c r="O58" s="120">
        <f t="shared" si="17"/>
        <v>0</v>
      </c>
      <c r="P58" s="120">
        <f t="shared" si="18"/>
        <v>0</v>
      </c>
      <c r="Q58" s="120"/>
      <c r="R58" s="120"/>
      <c r="S58" s="120">
        <f t="shared" si="19"/>
        <v>0</v>
      </c>
      <c r="T58" s="120">
        <f t="shared" si="20"/>
        <v>0</v>
      </c>
      <c r="U58" s="449">
        <f t="shared" si="21"/>
        <v>50000</v>
      </c>
      <c r="V58" s="120"/>
      <c r="W58" s="449">
        <f t="shared" si="22"/>
        <v>0</v>
      </c>
      <c r="X58" s="120"/>
      <c r="Y58" s="120"/>
      <c r="Z58" s="120"/>
      <c r="AA58" s="120">
        <v>50000</v>
      </c>
      <c r="AB58" s="448" t="s">
        <v>461</v>
      </c>
      <c r="AC58" s="448">
        <v>747000</v>
      </c>
      <c r="AD58" s="756"/>
      <c r="AE58" s="756"/>
      <c r="AF58" s="756"/>
      <c r="AG58" s="756"/>
      <c r="AH58" s="756"/>
      <c r="AI58" s="756"/>
      <c r="AJ58" s="756"/>
      <c r="AK58" s="756"/>
      <c r="AL58" s="756"/>
      <c r="AM58" s="756"/>
      <c r="AN58" s="756"/>
      <c r="AO58" s="756"/>
      <c r="AP58" s="756"/>
      <c r="AQ58"/>
      <c r="AR58" s="465"/>
      <c r="AS58" s="465"/>
      <c r="AT58" s="465"/>
      <c r="AU58" s="465"/>
      <c r="AV58" s="465"/>
      <c r="AW58" s="465"/>
      <c r="AX58" s="272"/>
      <c r="AY58" s="272"/>
      <c r="AZ58" s="272"/>
      <c r="BA58" s="272"/>
      <c r="BB58" s="272"/>
      <c r="BC58" s="272"/>
      <c r="BD58" s="272"/>
      <c r="BE58" s="272"/>
      <c r="BF58" s="272"/>
    </row>
    <row r="59" spans="1:58" ht="46.95" customHeight="1">
      <c r="A59" s="448">
        <f t="shared" si="1"/>
        <v>46</v>
      </c>
      <c r="B59" s="448">
        <v>20119</v>
      </c>
      <c r="C59" s="135" t="s">
        <v>988</v>
      </c>
      <c r="D59" s="120">
        <v>152000</v>
      </c>
      <c r="E59" s="120"/>
      <c r="F59" s="120">
        <f t="shared" si="14"/>
        <v>152000</v>
      </c>
      <c r="G59" s="120">
        <v>0</v>
      </c>
      <c r="H59" s="120"/>
      <c r="I59" s="120"/>
      <c r="J59" s="120"/>
      <c r="K59" s="120">
        <f t="shared" si="15"/>
        <v>0</v>
      </c>
      <c r="L59" s="120">
        <f t="shared" si="16"/>
        <v>0</v>
      </c>
      <c r="M59" s="120">
        <f>P59+S59</f>
        <v>0</v>
      </c>
      <c r="N59" s="120">
        <v>152000</v>
      </c>
      <c r="O59" s="120">
        <f t="shared" si="17"/>
        <v>0</v>
      </c>
      <c r="P59" s="120">
        <f t="shared" si="18"/>
        <v>0</v>
      </c>
      <c r="Q59" s="120"/>
      <c r="R59" s="120"/>
      <c r="S59" s="120">
        <f t="shared" si="19"/>
        <v>0</v>
      </c>
      <c r="T59" s="120">
        <f t="shared" si="20"/>
        <v>0</v>
      </c>
      <c r="U59" s="449">
        <f t="shared" si="21"/>
        <v>152000</v>
      </c>
      <c r="V59" s="120"/>
      <c r="W59" s="449">
        <f t="shared" si="22"/>
        <v>0</v>
      </c>
      <c r="X59" s="120"/>
      <c r="Y59" s="120"/>
      <c r="Z59" s="120"/>
      <c r="AA59" s="120">
        <v>152000</v>
      </c>
      <c r="AB59" s="448" t="s">
        <v>461</v>
      </c>
      <c r="AC59" s="448">
        <v>747000</v>
      </c>
      <c r="AR59" s="465"/>
      <c r="AS59" s="465"/>
      <c r="AT59" s="465"/>
      <c r="AU59" s="465"/>
      <c r="AV59" s="465"/>
      <c r="AW59" s="465"/>
      <c r="AX59" s="272"/>
      <c r="AY59" s="272"/>
      <c r="AZ59" s="272"/>
      <c r="BA59" s="272"/>
      <c r="BB59" s="272"/>
      <c r="BC59" s="272"/>
      <c r="BD59" s="272"/>
      <c r="BE59" s="272"/>
      <c r="BF59" s="272"/>
    </row>
    <row r="60" spans="1:58" s="5" customFormat="1" ht="58.95" customHeight="1">
      <c r="A60" s="448">
        <f t="shared" si="1"/>
        <v>47</v>
      </c>
      <c r="B60" s="448">
        <v>20120</v>
      </c>
      <c r="C60" s="135" t="s">
        <v>1498</v>
      </c>
      <c r="D60" s="120">
        <v>263395</v>
      </c>
      <c r="E60" s="120"/>
      <c r="F60" s="120">
        <f t="shared" si="14"/>
        <v>263395</v>
      </c>
      <c r="G60" s="120">
        <v>0</v>
      </c>
      <c r="H60" s="120"/>
      <c r="I60" s="120"/>
      <c r="J60" s="120"/>
      <c r="K60" s="120">
        <f t="shared" si="15"/>
        <v>0</v>
      </c>
      <c r="L60" s="120">
        <f t="shared" si="16"/>
        <v>0</v>
      </c>
      <c r="M60" s="120">
        <f>P60+S60</f>
        <v>0</v>
      </c>
      <c r="N60" s="120">
        <v>263395</v>
      </c>
      <c r="O60" s="120">
        <f t="shared" si="17"/>
        <v>0</v>
      </c>
      <c r="P60" s="120">
        <f t="shared" si="18"/>
        <v>0</v>
      </c>
      <c r="Q60" s="120"/>
      <c r="R60" s="120"/>
      <c r="S60" s="120">
        <f t="shared" si="19"/>
        <v>0</v>
      </c>
      <c r="T60" s="120">
        <f t="shared" si="20"/>
        <v>0</v>
      </c>
      <c r="U60" s="449">
        <f t="shared" si="21"/>
        <v>263395</v>
      </c>
      <c r="V60" s="120"/>
      <c r="W60" s="449">
        <f t="shared" si="22"/>
        <v>0</v>
      </c>
      <c r="X60" s="120"/>
      <c r="Y60" s="120"/>
      <c r="Z60" s="120"/>
      <c r="AA60" s="120">
        <v>263395</v>
      </c>
      <c r="AB60" s="448" t="s">
        <v>461</v>
      </c>
      <c r="AC60" s="448">
        <v>747000</v>
      </c>
      <c r="AD60" s="756"/>
      <c r="AE60" s="756"/>
      <c r="AF60" s="756"/>
      <c r="AG60" s="756"/>
      <c r="AH60" s="756"/>
      <c r="AI60" s="756"/>
      <c r="AJ60" s="756"/>
      <c r="AK60" s="756"/>
      <c r="AL60" s="756"/>
      <c r="AM60" s="756"/>
      <c r="AN60" s="756"/>
      <c r="AO60" s="756"/>
      <c r="AP60" s="756"/>
      <c r="AQ60"/>
      <c r="AR60" s="465"/>
      <c r="AS60" s="465"/>
      <c r="AT60" s="465"/>
      <c r="AU60" s="465"/>
      <c r="AV60" s="465"/>
      <c r="AW60" s="465"/>
      <c r="AX60" s="272"/>
      <c r="AY60" s="272"/>
      <c r="AZ60" s="272"/>
      <c r="BA60" s="272"/>
      <c r="BB60" s="272"/>
      <c r="BC60" s="272"/>
      <c r="BD60" s="272"/>
      <c r="BE60" s="272"/>
      <c r="BF60" s="272"/>
    </row>
    <row r="61" spans="1:58" s="6" customFormat="1" ht="20.399999999999999" customHeight="1">
      <c r="A61" s="512"/>
      <c r="B61" s="512"/>
      <c r="C61" s="137" t="s">
        <v>1561</v>
      </c>
      <c r="D61" s="138">
        <f>SUM(D45:D60)</f>
        <v>30947803</v>
      </c>
      <c r="E61" s="138">
        <f t="shared" ref="E61:AA61" si="24">SUM(E45:E60)</f>
        <v>28162408</v>
      </c>
      <c r="F61" s="138">
        <f t="shared" si="24"/>
        <v>2785395</v>
      </c>
      <c r="G61" s="138">
        <f t="shared" si="24"/>
        <v>24032408</v>
      </c>
      <c r="H61" s="138">
        <f t="shared" si="24"/>
        <v>24290336</v>
      </c>
      <c r="I61" s="138">
        <f t="shared" si="24"/>
        <v>56624</v>
      </c>
      <c r="J61" s="138">
        <f t="shared" si="24"/>
        <v>1405755</v>
      </c>
      <c r="K61" s="138">
        <f t="shared" si="24"/>
        <v>1462379</v>
      </c>
      <c r="L61" s="138">
        <f t="shared" si="24"/>
        <v>25752715</v>
      </c>
      <c r="M61" s="138">
        <f t="shared" si="24"/>
        <v>36043</v>
      </c>
      <c r="N61" s="138">
        <f t="shared" si="24"/>
        <v>4409045</v>
      </c>
      <c r="O61" s="138">
        <f t="shared" si="24"/>
        <v>750000</v>
      </c>
      <c r="P61" s="138">
        <f t="shared" si="24"/>
        <v>-1720307</v>
      </c>
      <c r="Q61" s="138">
        <f t="shared" si="24"/>
        <v>0</v>
      </c>
      <c r="R61" s="138">
        <f t="shared" si="24"/>
        <v>3000000</v>
      </c>
      <c r="S61" s="138">
        <f t="shared" si="24"/>
        <v>3000000</v>
      </c>
      <c r="T61" s="138">
        <f t="shared" si="24"/>
        <v>1243650</v>
      </c>
      <c r="U61" s="138">
        <f t="shared" si="24"/>
        <v>3165395</v>
      </c>
      <c r="V61" s="138">
        <f t="shared" si="24"/>
        <v>0</v>
      </c>
      <c r="W61" s="138">
        <f t="shared" si="24"/>
        <v>2700000</v>
      </c>
      <c r="X61" s="138">
        <f t="shared" si="24"/>
        <v>0</v>
      </c>
      <c r="Y61" s="138">
        <f t="shared" si="24"/>
        <v>0</v>
      </c>
      <c r="Z61" s="138">
        <f t="shared" si="24"/>
        <v>0</v>
      </c>
      <c r="AA61" s="138">
        <f t="shared" si="24"/>
        <v>465395</v>
      </c>
      <c r="AB61" s="512"/>
      <c r="AC61" s="512"/>
      <c r="AD61" s="819"/>
      <c r="AE61" s="819"/>
      <c r="AF61" s="819"/>
      <c r="AG61" s="819"/>
      <c r="AH61" s="819"/>
      <c r="AI61" s="819"/>
      <c r="AJ61" s="819"/>
      <c r="AK61" s="819"/>
      <c r="AL61" s="819"/>
      <c r="AM61" s="819"/>
      <c r="AN61" s="819"/>
      <c r="AO61" s="819"/>
      <c r="AP61" s="819"/>
      <c r="AQ61" s="409"/>
      <c r="AR61" s="514"/>
      <c r="AS61" s="514"/>
      <c r="AT61" s="514"/>
      <c r="AU61" s="514"/>
      <c r="AV61" s="514"/>
      <c r="AW61" s="514"/>
      <c r="AX61" s="374"/>
      <c r="AY61" s="374"/>
      <c r="AZ61" s="374"/>
      <c r="BA61" s="374"/>
      <c r="BB61" s="374"/>
      <c r="BC61" s="374"/>
      <c r="BD61" s="374"/>
      <c r="BE61" s="374"/>
      <c r="BF61" s="374"/>
    </row>
    <row r="62" spans="1:58" s="6" customFormat="1" ht="20.399999999999999" customHeight="1">
      <c r="A62" s="512"/>
      <c r="B62" s="512"/>
      <c r="C62" s="137">
        <v>76</v>
      </c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425"/>
      <c r="V62" s="138"/>
      <c r="W62" s="425"/>
      <c r="X62" s="138"/>
      <c r="Y62" s="138"/>
      <c r="Z62" s="138"/>
      <c r="AA62" s="138"/>
      <c r="AB62" s="512"/>
      <c r="AC62" s="512"/>
      <c r="AD62" s="819"/>
      <c r="AE62" s="819"/>
      <c r="AF62" s="819"/>
      <c r="AG62" s="819"/>
      <c r="AH62" s="819"/>
      <c r="AI62" s="819"/>
      <c r="AJ62" s="819"/>
      <c r="AK62" s="819"/>
      <c r="AL62" s="819"/>
      <c r="AM62" s="819"/>
      <c r="AN62" s="819"/>
      <c r="AO62" s="819"/>
      <c r="AP62" s="819"/>
      <c r="AQ62" s="409"/>
      <c r="AR62" s="514"/>
      <c r="AS62" s="514"/>
      <c r="AT62" s="514"/>
      <c r="AU62" s="514"/>
      <c r="AV62" s="514"/>
      <c r="AW62" s="514"/>
      <c r="AX62" s="374"/>
      <c r="AY62" s="374"/>
      <c r="AZ62" s="374"/>
      <c r="BA62" s="374"/>
      <c r="BB62" s="374"/>
      <c r="BC62" s="374"/>
      <c r="BD62" s="374"/>
      <c r="BE62" s="374"/>
      <c r="BF62" s="374"/>
    </row>
    <row r="63" spans="1:58" ht="41.4">
      <c r="A63" s="448">
        <f>A60+1</f>
        <v>48</v>
      </c>
      <c r="B63" s="448">
        <v>2039</v>
      </c>
      <c r="C63" s="448" t="s">
        <v>130</v>
      </c>
      <c r="D63" s="449">
        <v>535000</v>
      </c>
      <c r="E63" s="449">
        <v>535000</v>
      </c>
      <c r="F63" s="449">
        <f>D63-E63</f>
        <v>0</v>
      </c>
      <c r="G63" s="449">
        <v>535000</v>
      </c>
      <c r="H63" s="449">
        <v>264008</v>
      </c>
      <c r="I63" s="449">
        <v>0</v>
      </c>
      <c r="J63" s="449">
        <v>80853</v>
      </c>
      <c r="K63" s="449">
        <f>I63+J63</f>
        <v>80853</v>
      </c>
      <c r="L63" s="449">
        <f>H63+K63</f>
        <v>344861</v>
      </c>
      <c r="M63" s="449">
        <f>P63+S63-190000</f>
        <v>139</v>
      </c>
      <c r="N63" s="449">
        <f>190000-190000</f>
        <v>0</v>
      </c>
      <c r="O63" s="449">
        <f>D63-L63-M63-N63</f>
        <v>190000</v>
      </c>
      <c r="P63" s="449">
        <f>G63-L63</f>
        <v>190139</v>
      </c>
      <c r="Q63" s="482"/>
      <c r="R63" s="449"/>
      <c r="S63" s="449">
        <f>SUM(Q63:R63)</f>
        <v>0</v>
      </c>
      <c r="T63" s="449">
        <f>P63-M63+S63</f>
        <v>190000</v>
      </c>
      <c r="U63" s="449">
        <f>N63-T63</f>
        <v>-190000</v>
      </c>
      <c r="V63" s="449"/>
      <c r="W63" s="449">
        <f>U63-AA63-V63-Y63</f>
        <v>-190000</v>
      </c>
      <c r="X63" s="449"/>
      <c r="Y63" s="449"/>
      <c r="Z63" s="449"/>
      <c r="AA63" s="448"/>
      <c r="AB63" s="484" t="s">
        <v>1409</v>
      </c>
      <c r="AC63" s="448">
        <v>760000</v>
      </c>
    </row>
    <row r="64" spans="1:58" s="409" customFormat="1">
      <c r="A64" s="512"/>
      <c r="B64" s="512"/>
      <c r="C64" s="512" t="s">
        <v>1559</v>
      </c>
      <c r="D64" s="425">
        <f>SUM(D63)</f>
        <v>535000</v>
      </c>
      <c r="E64" s="425">
        <f t="shared" ref="E64:AA64" si="25">SUM(E63)</f>
        <v>535000</v>
      </c>
      <c r="F64" s="425">
        <f t="shared" si="25"/>
        <v>0</v>
      </c>
      <c r="G64" s="425">
        <f t="shared" si="25"/>
        <v>535000</v>
      </c>
      <c r="H64" s="425">
        <f t="shared" si="25"/>
        <v>264008</v>
      </c>
      <c r="I64" s="425">
        <f t="shared" si="25"/>
        <v>0</v>
      </c>
      <c r="J64" s="425">
        <f t="shared" si="25"/>
        <v>80853</v>
      </c>
      <c r="K64" s="425">
        <f t="shared" si="25"/>
        <v>80853</v>
      </c>
      <c r="L64" s="425">
        <f t="shared" si="25"/>
        <v>344861</v>
      </c>
      <c r="M64" s="425">
        <f t="shared" si="25"/>
        <v>139</v>
      </c>
      <c r="N64" s="425">
        <f t="shared" si="25"/>
        <v>0</v>
      </c>
      <c r="O64" s="425">
        <f t="shared" si="25"/>
        <v>190000</v>
      </c>
      <c r="P64" s="425">
        <f t="shared" si="25"/>
        <v>190139</v>
      </c>
      <c r="Q64" s="425">
        <f t="shared" si="25"/>
        <v>0</v>
      </c>
      <c r="R64" s="425">
        <f t="shared" si="25"/>
        <v>0</v>
      </c>
      <c r="S64" s="425">
        <f t="shared" si="25"/>
        <v>0</v>
      </c>
      <c r="T64" s="425">
        <f t="shared" si="25"/>
        <v>190000</v>
      </c>
      <c r="U64" s="425">
        <f t="shared" si="25"/>
        <v>-190000</v>
      </c>
      <c r="V64" s="425">
        <f t="shared" si="25"/>
        <v>0</v>
      </c>
      <c r="W64" s="425">
        <f t="shared" si="25"/>
        <v>-190000</v>
      </c>
      <c r="X64" s="425">
        <f t="shared" si="25"/>
        <v>0</v>
      </c>
      <c r="Y64" s="425">
        <f t="shared" si="25"/>
        <v>0</v>
      </c>
      <c r="Z64" s="425">
        <f t="shared" si="25"/>
        <v>0</v>
      </c>
      <c r="AA64" s="425">
        <f t="shared" si="25"/>
        <v>0</v>
      </c>
      <c r="AB64" s="421"/>
      <c r="AC64" s="512"/>
      <c r="AD64" s="819"/>
      <c r="AE64" s="819"/>
      <c r="AF64" s="819"/>
      <c r="AG64" s="819"/>
      <c r="AH64" s="819"/>
      <c r="AI64" s="819"/>
      <c r="AJ64" s="819"/>
      <c r="AK64" s="819"/>
      <c r="AL64" s="819"/>
      <c r="AM64" s="819"/>
      <c r="AN64" s="819"/>
      <c r="AO64" s="819"/>
      <c r="AP64" s="819"/>
    </row>
    <row r="65" spans="1:42" s="409" customFormat="1">
      <c r="A65" s="512"/>
      <c r="B65" s="512"/>
      <c r="C65" s="512">
        <v>764</v>
      </c>
      <c r="D65" s="425"/>
      <c r="E65" s="425"/>
      <c r="F65" s="425"/>
      <c r="G65" s="425"/>
      <c r="H65" s="425"/>
      <c r="I65" s="425"/>
      <c r="J65" s="425"/>
      <c r="K65" s="425"/>
      <c r="L65" s="425"/>
      <c r="M65" s="425"/>
      <c r="N65" s="425"/>
      <c r="O65" s="425"/>
      <c r="P65" s="425"/>
      <c r="Q65" s="820"/>
      <c r="R65" s="425"/>
      <c r="S65" s="425"/>
      <c r="T65" s="425"/>
      <c r="U65" s="425"/>
      <c r="V65" s="425"/>
      <c r="W65" s="425"/>
      <c r="X65" s="425"/>
      <c r="Y65" s="425"/>
      <c r="Z65" s="425"/>
      <c r="AA65" s="512"/>
      <c r="AB65" s="421"/>
      <c r="AC65" s="512"/>
      <c r="AD65" s="819"/>
      <c r="AE65" s="819"/>
      <c r="AF65" s="819"/>
      <c r="AG65" s="819"/>
      <c r="AH65" s="819"/>
      <c r="AI65" s="819"/>
      <c r="AJ65" s="819"/>
      <c r="AK65" s="819"/>
      <c r="AL65" s="819"/>
      <c r="AM65" s="819"/>
      <c r="AN65" s="819"/>
      <c r="AO65" s="819"/>
      <c r="AP65" s="819"/>
    </row>
    <row r="66" spans="1:42" ht="41.4">
      <c r="A66" s="448">
        <f>A63+1</f>
        <v>49</v>
      </c>
      <c r="B66" s="448">
        <v>1210</v>
      </c>
      <c r="C66" s="448" t="s">
        <v>57</v>
      </c>
      <c r="D66" s="449">
        <f>118550000+12000000</f>
        <v>130550000</v>
      </c>
      <c r="E66" s="449">
        <v>118550000</v>
      </c>
      <c r="F66" s="449">
        <f>D66-E66</f>
        <v>12000000</v>
      </c>
      <c r="G66" s="449">
        <v>116200000</v>
      </c>
      <c r="H66" s="449">
        <v>111415805</v>
      </c>
      <c r="I66" s="449">
        <v>0</v>
      </c>
      <c r="J66" s="449"/>
      <c r="K66" s="449">
        <f>I66+J66</f>
        <v>0</v>
      </c>
      <c r="L66" s="449">
        <f>H66+K66</f>
        <v>111415805</v>
      </c>
      <c r="M66" s="449">
        <f>P66+S66-4780000</f>
        <v>4195</v>
      </c>
      <c r="N66" s="449">
        <f>12000000+4780000</f>
        <v>16780000</v>
      </c>
      <c r="O66" s="449">
        <f>D66-L66-M66-N66</f>
        <v>2350000</v>
      </c>
      <c r="P66" s="449">
        <f>G66-L66</f>
        <v>4784195</v>
      </c>
      <c r="Q66" s="482"/>
      <c r="R66" s="449"/>
      <c r="S66" s="449">
        <f>SUM(Q66:R66)</f>
        <v>0</v>
      </c>
      <c r="T66" s="449">
        <f>P66-M66+S66</f>
        <v>4780000</v>
      </c>
      <c r="U66" s="449">
        <f>N66-T66</f>
        <v>12000000</v>
      </c>
      <c r="V66" s="449"/>
      <c r="W66" s="449"/>
      <c r="X66" s="449"/>
      <c r="Y66" s="449"/>
      <c r="Z66" s="449"/>
      <c r="AA66" s="449">
        <f>U66</f>
        <v>12000000</v>
      </c>
      <c r="AB66" s="448" t="s">
        <v>414</v>
      </c>
      <c r="AC66" s="448">
        <v>764000</v>
      </c>
    </row>
    <row r="67" spans="1:42" s="409" customFormat="1">
      <c r="A67" s="512"/>
      <c r="B67" s="512"/>
      <c r="C67" s="512" t="s">
        <v>1568</v>
      </c>
      <c r="D67" s="425">
        <f>SUM(D66)</f>
        <v>130550000</v>
      </c>
      <c r="E67" s="425">
        <f t="shared" ref="E67:AA67" si="26">SUM(E66)</f>
        <v>118550000</v>
      </c>
      <c r="F67" s="425">
        <f t="shared" si="26"/>
        <v>12000000</v>
      </c>
      <c r="G67" s="425">
        <f t="shared" si="26"/>
        <v>116200000</v>
      </c>
      <c r="H67" s="425">
        <f t="shared" si="26"/>
        <v>111415805</v>
      </c>
      <c r="I67" s="425">
        <f t="shared" si="26"/>
        <v>0</v>
      </c>
      <c r="J67" s="425">
        <f t="shared" si="26"/>
        <v>0</v>
      </c>
      <c r="K67" s="425">
        <f t="shared" si="26"/>
        <v>0</v>
      </c>
      <c r="L67" s="425">
        <f t="shared" si="26"/>
        <v>111415805</v>
      </c>
      <c r="M67" s="425">
        <f t="shared" si="26"/>
        <v>4195</v>
      </c>
      <c r="N67" s="425">
        <f t="shared" si="26"/>
        <v>16780000</v>
      </c>
      <c r="O67" s="425">
        <f t="shared" si="26"/>
        <v>2350000</v>
      </c>
      <c r="P67" s="425">
        <f t="shared" si="26"/>
        <v>4784195</v>
      </c>
      <c r="Q67" s="425">
        <f t="shared" si="26"/>
        <v>0</v>
      </c>
      <c r="R67" s="425">
        <f t="shared" si="26"/>
        <v>0</v>
      </c>
      <c r="S67" s="425">
        <f t="shared" si="26"/>
        <v>0</v>
      </c>
      <c r="T67" s="425">
        <f t="shared" si="26"/>
        <v>4780000</v>
      </c>
      <c r="U67" s="425">
        <f t="shared" si="26"/>
        <v>12000000</v>
      </c>
      <c r="V67" s="425">
        <f t="shared" si="26"/>
        <v>0</v>
      </c>
      <c r="W67" s="425">
        <f t="shared" si="26"/>
        <v>0</v>
      </c>
      <c r="X67" s="425">
        <f t="shared" si="26"/>
        <v>0</v>
      </c>
      <c r="Y67" s="425">
        <f t="shared" si="26"/>
        <v>0</v>
      </c>
      <c r="Z67" s="425">
        <f t="shared" si="26"/>
        <v>0</v>
      </c>
      <c r="AA67" s="425">
        <f t="shared" si="26"/>
        <v>12000000</v>
      </c>
      <c r="AB67" s="512"/>
      <c r="AC67" s="512"/>
      <c r="AD67" s="819"/>
      <c r="AE67" s="819"/>
      <c r="AF67" s="819"/>
      <c r="AG67" s="819"/>
      <c r="AH67" s="819"/>
      <c r="AI67" s="819"/>
      <c r="AJ67" s="819"/>
      <c r="AK67" s="819"/>
      <c r="AL67" s="819"/>
      <c r="AM67" s="819"/>
      <c r="AN67" s="819"/>
      <c r="AO67" s="819"/>
      <c r="AP67" s="819"/>
    </row>
    <row r="68" spans="1:42" s="409" customFormat="1">
      <c r="A68" s="512"/>
      <c r="B68" s="512"/>
      <c r="C68" s="512">
        <v>81</v>
      </c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425"/>
      <c r="Q68" s="820"/>
      <c r="R68" s="425"/>
      <c r="S68" s="425"/>
      <c r="T68" s="425"/>
      <c r="U68" s="425"/>
      <c r="V68" s="425"/>
      <c r="W68" s="425"/>
      <c r="X68" s="425"/>
      <c r="Y68" s="425"/>
      <c r="Z68" s="425"/>
      <c r="AA68" s="425"/>
      <c r="AB68" s="512"/>
      <c r="AC68" s="512"/>
      <c r="AD68" s="819"/>
      <c r="AE68" s="819"/>
      <c r="AF68" s="819"/>
      <c r="AG68" s="819"/>
      <c r="AH68" s="819"/>
      <c r="AI68" s="819"/>
      <c r="AJ68" s="819"/>
      <c r="AK68" s="819"/>
      <c r="AL68" s="819"/>
      <c r="AM68" s="819"/>
      <c r="AN68" s="819"/>
      <c r="AO68" s="819"/>
      <c r="AP68" s="819"/>
    </row>
    <row r="69" spans="1:42" ht="27.6">
      <c r="A69" s="448">
        <f>A66+1</f>
        <v>50</v>
      </c>
      <c r="B69" s="448">
        <v>1477</v>
      </c>
      <c r="C69" s="448" t="s">
        <v>444</v>
      </c>
      <c r="D69" s="449">
        <v>9350000</v>
      </c>
      <c r="E69" s="449">
        <v>9350000</v>
      </c>
      <c r="F69" s="449">
        <f t="shared" ref="F69:F100" si="27">D69-E69</f>
        <v>0</v>
      </c>
      <c r="G69" s="449">
        <v>8000000</v>
      </c>
      <c r="H69" s="449">
        <v>5543143</v>
      </c>
      <c r="I69" s="449"/>
      <c r="J69" s="449">
        <v>410309</v>
      </c>
      <c r="K69" s="449">
        <f t="shared" ref="K69:K100" si="28">I69+J69</f>
        <v>410309</v>
      </c>
      <c r="L69" s="449">
        <f t="shared" ref="L69:L100" si="29">H69+K69</f>
        <v>5953452</v>
      </c>
      <c r="M69" s="449">
        <f>P69+S69-2000000-45000</f>
        <v>1548</v>
      </c>
      <c r="N69" s="449"/>
      <c r="O69" s="449">
        <f t="shared" ref="O69:O80" si="30">D69-L69-M69-N69</f>
        <v>3395000</v>
      </c>
      <c r="P69" s="449">
        <f t="shared" ref="P69:P100" si="31">G69-L69</f>
        <v>2046548</v>
      </c>
      <c r="Q69" s="482"/>
      <c r="R69" s="449"/>
      <c r="S69" s="449">
        <f t="shared" ref="S69:S76" si="32">SUM(Q69:R69)</f>
        <v>0</v>
      </c>
      <c r="T69" s="449">
        <f t="shared" ref="T69:T100" si="33">P69-M69+S69</f>
        <v>2045000</v>
      </c>
      <c r="U69" s="449">
        <f t="shared" ref="U69:U100" si="34">N69-T69</f>
        <v>-2045000</v>
      </c>
      <c r="V69" s="449"/>
      <c r="W69" s="449">
        <f t="shared" ref="W69:W100" si="35">U69-AA69-V69-Y69</f>
        <v>-2045000</v>
      </c>
      <c r="X69" s="449"/>
      <c r="Y69" s="449"/>
      <c r="Z69" s="449"/>
      <c r="AA69" s="448"/>
      <c r="AB69" s="322" t="s">
        <v>840</v>
      </c>
      <c r="AC69" s="322">
        <v>810000</v>
      </c>
    </row>
    <row r="70" spans="1:42" ht="45" customHeight="1">
      <c r="A70" s="448">
        <f t="shared" si="1"/>
        <v>51</v>
      </c>
      <c r="B70" s="448">
        <v>1850</v>
      </c>
      <c r="C70" s="448" t="s">
        <v>407</v>
      </c>
      <c r="D70" s="449">
        <v>14600000</v>
      </c>
      <c r="E70" s="449">
        <v>14600000</v>
      </c>
      <c r="F70" s="449">
        <f t="shared" si="27"/>
        <v>0</v>
      </c>
      <c r="G70" s="449">
        <v>6700000</v>
      </c>
      <c r="H70" s="449">
        <v>6678072</v>
      </c>
      <c r="I70" s="449">
        <v>0</v>
      </c>
      <c r="J70" s="449"/>
      <c r="K70" s="449">
        <f t="shared" si="28"/>
        <v>0</v>
      </c>
      <c r="L70" s="449">
        <f t="shared" si="29"/>
        <v>6678072</v>
      </c>
      <c r="M70" s="449">
        <f>P70+S70-20000</f>
        <v>1928</v>
      </c>
      <c r="N70" s="449">
        <f>800000-300000+20000</f>
        <v>520000</v>
      </c>
      <c r="O70" s="449">
        <f t="shared" si="30"/>
        <v>7400000</v>
      </c>
      <c r="P70" s="449">
        <f t="shared" si="31"/>
        <v>21928</v>
      </c>
      <c r="Q70" s="482"/>
      <c r="R70" s="449"/>
      <c r="S70" s="449">
        <f t="shared" si="32"/>
        <v>0</v>
      </c>
      <c r="T70" s="449">
        <f t="shared" si="33"/>
        <v>20000</v>
      </c>
      <c r="U70" s="449">
        <f t="shared" si="34"/>
        <v>500000</v>
      </c>
      <c r="V70" s="449"/>
      <c r="W70" s="449">
        <f t="shared" si="35"/>
        <v>500000</v>
      </c>
      <c r="X70" s="449"/>
      <c r="Y70" s="449"/>
      <c r="Z70" s="449"/>
      <c r="AA70" s="448"/>
      <c r="AB70" s="448" t="s">
        <v>1458</v>
      </c>
      <c r="AC70" s="448">
        <v>810000</v>
      </c>
    </row>
    <row r="71" spans="1:42" ht="46.95" customHeight="1">
      <c r="A71" s="448">
        <f t="shared" si="1"/>
        <v>52</v>
      </c>
      <c r="B71" s="448">
        <v>1883</v>
      </c>
      <c r="C71" s="448" t="s">
        <v>106</v>
      </c>
      <c r="D71" s="449">
        <f>27245000-1030000</f>
        <v>26215000</v>
      </c>
      <c r="E71" s="449">
        <v>27245000</v>
      </c>
      <c r="F71" s="449">
        <f t="shared" si="27"/>
        <v>-1030000</v>
      </c>
      <c r="G71" s="449">
        <v>26215000</v>
      </c>
      <c r="H71" s="449">
        <v>26214141</v>
      </c>
      <c r="I71" s="449">
        <v>0</v>
      </c>
      <c r="J71" s="449">
        <v>0</v>
      </c>
      <c r="K71" s="449">
        <f t="shared" si="28"/>
        <v>0</v>
      </c>
      <c r="L71" s="449">
        <f t="shared" si="29"/>
        <v>26214141</v>
      </c>
      <c r="M71" s="449">
        <f>P71+S71</f>
        <v>859</v>
      </c>
      <c r="N71" s="449"/>
      <c r="O71" s="449">
        <f t="shared" si="30"/>
        <v>0</v>
      </c>
      <c r="P71" s="449">
        <f t="shared" si="31"/>
        <v>859</v>
      </c>
      <c r="Q71" s="482"/>
      <c r="R71" s="449"/>
      <c r="S71" s="449">
        <f t="shared" si="32"/>
        <v>0</v>
      </c>
      <c r="T71" s="449">
        <f t="shared" si="33"/>
        <v>0</v>
      </c>
      <c r="U71" s="449">
        <f t="shared" si="34"/>
        <v>0</v>
      </c>
      <c r="V71" s="449"/>
      <c r="W71" s="449">
        <f t="shared" si="35"/>
        <v>0</v>
      </c>
      <c r="X71" s="449"/>
      <c r="Y71" s="449"/>
      <c r="Z71" s="449"/>
      <c r="AA71" s="448"/>
      <c r="AB71" s="448" t="s">
        <v>1433</v>
      </c>
      <c r="AC71" s="448">
        <v>810000</v>
      </c>
    </row>
    <row r="72" spans="1:42" ht="43.2" customHeight="1">
      <c r="A72" s="448">
        <f t="shared" si="1"/>
        <v>53</v>
      </c>
      <c r="B72" s="448">
        <v>1887</v>
      </c>
      <c r="C72" s="448" t="s">
        <v>107</v>
      </c>
      <c r="D72" s="449">
        <v>5200000</v>
      </c>
      <c r="E72" s="449">
        <v>5200000</v>
      </c>
      <c r="F72" s="449">
        <f t="shared" si="27"/>
        <v>0</v>
      </c>
      <c r="G72" s="449">
        <v>1760000</v>
      </c>
      <c r="H72" s="449">
        <v>1396187</v>
      </c>
      <c r="I72" s="449">
        <v>88157</v>
      </c>
      <c r="J72" s="449">
        <v>0</v>
      </c>
      <c r="K72" s="449">
        <f t="shared" si="28"/>
        <v>88157</v>
      </c>
      <c r="L72" s="449">
        <f t="shared" si="29"/>
        <v>1484344</v>
      </c>
      <c r="M72" s="449">
        <f>P72+S72-280000+5000</f>
        <v>656</v>
      </c>
      <c r="N72" s="449">
        <v>900000</v>
      </c>
      <c r="O72" s="449">
        <f t="shared" si="30"/>
        <v>2815000</v>
      </c>
      <c r="P72" s="449">
        <f t="shared" si="31"/>
        <v>275656</v>
      </c>
      <c r="Q72" s="482"/>
      <c r="R72" s="449"/>
      <c r="S72" s="449">
        <f t="shared" si="32"/>
        <v>0</v>
      </c>
      <c r="T72" s="449">
        <f t="shared" si="33"/>
        <v>275000</v>
      </c>
      <c r="U72" s="449">
        <f t="shared" si="34"/>
        <v>625000</v>
      </c>
      <c r="V72" s="449">
        <v>625000</v>
      </c>
      <c r="W72" s="449">
        <f t="shared" si="35"/>
        <v>0</v>
      </c>
      <c r="X72" s="449"/>
      <c r="Y72" s="449"/>
      <c r="Z72" s="449"/>
      <c r="AA72" s="448"/>
      <c r="AB72" s="448" t="s">
        <v>762</v>
      </c>
      <c r="AC72" s="448">
        <v>810000</v>
      </c>
    </row>
    <row r="73" spans="1:42" ht="45" customHeight="1">
      <c r="A73" s="448">
        <f t="shared" si="1"/>
        <v>54</v>
      </c>
      <c r="B73" s="448">
        <v>1900</v>
      </c>
      <c r="C73" s="448" t="s">
        <v>108</v>
      </c>
      <c r="D73" s="449">
        <v>600000</v>
      </c>
      <c r="E73" s="449">
        <v>600000</v>
      </c>
      <c r="F73" s="449">
        <f t="shared" si="27"/>
        <v>0</v>
      </c>
      <c r="G73" s="449">
        <v>600000</v>
      </c>
      <c r="H73" s="449">
        <v>572915</v>
      </c>
      <c r="I73" s="449">
        <v>0</v>
      </c>
      <c r="J73" s="449">
        <v>0</v>
      </c>
      <c r="K73" s="449">
        <f t="shared" si="28"/>
        <v>0</v>
      </c>
      <c r="L73" s="449">
        <f t="shared" si="29"/>
        <v>572915</v>
      </c>
      <c r="M73" s="449">
        <f>P73+S73-27000</f>
        <v>85</v>
      </c>
      <c r="N73" s="449"/>
      <c r="O73" s="449">
        <f t="shared" si="30"/>
        <v>27000</v>
      </c>
      <c r="P73" s="449">
        <f t="shared" si="31"/>
        <v>27085</v>
      </c>
      <c r="Q73" s="482"/>
      <c r="R73" s="449"/>
      <c r="S73" s="449">
        <f t="shared" si="32"/>
        <v>0</v>
      </c>
      <c r="T73" s="449">
        <f t="shared" si="33"/>
        <v>27000</v>
      </c>
      <c r="U73" s="449">
        <f t="shared" si="34"/>
        <v>-27000</v>
      </c>
      <c r="V73" s="449">
        <v>-27000</v>
      </c>
      <c r="W73" s="449">
        <f t="shared" si="35"/>
        <v>0</v>
      </c>
      <c r="X73" s="449"/>
      <c r="Y73" s="449"/>
      <c r="Z73" s="449"/>
      <c r="AA73" s="448"/>
      <c r="AB73" s="448" t="s">
        <v>1434</v>
      </c>
      <c r="AC73" s="448">
        <v>810000</v>
      </c>
    </row>
    <row r="74" spans="1:42" ht="82.8">
      <c r="A74" s="448">
        <f t="shared" si="1"/>
        <v>55</v>
      </c>
      <c r="B74" s="448">
        <v>1967</v>
      </c>
      <c r="C74" s="448" t="s">
        <v>117</v>
      </c>
      <c r="D74" s="449">
        <f>12929000+3300000+400000</f>
        <v>16629000</v>
      </c>
      <c r="E74" s="449">
        <v>12929000</v>
      </c>
      <c r="F74" s="449">
        <f t="shared" si="27"/>
        <v>3700000</v>
      </c>
      <c r="G74" s="449">
        <v>12029000</v>
      </c>
      <c r="H74" s="449">
        <v>10922228</v>
      </c>
      <c r="I74" s="449">
        <v>0</v>
      </c>
      <c r="J74" s="449">
        <f>881141-5101-7423+71136</f>
        <v>939753</v>
      </c>
      <c r="K74" s="449">
        <f t="shared" si="28"/>
        <v>939753</v>
      </c>
      <c r="L74" s="449">
        <f t="shared" si="29"/>
        <v>11861981</v>
      </c>
      <c r="M74" s="449">
        <f>P74+S74-150000</f>
        <v>17019</v>
      </c>
      <c r="N74" s="449">
        <f>1500000+1800000+900000+400000-1450000-150000</f>
        <v>3000000</v>
      </c>
      <c r="O74" s="449">
        <f t="shared" si="30"/>
        <v>1750000</v>
      </c>
      <c r="P74" s="449">
        <f t="shared" si="31"/>
        <v>167019</v>
      </c>
      <c r="Q74" s="482"/>
      <c r="R74" s="449"/>
      <c r="S74" s="449">
        <f t="shared" si="32"/>
        <v>0</v>
      </c>
      <c r="T74" s="449">
        <f t="shared" si="33"/>
        <v>150000</v>
      </c>
      <c r="U74" s="449">
        <f t="shared" si="34"/>
        <v>2850000</v>
      </c>
      <c r="V74" s="449"/>
      <c r="W74" s="449">
        <f t="shared" si="35"/>
        <v>2850000</v>
      </c>
      <c r="X74" s="449"/>
      <c r="Y74" s="449"/>
      <c r="Z74" s="449"/>
      <c r="AA74" s="448"/>
      <c r="AB74" s="448" t="s">
        <v>1516</v>
      </c>
      <c r="AC74" s="448">
        <v>810000</v>
      </c>
    </row>
    <row r="75" spans="1:42" ht="34.950000000000003" customHeight="1">
      <c r="A75" s="448">
        <f t="shared" si="1"/>
        <v>56</v>
      </c>
      <c r="B75" s="448">
        <v>1970</v>
      </c>
      <c r="C75" s="448" t="s">
        <v>123</v>
      </c>
      <c r="D75" s="449">
        <v>32500000</v>
      </c>
      <c r="E75" s="449">
        <v>32500000</v>
      </c>
      <c r="F75" s="449">
        <f t="shared" si="27"/>
        <v>0</v>
      </c>
      <c r="G75" s="449">
        <v>32500000</v>
      </c>
      <c r="H75" s="449">
        <v>32499902</v>
      </c>
      <c r="I75" s="449">
        <v>0</v>
      </c>
      <c r="J75" s="449">
        <v>0</v>
      </c>
      <c r="K75" s="449">
        <f t="shared" si="28"/>
        <v>0</v>
      </c>
      <c r="L75" s="449">
        <f t="shared" si="29"/>
        <v>32499902</v>
      </c>
      <c r="M75" s="449">
        <f>P75+S75</f>
        <v>98</v>
      </c>
      <c r="N75" s="449"/>
      <c r="O75" s="449">
        <f t="shared" si="30"/>
        <v>0</v>
      </c>
      <c r="P75" s="449">
        <f t="shared" si="31"/>
        <v>98</v>
      </c>
      <c r="Q75" s="482"/>
      <c r="R75" s="449"/>
      <c r="S75" s="449">
        <f t="shared" si="32"/>
        <v>0</v>
      </c>
      <c r="T75" s="449">
        <f t="shared" si="33"/>
        <v>0</v>
      </c>
      <c r="U75" s="449">
        <f t="shared" si="34"/>
        <v>0</v>
      </c>
      <c r="V75" s="449"/>
      <c r="W75" s="449">
        <f t="shared" si="35"/>
        <v>0</v>
      </c>
      <c r="X75" s="449"/>
      <c r="Y75" s="449"/>
      <c r="Z75" s="449"/>
      <c r="AA75" s="448"/>
      <c r="AB75" s="448" t="s">
        <v>1356</v>
      </c>
      <c r="AC75" s="448">
        <v>810000</v>
      </c>
    </row>
    <row r="76" spans="1:42" ht="35.4" customHeight="1">
      <c r="A76" s="448">
        <f t="shared" si="1"/>
        <v>57</v>
      </c>
      <c r="B76" s="448">
        <v>2028</v>
      </c>
      <c r="C76" s="448" t="s">
        <v>270</v>
      </c>
      <c r="D76" s="449">
        <f>2435000-477</f>
        <v>2434523</v>
      </c>
      <c r="E76" s="449">
        <v>2435000</v>
      </c>
      <c r="F76" s="449">
        <f t="shared" si="27"/>
        <v>-477</v>
      </c>
      <c r="G76" s="449">
        <v>2435000</v>
      </c>
      <c r="H76" s="449">
        <v>2434523</v>
      </c>
      <c r="I76" s="449"/>
      <c r="J76" s="449">
        <v>0</v>
      </c>
      <c r="K76" s="449">
        <f t="shared" si="28"/>
        <v>0</v>
      </c>
      <c r="L76" s="449">
        <f t="shared" si="29"/>
        <v>2434523</v>
      </c>
      <c r="M76" s="449">
        <f>P76+S76-477</f>
        <v>0</v>
      </c>
      <c r="N76" s="449"/>
      <c r="O76" s="449">
        <f t="shared" si="30"/>
        <v>0</v>
      </c>
      <c r="P76" s="449">
        <f t="shared" si="31"/>
        <v>477</v>
      </c>
      <c r="Q76" s="482"/>
      <c r="R76" s="449"/>
      <c r="S76" s="449">
        <f t="shared" si="32"/>
        <v>0</v>
      </c>
      <c r="T76" s="449">
        <f t="shared" si="33"/>
        <v>477</v>
      </c>
      <c r="U76" s="449">
        <f t="shared" si="34"/>
        <v>-477</v>
      </c>
      <c r="V76" s="449"/>
      <c r="W76" s="449">
        <f t="shared" si="35"/>
        <v>-477</v>
      </c>
      <c r="X76" s="449"/>
      <c r="Y76" s="449"/>
      <c r="Z76" s="449"/>
      <c r="AA76" s="448"/>
      <c r="AB76" s="448" t="s">
        <v>1437</v>
      </c>
      <c r="AC76" s="448">
        <v>810000</v>
      </c>
    </row>
    <row r="77" spans="1:42" ht="33" customHeight="1">
      <c r="A77" s="448">
        <f t="shared" si="1"/>
        <v>58</v>
      </c>
      <c r="B77" s="448">
        <v>2030</v>
      </c>
      <c r="C77" s="448" t="s">
        <v>231</v>
      </c>
      <c r="D77" s="449">
        <f>31500000+19786977-4465000</f>
        <v>46821977</v>
      </c>
      <c r="E77" s="449">
        <v>31500000</v>
      </c>
      <c r="F77" s="449">
        <f t="shared" si="27"/>
        <v>15321977</v>
      </c>
      <c r="G77" s="449">
        <v>16421977</v>
      </c>
      <c r="H77" s="449">
        <v>10816571</v>
      </c>
      <c r="I77" s="449">
        <v>271685</v>
      </c>
      <c r="J77" s="449">
        <f>647230</f>
        <v>647230</v>
      </c>
      <c r="K77" s="449">
        <f t="shared" si="28"/>
        <v>918915</v>
      </c>
      <c r="L77" s="449">
        <f t="shared" si="29"/>
        <v>11735486</v>
      </c>
      <c r="M77" s="449">
        <f>P77+S77-4600000-85000</f>
        <v>1491</v>
      </c>
      <c r="N77" s="449">
        <v>85000</v>
      </c>
      <c r="O77" s="449">
        <f t="shared" si="30"/>
        <v>35000000</v>
      </c>
      <c r="P77" s="449">
        <f t="shared" si="31"/>
        <v>4686491</v>
      </c>
      <c r="Q77" s="482"/>
      <c r="R77" s="449"/>
      <c r="S77" s="449">
        <v>0</v>
      </c>
      <c r="T77" s="449">
        <f t="shared" si="33"/>
        <v>4685000</v>
      </c>
      <c r="U77" s="449">
        <f t="shared" si="34"/>
        <v>-4600000</v>
      </c>
      <c r="V77" s="449">
        <v>-4600000</v>
      </c>
      <c r="W77" s="449">
        <f t="shared" si="35"/>
        <v>0</v>
      </c>
      <c r="X77" s="449"/>
      <c r="Y77" s="449"/>
      <c r="Z77" s="449"/>
      <c r="AA77" s="449">
        <f>3368300-110000-3258300</f>
        <v>0</v>
      </c>
      <c r="AB77" s="448" t="s">
        <v>1366</v>
      </c>
      <c r="AC77" s="448">
        <v>810000</v>
      </c>
    </row>
    <row r="78" spans="1:42" ht="32.4" customHeight="1">
      <c r="A78" s="448">
        <f t="shared" si="1"/>
        <v>59</v>
      </c>
      <c r="B78" s="448">
        <v>2038</v>
      </c>
      <c r="C78" s="448" t="s">
        <v>396</v>
      </c>
      <c r="D78" s="449">
        <f>6000000+1500000</f>
        <v>7500000</v>
      </c>
      <c r="E78" s="449">
        <v>6000000</v>
      </c>
      <c r="F78" s="449">
        <f t="shared" si="27"/>
        <v>1500000</v>
      </c>
      <c r="G78" s="449">
        <v>5250000</v>
      </c>
      <c r="H78" s="449">
        <v>5247440</v>
      </c>
      <c r="I78" s="449">
        <v>0</v>
      </c>
      <c r="J78" s="449"/>
      <c r="K78" s="449">
        <f t="shared" si="28"/>
        <v>0</v>
      </c>
      <c r="L78" s="449">
        <f t="shared" si="29"/>
        <v>5247440</v>
      </c>
      <c r="M78" s="449">
        <f>P78+S78</f>
        <v>2560</v>
      </c>
      <c r="N78" s="449">
        <f>1500000-700000-100000</f>
        <v>700000</v>
      </c>
      <c r="O78" s="449">
        <f t="shared" si="30"/>
        <v>1550000</v>
      </c>
      <c r="P78" s="449">
        <f t="shared" si="31"/>
        <v>2560</v>
      </c>
      <c r="Q78" s="482"/>
      <c r="R78" s="449"/>
      <c r="S78" s="449">
        <f t="shared" ref="S78:S100" si="36">SUM(Q78:R78)</f>
        <v>0</v>
      </c>
      <c r="T78" s="449">
        <f t="shared" si="33"/>
        <v>0</v>
      </c>
      <c r="U78" s="449">
        <f t="shared" si="34"/>
        <v>700000</v>
      </c>
      <c r="V78" s="449"/>
      <c r="W78" s="449">
        <f t="shared" si="35"/>
        <v>700000</v>
      </c>
      <c r="X78" s="449"/>
      <c r="Y78" s="449"/>
      <c r="Z78" s="449"/>
      <c r="AA78" s="448"/>
      <c r="AB78" s="448" t="s">
        <v>416</v>
      </c>
      <c r="AC78" s="448">
        <v>810000</v>
      </c>
    </row>
    <row r="79" spans="1:42" ht="43.2" customHeight="1">
      <c r="A79" s="448">
        <f t="shared" si="1"/>
        <v>60</v>
      </c>
      <c r="B79" s="448">
        <v>2063</v>
      </c>
      <c r="C79" s="448" t="s">
        <v>271</v>
      </c>
      <c r="D79" s="449">
        <f>2500000+600000</f>
        <v>3100000</v>
      </c>
      <c r="E79" s="449">
        <v>2500000</v>
      </c>
      <c r="F79" s="449">
        <f t="shared" si="27"/>
        <v>600000</v>
      </c>
      <c r="G79" s="449">
        <v>2300000</v>
      </c>
      <c r="H79" s="449">
        <v>664045</v>
      </c>
      <c r="I79" s="449">
        <v>0</v>
      </c>
      <c r="J79" s="449">
        <v>1554999</v>
      </c>
      <c r="K79" s="449">
        <f t="shared" si="28"/>
        <v>1554999</v>
      </c>
      <c r="L79" s="449">
        <f t="shared" si="29"/>
        <v>2219044</v>
      </c>
      <c r="M79" s="449">
        <f>P79+S79-80000</f>
        <v>956</v>
      </c>
      <c r="N79" s="449">
        <f>800000-100000+80000</f>
        <v>780000</v>
      </c>
      <c r="O79" s="449">
        <f t="shared" si="30"/>
        <v>100000</v>
      </c>
      <c r="P79" s="449">
        <f t="shared" si="31"/>
        <v>80956</v>
      </c>
      <c r="Q79" s="482"/>
      <c r="R79" s="449"/>
      <c r="S79" s="449">
        <f t="shared" si="36"/>
        <v>0</v>
      </c>
      <c r="T79" s="449">
        <f t="shared" si="33"/>
        <v>80000</v>
      </c>
      <c r="U79" s="449">
        <f t="shared" si="34"/>
        <v>700000</v>
      </c>
      <c r="V79" s="449">
        <v>700000</v>
      </c>
      <c r="W79" s="449">
        <f t="shared" si="35"/>
        <v>0</v>
      </c>
      <c r="X79" s="449"/>
      <c r="Y79" s="449"/>
      <c r="Z79" s="449"/>
      <c r="AA79" s="448"/>
      <c r="AB79" s="448" t="s">
        <v>514</v>
      </c>
      <c r="AC79" s="448">
        <v>810000</v>
      </c>
    </row>
    <row r="80" spans="1:42" ht="30.6" customHeight="1">
      <c r="A80" s="448">
        <f t="shared" si="1"/>
        <v>61</v>
      </c>
      <c r="B80" s="448">
        <v>2071</v>
      </c>
      <c r="C80" s="448" t="s">
        <v>275</v>
      </c>
      <c r="D80" s="449">
        <f>300000-21920</f>
        <v>278080</v>
      </c>
      <c r="E80" s="449">
        <v>300000</v>
      </c>
      <c r="F80" s="449">
        <f t="shared" si="27"/>
        <v>-21920</v>
      </c>
      <c r="G80" s="449">
        <v>300000</v>
      </c>
      <c r="H80" s="449">
        <v>278080</v>
      </c>
      <c r="I80" s="449">
        <v>0</v>
      </c>
      <c r="J80" s="449">
        <v>0</v>
      </c>
      <c r="K80" s="449">
        <f t="shared" si="28"/>
        <v>0</v>
      </c>
      <c r="L80" s="449">
        <f t="shared" si="29"/>
        <v>278080</v>
      </c>
      <c r="M80" s="449">
        <f>P80+S80-21920</f>
        <v>0</v>
      </c>
      <c r="N80" s="449"/>
      <c r="O80" s="449">
        <f t="shared" si="30"/>
        <v>0</v>
      </c>
      <c r="P80" s="449">
        <f t="shared" si="31"/>
        <v>21920</v>
      </c>
      <c r="Q80" s="482"/>
      <c r="R80" s="449"/>
      <c r="S80" s="449">
        <f t="shared" si="36"/>
        <v>0</v>
      </c>
      <c r="T80" s="449">
        <f t="shared" si="33"/>
        <v>21920</v>
      </c>
      <c r="U80" s="449">
        <f t="shared" si="34"/>
        <v>-21920</v>
      </c>
      <c r="V80" s="449"/>
      <c r="W80" s="449">
        <f t="shared" si="35"/>
        <v>20986</v>
      </c>
      <c r="X80" s="449"/>
      <c r="Y80" s="449"/>
      <c r="Z80" s="449"/>
      <c r="AA80" s="449">
        <v>-42906</v>
      </c>
      <c r="AB80" s="448" t="s">
        <v>388</v>
      </c>
      <c r="AC80" s="448">
        <v>810000</v>
      </c>
    </row>
    <row r="81" spans="1:58" ht="40.200000000000003" customHeight="1">
      <c r="A81" s="448">
        <f t="shared" si="1"/>
        <v>62</v>
      </c>
      <c r="B81" s="448">
        <v>2091</v>
      </c>
      <c r="C81" s="3" t="s">
        <v>277</v>
      </c>
      <c r="D81" s="4">
        <v>1360000</v>
      </c>
      <c r="E81" s="4">
        <v>1360000</v>
      </c>
      <c r="F81" s="4">
        <f t="shared" si="27"/>
        <v>0</v>
      </c>
      <c r="G81" s="4">
        <v>400000</v>
      </c>
      <c r="H81" s="4">
        <f>160057-57</f>
        <v>160000</v>
      </c>
      <c r="I81" s="4"/>
      <c r="J81" s="4"/>
      <c r="K81" s="4">
        <f t="shared" si="28"/>
        <v>0</v>
      </c>
      <c r="L81" s="4">
        <f t="shared" si="29"/>
        <v>160000</v>
      </c>
      <c r="M81" s="4">
        <f>P81+S81-80000*3</f>
        <v>0</v>
      </c>
      <c r="N81" s="4"/>
      <c r="O81" s="4">
        <f>D81-M81-N81-L81</f>
        <v>1200000</v>
      </c>
      <c r="P81" s="4">
        <f t="shared" si="31"/>
        <v>240000</v>
      </c>
      <c r="Q81" s="355"/>
      <c r="R81" s="4"/>
      <c r="S81" s="4">
        <f t="shared" si="36"/>
        <v>0</v>
      </c>
      <c r="T81" s="4">
        <f t="shared" si="33"/>
        <v>240000</v>
      </c>
      <c r="U81" s="4">
        <f t="shared" si="34"/>
        <v>-240000</v>
      </c>
      <c r="V81" s="4"/>
      <c r="W81" s="449">
        <f t="shared" si="35"/>
        <v>0</v>
      </c>
      <c r="X81" s="4"/>
      <c r="Y81" s="4"/>
      <c r="Z81" s="4"/>
      <c r="AA81" s="274">
        <v>-240000</v>
      </c>
      <c r="AB81" s="3" t="s">
        <v>1440</v>
      </c>
      <c r="AC81" s="3">
        <v>810000</v>
      </c>
      <c r="AQ81" s="16"/>
      <c r="AR81" s="16"/>
      <c r="AS81" s="16"/>
      <c r="AT81" s="16"/>
      <c r="AU81" s="16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</row>
    <row r="82" spans="1:58" s="485" customFormat="1" ht="27.6">
      <c r="A82" s="448">
        <f t="shared" si="1"/>
        <v>63</v>
      </c>
      <c r="B82" s="448">
        <v>2140</v>
      </c>
      <c r="C82" s="448" t="s">
        <v>430</v>
      </c>
      <c r="D82" s="449">
        <v>360000</v>
      </c>
      <c r="E82" s="449">
        <v>360000</v>
      </c>
      <c r="F82" s="449">
        <f t="shared" si="27"/>
        <v>0</v>
      </c>
      <c r="G82" s="449">
        <v>360000</v>
      </c>
      <c r="H82" s="449">
        <v>283122</v>
      </c>
      <c r="I82" s="449">
        <v>0</v>
      </c>
      <c r="J82" s="449">
        <v>0</v>
      </c>
      <c r="K82" s="449">
        <f t="shared" si="28"/>
        <v>0</v>
      </c>
      <c r="L82" s="449">
        <f t="shared" si="29"/>
        <v>283122</v>
      </c>
      <c r="M82" s="449">
        <f>P82+S82-76878</f>
        <v>0</v>
      </c>
      <c r="N82" s="449"/>
      <c r="O82" s="449">
        <f>D82-L82-M82-N82</f>
        <v>76878</v>
      </c>
      <c r="P82" s="449">
        <f t="shared" si="31"/>
        <v>76878</v>
      </c>
      <c r="Q82" s="482"/>
      <c r="R82" s="449"/>
      <c r="S82" s="449">
        <f t="shared" si="36"/>
        <v>0</v>
      </c>
      <c r="T82" s="449">
        <f t="shared" si="33"/>
        <v>76878</v>
      </c>
      <c r="U82" s="449">
        <f t="shared" si="34"/>
        <v>-76878</v>
      </c>
      <c r="V82" s="449"/>
      <c r="W82" s="449">
        <f t="shared" si="35"/>
        <v>0</v>
      </c>
      <c r="X82" s="449"/>
      <c r="Y82" s="449"/>
      <c r="Z82" s="449"/>
      <c r="AA82" s="449">
        <v>-76878</v>
      </c>
      <c r="AB82" s="448" t="s">
        <v>1444</v>
      </c>
      <c r="AC82" s="448">
        <v>810000</v>
      </c>
      <c r="AD82" s="756"/>
      <c r="AE82" s="756"/>
      <c r="AF82" s="756"/>
      <c r="AG82" s="756"/>
      <c r="AH82" s="756"/>
      <c r="AI82" s="756"/>
      <c r="AJ82" s="756"/>
      <c r="AK82" s="756"/>
      <c r="AL82" s="756"/>
      <c r="AM82" s="756"/>
      <c r="AN82" s="756"/>
      <c r="AO82" s="756"/>
      <c r="AP82" s="756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</row>
    <row r="83" spans="1:58" ht="40.200000000000003" customHeight="1">
      <c r="A83" s="448">
        <f t="shared" si="1"/>
        <v>64</v>
      </c>
      <c r="B83" s="448">
        <v>2157</v>
      </c>
      <c r="C83" s="448" t="s">
        <v>432</v>
      </c>
      <c r="D83" s="449">
        <v>5200000</v>
      </c>
      <c r="E83" s="449">
        <v>5200000</v>
      </c>
      <c r="F83" s="449">
        <f t="shared" si="27"/>
        <v>0</v>
      </c>
      <c r="G83" s="449">
        <v>470000</v>
      </c>
      <c r="H83" s="449">
        <v>98625</v>
      </c>
      <c r="I83" s="449">
        <v>0</v>
      </c>
      <c r="J83" s="449">
        <v>210104</v>
      </c>
      <c r="K83" s="449">
        <f t="shared" si="28"/>
        <v>210104</v>
      </c>
      <c r="L83" s="449">
        <f t="shared" si="29"/>
        <v>308729</v>
      </c>
      <c r="M83" s="449">
        <f>P83+S83-200000+40000</f>
        <v>1271</v>
      </c>
      <c r="N83" s="449"/>
      <c r="O83" s="449">
        <f>D83-L83-M83-N83</f>
        <v>4890000</v>
      </c>
      <c r="P83" s="449">
        <f t="shared" si="31"/>
        <v>161271</v>
      </c>
      <c r="Q83" s="482"/>
      <c r="R83" s="449"/>
      <c r="S83" s="449">
        <f t="shared" si="36"/>
        <v>0</v>
      </c>
      <c r="T83" s="449">
        <f t="shared" si="33"/>
        <v>160000</v>
      </c>
      <c r="U83" s="449">
        <f t="shared" si="34"/>
        <v>-160000</v>
      </c>
      <c r="V83" s="449"/>
      <c r="W83" s="449">
        <f t="shared" si="35"/>
        <v>-160000</v>
      </c>
      <c r="X83" s="449"/>
      <c r="Y83" s="449"/>
      <c r="Z83" s="449"/>
      <c r="AA83" s="448"/>
      <c r="AB83" s="448" t="s">
        <v>1519</v>
      </c>
      <c r="AC83" s="448">
        <v>810000</v>
      </c>
    </row>
    <row r="84" spans="1:58" ht="55.2">
      <c r="A84" s="448">
        <f t="shared" si="1"/>
        <v>65</v>
      </c>
      <c r="B84" s="448">
        <v>2160</v>
      </c>
      <c r="C84" s="3" t="s">
        <v>391</v>
      </c>
      <c r="D84" s="4">
        <v>210000</v>
      </c>
      <c r="E84" s="4">
        <v>210000</v>
      </c>
      <c r="F84" s="4">
        <f t="shared" si="27"/>
        <v>0</v>
      </c>
      <c r="G84" s="4">
        <v>210000</v>
      </c>
      <c r="H84" s="4">
        <v>0</v>
      </c>
      <c r="I84" s="4"/>
      <c r="J84" s="4"/>
      <c r="K84" s="4">
        <f t="shared" si="28"/>
        <v>0</v>
      </c>
      <c r="L84" s="4">
        <f t="shared" si="29"/>
        <v>0</v>
      </c>
      <c r="M84" s="4">
        <f>P84+S84-210000</f>
        <v>0</v>
      </c>
      <c r="N84" s="4"/>
      <c r="O84" s="4">
        <f>D84-M84-N84-L84</f>
        <v>210000</v>
      </c>
      <c r="P84" s="4">
        <f t="shared" si="31"/>
        <v>210000</v>
      </c>
      <c r="Q84" s="355"/>
      <c r="R84" s="4"/>
      <c r="S84" s="4">
        <f t="shared" si="36"/>
        <v>0</v>
      </c>
      <c r="T84" s="4">
        <f t="shared" si="33"/>
        <v>210000</v>
      </c>
      <c r="U84" s="4">
        <f t="shared" si="34"/>
        <v>-210000</v>
      </c>
      <c r="V84" s="4"/>
      <c r="W84" s="449">
        <f t="shared" si="35"/>
        <v>-210000</v>
      </c>
      <c r="X84" s="4"/>
      <c r="Y84" s="4"/>
      <c r="Z84" s="4"/>
      <c r="AA84" s="274"/>
      <c r="AB84" s="3" t="s">
        <v>1445</v>
      </c>
      <c r="AC84" s="3">
        <v>810000</v>
      </c>
      <c r="AQ84" s="16"/>
      <c r="AR84" s="16"/>
      <c r="AS84" s="16"/>
      <c r="AT84" s="16"/>
      <c r="AU84" s="16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</row>
    <row r="85" spans="1:58" ht="30" customHeight="1">
      <c r="A85" s="448">
        <f t="shared" si="1"/>
        <v>66</v>
      </c>
      <c r="B85" s="448">
        <v>2177</v>
      </c>
      <c r="C85" s="448" t="s">
        <v>577</v>
      </c>
      <c r="D85" s="449">
        <v>12500000</v>
      </c>
      <c r="E85" s="449">
        <v>12500000</v>
      </c>
      <c r="F85" s="449">
        <f t="shared" si="27"/>
        <v>0</v>
      </c>
      <c r="G85" s="449">
        <v>12500000</v>
      </c>
      <c r="H85" s="449">
        <v>12273451</v>
      </c>
      <c r="I85" s="449">
        <v>0</v>
      </c>
      <c r="J85" s="449"/>
      <c r="K85" s="449">
        <f t="shared" si="28"/>
        <v>0</v>
      </c>
      <c r="L85" s="449">
        <f t="shared" si="29"/>
        <v>12273451</v>
      </c>
      <c r="M85" s="449">
        <f>P85+S85-226549</f>
        <v>0</v>
      </c>
      <c r="N85" s="449">
        <v>226549</v>
      </c>
      <c r="O85" s="449">
        <f t="shared" ref="O85:O100" si="37">D85-L85-M85-N85</f>
        <v>0</v>
      </c>
      <c r="P85" s="449">
        <f t="shared" si="31"/>
        <v>226549</v>
      </c>
      <c r="Q85" s="482"/>
      <c r="R85" s="449"/>
      <c r="S85" s="449">
        <f t="shared" si="36"/>
        <v>0</v>
      </c>
      <c r="T85" s="449">
        <f t="shared" si="33"/>
        <v>226549</v>
      </c>
      <c r="U85" s="449">
        <f t="shared" si="34"/>
        <v>0</v>
      </c>
      <c r="V85" s="449"/>
      <c r="W85" s="449">
        <f t="shared" si="35"/>
        <v>0</v>
      </c>
      <c r="X85" s="449"/>
      <c r="Y85" s="449"/>
      <c r="Z85" s="449"/>
      <c r="AA85" s="448"/>
      <c r="AB85" s="448" t="s">
        <v>1465</v>
      </c>
      <c r="AC85" s="448">
        <v>810000</v>
      </c>
    </row>
    <row r="86" spans="1:58" ht="64.5" customHeight="1">
      <c r="A86" s="448">
        <f t="shared" ref="A86:A139" si="38">A85+1</f>
        <v>67</v>
      </c>
      <c r="B86" s="448">
        <v>2178</v>
      </c>
      <c r="C86" s="448" t="s">
        <v>433</v>
      </c>
      <c r="D86" s="449">
        <v>15700000</v>
      </c>
      <c r="E86" s="449">
        <v>15700000</v>
      </c>
      <c r="F86" s="449">
        <f t="shared" si="27"/>
        <v>0</v>
      </c>
      <c r="G86" s="449">
        <v>1700000</v>
      </c>
      <c r="H86" s="449">
        <v>1659121</v>
      </c>
      <c r="I86" s="449">
        <v>0</v>
      </c>
      <c r="J86" s="449">
        <v>0</v>
      </c>
      <c r="K86" s="449">
        <f t="shared" si="28"/>
        <v>0</v>
      </c>
      <c r="L86" s="449">
        <f t="shared" si="29"/>
        <v>1659121</v>
      </c>
      <c r="M86" s="449">
        <f>P86+S86-40000</f>
        <v>879</v>
      </c>
      <c r="N86" s="449">
        <v>40000</v>
      </c>
      <c r="O86" s="449">
        <f t="shared" si="37"/>
        <v>14000000</v>
      </c>
      <c r="P86" s="449">
        <f t="shared" si="31"/>
        <v>40879</v>
      </c>
      <c r="Q86" s="482"/>
      <c r="R86" s="449"/>
      <c r="S86" s="449">
        <f t="shared" si="36"/>
        <v>0</v>
      </c>
      <c r="T86" s="449">
        <f t="shared" si="33"/>
        <v>40000</v>
      </c>
      <c r="U86" s="449">
        <f t="shared" si="34"/>
        <v>0</v>
      </c>
      <c r="V86" s="449"/>
      <c r="W86" s="449">
        <f t="shared" si="35"/>
        <v>0</v>
      </c>
      <c r="X86" s="449"/>
      <c r="Y86" s="449"/>
      <c r="Z86" s="449"/>
      <c r="AA86" s="448"/>
      <c r="AB86" s="448" t="s">
        <v>981</v>
      </c>
      <c r="AC86" s="448">
        <v>810000</v>
      </c>
    </row>
    <row r="87" spans="1:58" ht="27.6">
      <c r="A87" s="448">
        <f t="shared" si="38"/>
        <v>68</v>
      </c>
      <c r="B87" s="448">
        <v>2187</v>
      </c>
      <c r="C87" s="448" t="s">
        <v>446</v>
      </c>
      <c r="D87" s="449">
        <f>10600000-450000-250000</f>
        <v>9900000</v>
      </c>
      <c r="E87" s="449">
        <v>10600000</v>
      </c>
      <c r="F87" s="449">
        <f t="shared" si="27"/>
        <v>-700000</v>
      </c>
      <c r="G87" s="449">
        <v>10600000</v>
      </c>
      <c r="H87" s="449">
        <v>9895014</v>
      </c>
      <c r="I87" s="449"/>
      <c r="J87" s="449"/>
      <c r="K87" s="449">
        <f t="shared" si="28"/>
        <v>0</v>
      </c>
      <c r="L87" s="449">
        <f t="shared" si="29"/>
        <v>9895014</v>
      </c>
      <c r="M87" s="449">
        <f>P87+S87-200000-50000</f>
        <v>4986</v>
      </c>
      <c r="N87" s="449"/>
      <c r="O87" s="449">
        <f t="shared" si="37"/>
        <v>0</v>
      </c>
      <c r="P87" s="449">
        <f t="shared" si="31"/>
        <v>704986</v>
      </c>
      <c r="Q87" s="482"/>
      <c r="R87" s="449">
        <v>-450000</v>
      </c>
      <c r="S87" s="449">
        <f t="shared" si="36"/>
        <v>-450000</v>
      </c>
      <c r="T87" s="449">
        <f t="shared" si="33"/>
        <v>250000</v>
      </c>
      <c r="U87" s="449">
        <f t="shared" si="34"/>
        <v>-250000</v>
      </c>
      <c r="V87" s="449"/>
      <c r="W87" s="449">
        <f t="shared" si="35"/>
        <v>-250000</v>
      </c>
      <c r="X87" s="449"/>
      <c r="Y87" s="449"/>
      <c r="Z87" s="449"/>
      <c r="AA87" s="448"/>
      <c r="AB87" s="448" t="s">
        <v>1447</v>
      </c>
      <c r="AC87" s="448">
        <v>810000</v>
      </c>
    </row>
    <row r="88" spans="1:58" ht="48.6" customHeight="1">
      <c r="A88" s="448">
        <f t="shared" si="38"/>
        <v>69</v>
      </c>
      <c r="B88" s="448">
        <v>2211</v>
      </c>
      <c r="C88" s="448" t="s">
        <v>722</v>
      </c>
      <c r="D88" s="449">
        <f>800000-22991</f>
        <v>777009</v>
      </c>
      <c r="E88" s="449">
        <v>800000</v>
      </c>
      <c r="F88" s="449">
        <f t="shared" si="27"/>
        <v>-22991</v>
      </c>
      <c r="G88" s="449">
        <v>800000</v>
      </c>
      <c r="H88" s="449">
        <v>777009</v>
      </c>
      <c r="I88" s="449"/>
      <c r="J88" s="449">
        <v>0</v>
      </c>
      <c r="K88" s="449">
        <f t="shared" si="28"/>
        <v>0</v>
      </c>
      <c r="L88" s="449">
        <f t="shared" si="29"/>
        <v>777009</v>
      </c>
      <c r="M88" s="449">
        <f>P88+S88-22991</f>
        <v>0</v>
      </c>
      <c r="N88" s="449"/>
      <c r="O88" s="449">
        <f t="shared" si="37"/>
        <v>0</v>
      </c>
      <c r="P88" s="449">
        <f t="shared" si="31"/>
        <v>22991</v>
      </c>
      <c r="Q88" s="482"/>
      <c r="R88" s="449"/>
      <c r="S88" s="449">
        <f t="shared" si="36"/>
        <v>0</v>
      </c>
      <c r="T88" s="449">
        <f t="shared" si="33"/>
        <v>22991</v>
      </c>
      <c r="U88" s="449">
        <f t="shared" si="34"/>
        <v>-22991</v>
      </c>
      <c r="V88" s="449"/>
      <c r="W88" s="449">
        <f t="shared" si="35"/>
        <v>-22991</v>
      </c>
      <c r="X88" s="449"/>
      <c r="Y88" s="449"/>
      <c r="Z88" s="449"/>
      <c r="AA88" s="448"/>
      <c r="AB88" s="448" t="s">
        <v>1448</v>
      </c>
      <c r="AC88" s="448">
        <v>810000</v>
      </c>
    </row>
    <row r="89" spans="1:58" ht="27.6">
      <c r="A89" s="448">
        <f t="shared" si="38"/>
        <v>70</v>
      </c>
      <c r="B89" s="448">
        <v>2215</v>
      </c>
      <c r="C89" s="448" t="s">
        <v>450</v>
      </c>
      <c r="D89" s="449">
        <v>420000</v>
      </c>
      <c r="E89" s="449">
        <v>420000</v>
      </c>
      <c r="F89" s="449">
        <f t="shared" si="27"/>
        <v>0</v>
      </c>
      <c r="G89" s="449">
        <v>420000</v>
      </c>
      <c r="H89" s="449">
        <v>396410</v>
      </c>
      <c r="I89" s="449">
        <v>0</v>
      </c>
      <c r="J89" s="449">
        <v>0</v>
      </c>
      <c r="K89" s="449">
        <f t="shared" si="28"/>
        <v>0</v>
      </c>
      <c r="L89" s="449">
        <f t="shared" si="29"/>
        <v>396410</v>
      </c>
      <c r="M89" s="449">
        <f>P89+S89-23590</f>
        <v>0</v>
      </c>
      <c r="N89" s="449"/>
      <c r="O89" s="449">
        <f t="shared" si="37"/>
        <v>23590</v>
      </c>
      <c r="P89" s="449">
        <f t="shared" si="31"/>
        <v>23590</v>
      </c>
      <c r="Q89" s="482"/>
      <c r="R89" s="449"/>
      <c r="S89" s="449">
        <f t="shared" si="36"/>
        <v>0</v>
      </c>
      <c r="T89" s="449">
        <f t="shared" si="33"/>
        <v>23590</v>
      </c>
      <c r="U89" s="449">
        <f t="shared" si="34"/>
        <v>-23590</v>
      </c>
      <c r="V89" s="449"/>
      <c r="W89" s="449">
        <f t="shared" si="35"/>
        <v>0</v>
      </c>
      <c r="X89" s="449"/>
      <c r="Y89" s="449"/>
      <c r="Z89" s="449"/>
      <c r="AA89" s="449">
        <v>-23590</v>
      </c>
      <c r="AB89" s="448" t="s">
        <v>1421</v>
      </c>
      <c r="AC89" s="448">
        <v>810000</v>
      </c>
    </row>
    <row r="90" spans="1:58" s="485" customFormat="1" ht="27.6">
      <c r="A90" s="448">
        <f t="shared" si="38"/>
        <v>71</v>
      </c>
      <c r="B90" s="448">
        <v>2216</v>
      </c>
      <c r="C90" s="448" t="s">
        <v>453</v>
      </c>
      <c r="D90" s="449">
        <v>7500000</v>
      </c>
      <c r="E90" s="449">
        <v>7500000</v>
      </c>
      <c r="F90" s="449">
        <f t="shared" si="27"/>
        <v>0</v>
      </c>
      <c r="G90" s="449">
        <v>7500000</v>
      </c>
      <c r="H90" s="449">
        <v>3371250</v>
      </c>
      <c r="I90" s="449">
        <f>1319550</f>
        <v>1319550</v>
      </c>
      <c r="J90" s="449">
        <f>2537270+108977</f>
        <v>2646247</v>
      </c>
      <c r="K90" s="449">
        <f t="shared" si="28"/>
        <v>3965797</v>
      </c>
      <c r="L90" s="449">
        <f t="shared" si="29"/>
        <v>7337047</v>
      </c>
      <c r="M90" s="449">
        <f>P90+S90-160000</f>
        <v>2953</v>
      </c>
      <c r="N90" s="449">
        <f>270000-110000</f>
        <v>160000</v>
      </c>
      <c r="O90" s="449">
        <f t="shared" si="37"/>
        <v>0</v>
      </c>
      <c r="P90" s="449">
        <f t="shared" si="31"/>
        <v>162953</v>
      </c>
      <c r="Q90" s="482"/>
      <c r="R90" s="449"/>
      <c r="S90" s="449">
        <f t="shared" si="36"/>
        <v>0</v>
      </c>
      <c r="T90" s="449">
        <f t="shared" si="33"/>
        <v>160000</v>
      </c>
      <c r="U90" s="449">
        <f t="shared" si="34"/>
        <v>0</v>
      </c>
      <c r="V90" s="449"/>
      <c r="W90" s="449">
        <f t="shared" si="35"/>
        <v>0</v>
      </c>
      <c r="X90" s="449"/>
      <c r="Y90" s="449"/>
      <c r="Z90" s="449"/>
      <c r="AA90" s="448"/>
      <c r="AB90" s="448" t="s">
        <v>454</v>
      </c>
      <c r="AC90" s="448">
        <v>810000</v>
      </c>
      <c r="AD90" s="756"/>
      <c r="AE90" s="756"/>
      <c r="AF90" s="756"/>
      <c r="AG90" s="756"/>
      <c r="AH90" s="756"/>
      <c r="AI90" s="756"/>
      <c r="AJ90" s="756"/>
      <c r="AK90" s="756"/>
      <c r="AL90" s="756"/>
      <c r="AM90" s="756"/>
      <c r="AN90" s="756"/>
      <c r="AO90" s="756"/>
      <c r="AP90" s="756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</row>
    <row r="91" spans="1:58" ht="48.6" customHeight="1">
      <c r="A91" s="448">
        <f t="shared" si="38"/>
        <v>72</v>
      </c>
      <c r="B91" s="448">
        <v>2225</v>
      </c>
      <c r="C91" s="448" t="s">
        <v>450</v>
      </c>
      <c r="D91" s="449">
        <v>150000</v>
      </c>
      <c r="E91" s="449">
        <v>150000</v>
      </c>
      <c r="F91" s="449">
        <f t="shared" si="27"/>
        <v>0</v>
      </c>
      <c r="G91" s="449">
        <v>150000</v>
      </c>
      <c r="H91" s="449">
        <v>73365</v>
      </c>
      <c r="I91" s="449">
        <v>0</v>
      </c>
      <c r="J91" s="449">
        <v>0</v>
      </c>
      <c r="K91" s="449">
        <f t="shared" si="28"/>
        <v>0</v>
      </c>
      <c r="L91" s="449">
        <f t="shared" si="29"/>
        <v>73365</v>
      </c>
      <c r="M91" s="449">
        <f>P91+S91-60000</f>
        <v>16635</v>
      </c>
      <c r="N91" s="449"/>
      <c r="O91" s="449">
        <f t="shared" si="37"/>
        <v>60000</v>
      </c>
      <c r="P91" s="449">
        <f t="shared" si="31"/>
        <v>76635</v>
      </c>
      <c r="Q91" s="482"/>
      <c r="R91" s="449"/>
      <c r="S91" s="449">
        <f t="shared" si="36"/>
        <v>0</v>
      </c>
      <c r="T91" s="449">
        <f t="shared" si="33"/>
        <v>60000</v>
      </c>
      <c r="U91" s="449">
        <f t="shared" si="34"/>
        <v>-60000</v>
      </c>
      <c r="V91" s="449"/>
      <c r="W91" s="449">
        <f t="shared" si="35"/>
        <v>0</v>
      </c>
      <c r="X91" s="449"/>
      <c r="Y91" s="449"/>
      <c r="Z91" s="449"/>
      <c r="AA91" s="449">
        <v>-60000</v>
      </c>
      <c r="AB91" s="448" t="s">
        <v>1420</v>
      </c>
      <c r="AC91" s="448">
        <v>810000</v>
      </c>
    </row>
    <row r="92" spans="1:58" ht="27.6">
      <c r="A92" s="448">
        <f t="shared" si="38"/>
        <v>73</v>
      </c>
      <c r="B92" s="448">
        <v>2234</v>
      </c>
      <c r="C92" s="448" t="s">
        <v>580</v>
      </c>
      <c r="D92" s="449">
        <v>270000</v>
      </c>
      <c r="E92" s="449">
        <v>270000</v>
      </c>
      <c r="F92" s="449">
        <f t="shared" si="27"/>
        <v>0</v>
      </c>
      <c r="G92" s="449">
        <v>270000</v>
      </c>
      <c r="H92" s="449">
        <v>197586</v>
      </c>
      <c r="I92" s="449">
        <v>0</v>
      </c>
      <c r="J92" s="449">
        <v>0</v>
      </c>
      <c r="K92" s="449">
        <f t="shared" si="28"/>
        <v>0</v>
      </c>
      <c r="L92" s="449">
        <f t="shared" si="29"/>
        <v>197586</v>
      </c>
      <c r="M92" s="449">
        <f>P92+S92-70000</f>
        <v>2414</v>
      </c>
      <c r="N92" s="449">
        <v>70000</v>
      </c>
      <c r="O92" s="449">
        <f t="shared" si="37"/>
        <v>0</v>
      </c>
      <c r="P92" s="449">
        <f t="shared" si="31"/>
        <v>72414</v>
      </c>
      <c r="Q92" s="482"/>
      <c r="R92" s="449"/>
      <c r="S92" s="449">
        <f t="shared" si="36"/>
        <v>0</v>
      </c>
      <c r="T92" s="449">
        <f t="shared" si="33"/>
        <v>70000</v>
      </c>
      <c r="U92" s="449">
        <f t="shared" si="34"/>
        <v>0</v>
      </c>
      <c r="V92" s="449"/>
      <c r="W92" s="449">
        <f t="shared" si="35"/>
        <v>0</v>
      </c>
      <c r="X92" s="449"/>
      <c r="Y92" s="449"/>
      <c r="Z92" s="449"/>
      <c r="AA92" s="448"/>
      <c r="AB92" s="448" t="s">
        <v>582</v>
      </c>
      <c r="AC92" s="448">
        <v>810000</v>
      </c>
    </row>
    <row r="93" spans="1:58" ht="30" customHeight="1">
      <c r="A93" s="448">
        <f t="shared" si="38"/>
        <v>74</v>
      </c>
      <c r="B93" s="448">
        <v>2236</v>
      </c>
      <c r="C93" s="448" t="s">
        <v>580</v>
      </c>
      <c r="D93" s="449">
        <v>180000</v>
      </c>
      <c r="E93" s="449">
        <v>180000</v>
      </c>
      <c r="F93" s="449">
        <f t="shared" si="27"/>
        <v>0</v>
      </c>
      <c r="G93" s="449">
        <v>180000</v>
      </c>
      <c r="H93" s="449">
        <v>116522</v>
      </c>
      <c r="I93" s="449">
        <v>0</v>
      </c>
      <c r="J93" s="449">
        <v>0</v>
      </c>
      <c r="K93" s="449">
        <f t="shared" si="28"/>
        <v>0</v>
      </c>
      <c r="L93" s="449">
        <f t="shared" si="29"/>
        <v>116522</v>
      </c>
      <c r="M93" s="449">
        <f>P93+S93-60000</f>
        <v>3478</v>
      </c>
      <c r="N93" s="449">
        <v>60000</v>
      </c>
      <c r="O93" s="449">
        <f t="shared" si="37"/>
        <v>0</v>
      </c>
      <c r="P93" s="449">
        <f t="shared" si="31"/>
        <v>63478</v>
      </c>
      <c r="Q93" s="482"/>
      <c r="R93" s="449"/>
      <c r="S93" s="449">
        <f t="shared" si="36"/>
        <v>0</v>
      </c>
      <c r="T93" s="449">
        <f t="shared" si="33"/>
        <v>60000</v>
      </c>
      <c r="U93" s="449">
        <f t="shared" si="34"/>
        <v>0</v>
      </c>
      <c r="V93" s="449"/>
      <c r="W93" s="449">
        <f t="shared" si="35"/>
        <v>0</v>
      </c>
      <c r="X93" s="449"/>
      <c r="Y93" s="449"/>
      <c r="Z93" s="449"/>
      <c r="AA93" s="448"/>
      <c r="AB93" s="448" t="s">
        <v>847</v>
      </c>
      <c r="AC93" s="448">
        <v>810000</v>
      </c>
    </row>
    <row r="94" spans="1:58" ht="27.6">
      <c r="A94" s="448">
        <f t="shared" si="38"/>
        <v>75</v>
      </c>
      <c r="B94" s="448">
        <v>2242</v>
      </c>
      <c r="C94" s="448" t="s">
        <v>715</v>
      </c>
      <c r="D94" s="449">
        <v>93079</v>
      </c>
      <c r="E94" s="449">
        <v>93079</v>
      </c>
      <c r="F94" s="449">
        <f t="shared" si="27"/>
        <v>0</v>
      </c>
      <c r="G94" s="449">
        <v>93079</v>
      </c>
      <c r="H94" s="449">
        <v>17667</v>
      </c>
      <c r="I94" s="449">
        <v>0</v>
      </c>
      <c r="J94" s="449">
        <v>0</v>
      </c>
      <c r="K94" s="449">
        <f t="shared" si="28"/>
        <v>0</v>
      </c>
      <c r="L94" s="449">
        <f t="shared" si="29"/>
        <v>17667</v>
      </c>
      <c r="M94" s="449">
        <f>P94+S94-75000</f>
        <v>412</v>
      </c>
      <c r="N94" s="449">
        <v>75000</v>
      </c>
      <c r="O94" s="449">
        <f t="shared" si="37"/>
        <v>0</v>
      </c>
      <c r="P94" s="449">
        <f t="shared" si="31"/>
        <v>75412</v>
      </c>
      <c r="Q94" s="482"/>
      <c r="R94" s="449"/>
      <c r="S94" s="449">
        <f t="shared" si="36"/>
        <v>0</v>
      </c>
      <c r="T94" s="449">
        <f t="shared" si="33"/>
        <v>75000</v>
      </c>
      <c r="U94" s="449">
        <f t="shared" si="34"/>
        <v>0</v>
      </c>
      <c r="V94" s="449"/>
      <c r="W94" s="449">
        <f t="shared" si="35"/>
        <v>0</v>
      </c>
      <c r="X94" s="449"/>
      <c r="Y94" s="449"/>
      <c r="Z94" s="449"/>
      <c r="AA94" s="448"/>
      <c r="AB94" s="448" t="s">
        <v>849</v>
      </c>
      <c r="AC94" s="448">
        <v>810000</v>
      </c>
    </row>
    <row r="95" spans="1:58" ht="99.6" customHeight="1">
      <c r="A95" s="448">
        <f t="shared" si="38"/>
        <v>76</v>
      </c>
      <c r="B95" s="448">
        <v>20030</v>
      </c>
      <c r="C95" s="448" t="s">
        <v>617</v>
      </c>
      <c r="D95" s="449">
        <f>45150000+10000000+700000-800000</f>
        <v>55050000</v>
      </c>
      <c r="E95" s="449">
        <f>45150000+2700000</f>
        <v>47850000</v>
      </c>
      <c r="F95" s="449">
        <f t="shared" si="27"/>
        <v>7200000</v>
      </c>
      <c r="G95" s="449">
        <v>45150000</v>
      </c>
      <c r="H95" s="449">
        <v>44532460</v>
      </c>
      <c r="I95" s="449">
        <v>0</v>
      </c>
      <c r="J95" s="449">
        <f>26823+76966+118416+24912+1831+15756+1056+3874+149580+198520+31839+8967+139698+58207+58207</f>
        <v>914652</v>
      </c>
      <c r="K95" s="449">
        <f t="shared" si="28"/>
        <v>914652</v>
      </c>
      <c r="L95" s="449">
        <f t="shared" si="29"/>
        <v>45447112</v>
      </c>
      <c r="M95" s="449">
        <f>P95+S95-2000000-200000-150000-50000</f>
        <v>2888</v>
      </c>
      <c r="N95" s="488">
        <f>31000000-21000000-450000+50000</f>
        <v>9600000</v>
      </c>
      <c r="O95" s="449">
        <f t="shared" si="37"/>
        <v>0</v>
      </c>
      <c r="P95" s="449">
        <f t="shared" si="31"/>
        <v>-297112</v>
      </c>
      <c r="Q95" s="489"/>
      <c r="R95" s="488">
        <v>2700000</v>
      </c>
      <c r="S95" s="488">
        <f t="shared" si="36"/>
        <v>2700000</v>
      </c>
      <c r="T95" s="488">
        <f t="shared" si="33"/>
        <v>2400000</v>
      </c>
      <c r="U95" s="449">
        <f t="shared" si="34"/>
        <v>7200000</v>
      </c>
      <c r="V95" s="449">
        <v>1450000</v>
      </c>
      <c r="W95" s="449">
        <f t="shared" si="35"/>
        <v>5139500</v>
      </c>
      <c r="X95" s="449"/>
      <c r="Y95" s="449"/>
      <c r="Z95" s="449"/>
      <c r="AA95" s="449">
        <f>40500+285000+114000+171000</f>
        <v>610500</v>
      </c>
      <c r="AB95" s="448" t="s">
        <v>1395</v>
      </c>
      <c r="AC95" s="448">
        <v>810000</v>
      </c>
    </row>
    <row r="96" spans="1:58" s="756" customFormat="1" ht="69.599999999999994" customHeight="1">
      <c r="A96" s="448">
        <f t="shared" si="38"/>
        <v>77</v>
      </c>
      <c r="B96" s="448">
        <v>20036</v>
      </c>
      <c r="C96" s="448" t="s">
        <v>620</v>
      </c>
      <c r="D96" s="449">
        <f>6375000-2464</f>
        <v>6372536</v>
      </c>
      <c r="E96" s="449">
        <v>6375000</v>
      </c>
      <c r="F96" s="449">
        <f t="shared" si="27"/>
        <v>-2464</v>
      </c>
      <c r="G96" s="449">
        <v>6375000</v>
      </c>
      <c r="H96" s="449">
        <v>6372536</v>
      </c>
      <c r="I96" s="449">
        <v>0</v>
      </c>
      <c r="J96" s="449"/>
      <c r="K96" s="449">
        <f t="shared" si="28"/>
        <v>0</v>
      </c>
      <c r="L96" s="449">
        <f t="shared" si="29"/>
        <v>6372536</v>
      </c>
      <c r="M96" s="449">
        <f>P96+S96-2464</f>
        <v>0</v>
      </c>
      <c r="N96" s="449"/>
      <c r="O96" s="449">
        <f t="shared" si="37"/>
        <v>0</v>
      </c>
      <c r="P96" s="449">
        <f t="shared" si="31"/>
        <v>2464</v>
      </c>
      <c r="Q96" s="482"/>
      <c r="R96" s="449"/>
      <c r="S96" s="449">
        <f t="shared" si="36"/>
        <v>0</v>
      </c>
      <c r="T96" s="449">
        <f t="shared" si="33"/>
        <v>2464</v>
      </c>
      <c r="U96" s="449">
        <f t="shared" si="34"/>
        <v>-2464</v>
      </c>
      <c r="V96" s="449"/>
      <c r="W96" s="449">
        <f t="shared" si="35"/>
        <v>-2464</v>
      </c>
      <c r="X96" s="449"/>
      <c r="Y96" s="449"/>
      <c r="Z96" s="449"/>
      <c r="AA96" s="448"/>
      <c r="AB96" s="448" t="s">
        <v>1468</v>
      </c>
      <c r="AC96" s="448">
        <v>810000</v>
      </c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756" customFormat="1" ht="41.4">
      <c r="A97" s="448">
        <f t="shared" si="38"/>
        <v>78</v>
      </c>
      <c r="B97" s="448">
        <v>20054</v>
      </c>
      <c r="C97" s="448" t="s">
        <v>717</v>
      </c>
      <c r="D97" s="449">
        <f>1400000-140000</f>
        <v>1260000</v>
      </c>
      <c r="E97" s="449">
        <v>1400000</v>
      </c>
      <c r="F97" s="449">
        <f t="shared" si="27"/>
        <v>-140000</v>
      </c>
      <c r="G97" s="449">
        <v>1400000</v>
      </c>
      <c r="H97" s="449">
        <v>1251321</v>
      </c>
      <c r="I97" s="449">
        <v>0</v>
      </c>
      <c r="J97" s="449">
        <v>0</v>
      </c>
      <c r="K97" s="449">
        <f t="shared" si="28"/>
        <v>0</v>
      </c>
      <c r="L97" s="449">
        <f t="shared" si="29"/>
        <v>1251321</v>
      </c>
      <c r="M97" s="449">
        <f>P97+S97-140000</f>
        <v>8679</v>
      </c>
      <c r="N97" s="449"/>
      <c r="O97" s="449">
        <f t="shared" si="37"/>
        <v>0</v>
      </c>
      <c r="P97" s="449">
        <f t="shared" si="31"/>
        <v>148679</v>
      </c>
      <c r="Q97" s="482"/>
      <c r="R97" s="449"/>
      <c r="S97" s="449">
        <f t="shared" si="36"/>
        <v>0</v>
      </c>
      <c r="T97" s="449">
        <f t="shared" si="33"/>
        <v>140000</v>
      </c>
      <c r="U97" s="449">
        <f t="shared" si="34"/>
        <v>-140000</v>
      </c>
      <c r="V97" s="449">
        <v>-140000</v>
      </c>
      <c r="W97" s="449">
        <f t="shared" si="35"/>
        <v>0</v>
      </c>
      <c r="X97" s="449"/>
      <c r="Y97" s="449"/>
      <c r="Z97" s="449"/>
      <c r="AA97" s="448"/>
      <c r="AB97" s="448" t="s">
        <v>1450</v>
      </c>
      <c r="AC97" s="448">
        <v>810000</v>
      </c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756" customFormat="1">
      <c r="A98" s="448">
        <f t="shared" si="38"/>
        <v>79</v>
      </c>
      <c r="B98" s="448">
        <v>20073</v>
      </c>
      <c r="C98" s="448" t="s">
        <v>802</v>
      </c>
      <c r="D98" s="449">
        <v>300000</v>
      </c>
      <c r="E98" s="449">
        <v>300000</v>
      </c>
      <c r="F98" s="449">
        <f t="shared" si="27"/>
        <v>0</v>
      </c>
      <c r="G98" s="449">
        <v>300000</v>
      </c>
      <c r="H98" s="449">
        <v>59989</v>
      </c>
      <c r="I98" s="449">
        <v>0</v>
      </c>
      <c r="J98" s="449"/>
      <c r="K98" s="449">
        <f t="shared" si="28"/>
        <v>0</v>
      </c>
      <c r="L98" s="449">
        <f t="shared" si="29"/>
        <v>59989</v>
      </c>
      <c r="M98" s="449">
        <f>P98+S98-240000</f>
        <v>11</v>
      </c>
      <c r="N98" s="449">
        <v>240000</v>
      </c>
      <c r="O98" s="449">
        <f t="shared" si="37"/>
        <v>0</v>
      </c>
      <c r="P98" s="449">
        <f t="shared" si="31"/>
        <v>240011</v>
      </c>
      <c r="Q98" s="482"/>
      <c r="R98" s="449"/>
      <c r="S98" s="449">
        <f t="shared" si="36"/>
        <v>0</v>
      </c>
      <c r="T98" s="449">
        <f t="shared" si="33"/>
        <v>240000</v>
      </c>
      <c r="U98" s="449">
        <f t="shared" si="34"/>
        <v>0</v>
      </c>
      <c r="V98" s="449"/>
      <c r="W98" s="449">
        <f t="shared" si="35"/>
        <v>0</v>
      </c>
      <c r="X98" s="449"/>
      <c r="Y98" s="449"/>
      <c r="Z98" s="449"/>
      <c r="AA98" s="448"/>
      <c r="AB98" s="448" t="s">
        <v>463</v>
      </c>
      <c r="AC98" s="448">
        <v>810000</v>
      </c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756" customFormat="1" ht="66.599999999999994" customHeight="1">
      <c r="A99" s="448">
        <f t="shared" si="38"/>
        <v>80</v>
      </c>
      <c r="B99" s="448">
        <v>20086</v>
      </c>
      <c r="C99" s="448" t="s">
        <v>802</v>
      </c>
      <c r="D99" s="449">
        <v>60000</v>
      </c>
      <c r="E99" s="449">
        <v>60000</v>
      </c>
      <c r="F99" s="449">
        <f t="shared" si="27"/>
        <v>0</v>
      </c>
      <c r="G99" s="449">
        <v>60000</v>
      </c>
      <c r="H99" s="449">
        <v>0</v>
      </c>
      <c r="I99" s="449">
        <v>0</v>
      </c>
      <c r="J99" s="449">
        <v>0</v>
      </c>
      <c r="K99" s="449">
        <f t="shared" si="28"/>
        <v>0</v>
      </c>
      <c r="L99" s="449">
        <f t="shared" si="29"/>
        <v>0</v>
      </c>
      <c r="M99" s="449">
        <f>P99+S99-60000</f>
        <v>0</v>
      </c>
      <c r="N99" s="449">
        <v>60000</v>
      </c>
      <c r="O99" s="449">
        <f t="shared" si="37"/>
        <v>0</v>
      </c>
      <c r="P99" s="449">
        <f t="shared" si="31"/>
        <v>60000</v>
      </c>
      <c r="Q99" s="482"/>
      <c r="R99" s="449"/>
      <c r="S99" s="449">
        <f t="shared" si="36"/>
        <v>0</v>
      </c>
      <c r="T99" s="449">
        <f t="shared" si="33"/>
        <v>60000</v>
      </c>
      <c r="U99" s="449">
        <f t="shared" si="34"/>
        <v>0</v>
      </c>
      <c r="V99" s="449"/>
      <c r="W99" s="449">
        <f t="shared" si="35"/>
        <v>0</v>
      </c>
      <c r="X99" s="449"/>
      <c r="Y99" s="449"/>
      <c r="Z99" s="449"/>
      <c r="AA99" s="448"/>
      <c r="AB99" s="448" t="s">
        <v>950</v>
      </c>
      <c r="AC99" s="448">
        <v>810000</v>
      </c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s="756" customFormat="1" ht="41.4">
      <c r="A100" s="448">
        <f t="shared" si="38"/>
        <v>81</v>
      </c>
      <c r="B100" s="448">
        <v>20088</v>
      </c>
      <c r="C100" s="448" t="s">
        <v>935</v>
      </c>
      <c r="D100" s="449">
        <v>30000</v>
      </c>
      <c r="E100" s="449">
        <v>30000</v>
      </c>
      <c r="F100" s="449">
        <f t="shared" si="27"/>
        <v>0</v>
      </c>
      <c r="G100" s="449">
        <v>30000</v>
      </c>
      <c r="H100" s="449">
        <v>0</v>
      </c>
      <c r="I100" s="449">
        <v>0</v>
      </c>
      <c r="J100" s="449">
        <v>0</v>
      </c>
      <c r="K100" s="449">
        <f t="shared" si="28"/>
        <v>0</v>
      </c>
      <c r="L100" s="449">
        <f t="shared" si="29"/>
        <v>0</v>
      </c>
      <c r="M100" s="449">
        <f>P100+S100-30000</f>
        <v>0</v>
      </c>
      <c r="N100" s="449">
        <v>30000</v>
      </c>
      <c r="O100" s="449">
        <f t="shared" si="37"/>
        <v>0</v>
      </c>
      <c r="P100" s="449">
        <f t="shared" si="31"/>
        <v>30000</v>
      </c>
      <c r="Q100" s="482"/>
      <c r="R100" s="449"/>
      <c r="S100" s="449">
        <f t="shared" si="36"/>
        <v>0</v>
      </c>
      <c r="T100" s="449">
        <f t="shared" si="33"/>
        <v>30000</v>
      </c>
      <c r="U100" s="449">
        <f t="shared" si="34"/>
        <v>0</v>
      </c>
      <c r="V100" s="449"/>
      <c r="W100" s="449">
        <f t="shared" si="35"/>
        <v>0</v>
      </c>
      <c r="X100" s="449"/>
      <c r="Y100" s="449"/>
      <c r="Z100" s="449"/>
      <c r="AA100" s="448"/>
      <c r="AB100" s="448" t="s">
        <v>951</v>
      </c>
      <c r="AC100" s="448">
        <v>810000</v>
      </c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</row>
    <row r="101" spans="1:58" s="819" customFormat="1">
      <c r="A101" s="512"/>
      <c r="B101" s="512"/>
      <c r="C101" s="512" t="s">
        <v>1562</v>
      </c>
      <c r="D101" s="425">
        <f>SUM(D69:D100)</f>
        <v>282921204</v>
      </c>
      <c r="E101" s="425">
        <f t="shared" ref="E101:AA101" si="39">SUM(E69:E100)</f>
        <v>256517079</v>
      </c>
      <c r="F101" s="425">
        <f t="shared" si="39"/>
        <v>26404125</v>
      </c>
      <c r="G101" s="425">
        <f t="shared" si="39"/>
        <v>203479056</v>
      </c>
      <c r="H101" s="425">
        <f t="shared" si="39"/>
        <v>184802695</v>
      </c>
      <c r="I101" s="425">
        <f t="shared" si="39"/>
        <v>1679392</v>
      </c>
      <c r="J101" s="425">
        <f t="shared" si="39"/>
        <v>7323294</v>
      </c>
      <c r="K101" s="425">
        <f t="shared" si="39"/>
        <v>9002686</v>
      </c>
      <c r="L101" s="425">
        <f t="shared" si="39"/>
        <v>193805381</v>
      </c>
      <c r="M101" s="425">
        <f t="shared" si="39"/>
        <v>71806</v>
      </c>
      <c r="N101" s="425">
        <f t="shared" si="39"/>
        <v>16546549</v>
      </c>
      <c r="O101" s="425">
        <f t="shared" si="39"/>
        <v>72497468</v>
      </c>
      <c r="P101" s="425">
        <f t="shared" si="39"/>
        <v>9673675</v>
      </c>
      <c r="Q101" s="425">
        <f t="shared" si="39"/>
        <v>0</v>
      </c>
      <c r="R101" s="425">
        <f t="shared" si="39"/>
        <v>2250000</v>
      </c>
      <c r="S101" s="425">
        <f t="shared" si="39"/>
        <v>2250000</v>
      </c>
      <c r="T101" s="425">
        <f t="shared" si="39"/>
        <v>11851869</v>
      </c>
      <c r="U101" s="425">
        <f t="shared" si="39"/>
        <v>4694680</v>
      </c>
      <c r="V101" s="425">
        <f t="shared" si="39"/>
        <v>-1992000</v>
      </c>
      <c r="W101" s="425">
        <f t="shared" si="39"/>
        <v>6519554</v>
      </c>
      <c r="X101" s="425">
        <f t="shared" si="39"/>
        <v>0</v>
      </c>
      <c r="Y101" s="425">
        <f t="shared" si="39"/>
        <v>0</v>
      </c>
      <c r="Z101" s="425">
        <f t="shared" si="39"/>
        <v>0</v>
      </c>
      <c r="AA101" s="425">
        <f t="shared" si="39"/>
        <v>167126</v>
      </c>
      <c r="AB101" s="512"/>
      <c r="AC101" s="512"/>
      <c r="AQ101" s="409"/>
      <c r="AR101" s="409"/>
      <c r="AS101" s="409"/>
      <c r="AT101" s="409"/>
      <c r="AU101" s="409"/>
      <c r="AV101" s="409"/>
      <c r="AW101" s="409"/>
      <c r="AX101" s="409"/>
      <c r="AY101" s="409"/>
      <c r="AZ101" s="409"/>
      <c r="BA101" s="409"/>
      <c r="BB101" s="409"/>
      <c r="BC101" s="409"/>
      <c r="BD101" s="409"/>
      <c r="BE101" s="409"/>
      <c r="BF101" s="409"/>
    </row>
    <row r="102" spans="1:58" s="819" customFormat="1">
      <c r="A102" s="512"/>
      <c r="B102" s="512"/>
      <c r="C102" s="512">
        <v>82</v>
      </c>
      <c r="D102" s="425"/>
      <c r="E102" s="425"/>
      <c r="F102" s="425"/>
      <c r="G102" s="425"/>
      <c r="H102" s="425"/>
      <c r="I102" s="425"/>
      <c r="J102" s="425"/>
      <c r="K102" s="425"/>
      <c r="L102" s="425"/>
      <c r="M102" s="425"/>
      <c r="N102" s="425"/>
      <c r="O102" s="425"/>
      <c r="P102" s="425"/>
      <c r="Q102" s="820"/>
      <c r="R102" s="425"/>
      <c r="S102" s="425"/>
      <c r="T102" s="425"/>
      <c r="U102" s="425"/>
      <c r="V102" s="425"/>
      <c r="W102" s="425"/>
      <c r="X102" s="425"/>
      <c r="Y102" s="425"/>
      <c r="Z102" s="425"/>
      <c r="AA102" s="512"/>
      <c r="AB102" s="512"/>
      <c r="AC102" s="512"/>
      <c r="AQ102" s="409"/>
      <c r="AR102" s="409"/>
      <c r="AS102" s="409"/>
      <c r="AT102" s="409"/>
      <c r="AU102" s="409"/>
      <c r="AV102" s="409"/>
      <c r="AW102" s="409"/>
      <c r="AX102" s="409"/>
      <c r="AY102" s="409"/>
      <c r="AZ102" s="409"/>
      <c r="BA102" s="409"/>
      <c r="BB102" s="409"/>
      <c r="BC102" s="409"/>
      <c r="BD102" s="409"/>
      <c r="BE102" s="409"/>
      <c r="BF102" s="409"/>
    </row>
    <row r="103" spans="1:58" s="756" customFormat="1" ht="35.4" customHeight="1">
      <c r="A103" s="448">
        <f>A100+1</f>
        <v>82</v>
      </c>
      <c r="B103" s="448">
        <v>20065</v>
      </c>
      <c r="C103" s="448" t="s">
        <v>740</v>
      </c>
      <c r="D103" s="449">
        <f>7611000-11000</f>
        <v>7600000</v>
      </c>
      <c r="E103" s="449">
        <v>3200000</v>
      </c>
      <c r="F103" s="449">
        <f t="shared" ref="F103:F111" si="40">D103-E103</f>
        <v>4400000</v>
      </c>
      <c r="G103" s="449">
        <v>3200000</v>
      </c>
      <c r="H103" s="449">
        <v>2001616</v>
      </c>
      <c r="I103" s="449">
        <v>0</v>
      </c>
      <c r="J103" s="449">
        <f>998375</f>
        <v>998375</v>
      </c>
      <c r="K103" s="449">
        <f t="shared" ref="K103:K111" si="41">I103+J103</f>
        <v>998375</v>
      </c>
      <c r="L103" s="449">
        <f t="shared" ref="L103:L111" si="42">H103+K103</f>
        <v>2999991</v>
      </c>
      <c r="M103" s="449">
        <f>P103+S103-200000</f>
        <v>9</v>
      </c>
      <c r="N103" s="449">
        <f>7611000-3200000-11000+200000</f>
        <v>4600000</v>
      </c>
      <c r="O103" s="449">
        <f t="shared" ref="O103:O111" si="43">D103-L103-M103-N103</f>
        <v>0</v>
      </c>
      <c r="P103" s="449">
        <f t="shared" ref="P103:P111" si="44">G103-L103</f>
        <v>200009</v>
      </c>
      <c r="Q103" s="482"/>
      <c r="R103" s="449"/>
      <c r="S103" s="449">
        <f t="shared" ref="S103:S111" si="45">SUM(Q103:R103)</f>
        <v>0</v>
      </c>
      <c r="T103" s="449">
        <f t="shared" ref="T103:T111" si="46">P103-M103+S103</f>
        <v>200000</v>
      </c>
      <c r="U103" s="449">
        <f t="shared" ref="U103:U111" si="47">N103-T103</f>
        <v>4400000</v>
      </c>
      <c r="V103" s="449">
        <v>4400000</v>
      </c>
      <c r="W103" s="449">
        <f t="shared" ref="W103:W111" si="48">U103-AA103-V103-Y103</f>
        <v>0</v>
      </c>
      <c r="X103" s="449"/>
      <c r="Y103" s="449"/>
      <c r="Z103" s="449"/>
      <c r="AA103" s="448"/>
      <c r="AB103" s="448" t="s">
        <v>859</v>
      </c>
      <c r="AC103" s="448">
        <v>824000</v>
      </c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</row>
    <row r="104" spans="1:58" s="756" customFormat="1" ht="44.4" customHeight="1">
      <c r="A104" s="448">
        <f t="shared" si="38"/>
        <v>83</v>
      </c>
      <c r="B104" s="448">
        <v>20037</v>
      </c>
      <c r="C104" s="448" t="s">
        <v>621</v>
      </c>
      <c r="D104" s="449">
        <v>2200000</v>
      </c>
      <c r="E104" s="449">
        <v>2200000</v>
      </c>
      <c r="F104" s="449">
        <f t="shared" si="40"/>
        <v>0</v>
      </c>
      <c r="G104" s="449">
        <v>2200000</v>
      </c>
      <c r="H104" s="449">
        <v>2199700</v>
      </c>
      <c r="I104" s="449">
        <v>0</v>
      </c>
      <c r="J104" s="449">
        <v>0</v>
      </c>
      <c r="K104" s="449">
        <f t="shared" si="41"/>
        <v>0</v>
      </c>
      <c r="L104" s="449">
        <f t="shared" si="42"/>
        <v>2199700</v>
      </c>
      <c r="M104" s="449">
        <f>P104+S104</f>
        <v>300</v>
      </c>
      <c r="N104" s="449"/>
      <c r="O104" s="449">
        <f t="shared" si="43"/>
        <v>0</v>
      </c>
      <c r="P104" s="449">
        <f t="shared" si="44"/>
        <v>300</v>
      </c>
      <c r="Q104" s="482"/>
      <c r="R104" s="449"/>
      <c r="S104" s="449">
        <f t="shared" si="45"/>
        <v>0</v>
      </c>
      <c r="T104" s="449">
        <f t="shared" si="46"/>
        <v>0</v>
      </c>
      <c r="U104" s="449">
        <f t="shared" si="47"/>
        <v>0</v>
      </c>
      <c r="V104" s="449"/>
      <c r="W104" s="449">
        <f t="shared" si="48"/>
        <v>0</v>
      </c>
      <c r="X104" s="449"/>
      <c r="Y104" s="449"/>
      <c r="Z104" s="449"/>
      <c r="AA104" s="448"/>
      <c r="AB104" s="448" t="s">
        <v>1521</v>
      </c>
      <c r="AC104" s="448">
        <v>826000</v>
      </c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</row>
    <row r="105" spans="1:58" s="756" customFormat="1">
      <c r="A105" s="448">
        <f t="shared" si="38"/>
        <v>84</v>
      </c>
      <c r="B105" s="448">
        <v>20122</v>
      </c>
      <c r="C105" s="135" t="s">
        <v>1347</v>
      </c>
      <c r="D105" s="120">
        <f>850000-250000</f>
        <v>600000</v>
      </c>
      <c r="E105" s="120"/>
      <c r="F105" s="120">
        <f t="shared" si="40"/>
        <v>600000</v>
      </c>
      <c r="G105" s="120">
        <v>0</v>
      </c>
      <c r="H105" s="120"/>
      <c r="I105" s="120"/>
      <c r="J105" s="120"/>
      <c r="K105" s="120">
        <f t="shared" si="41"/>
        <v>0</v>
      </c>
      <c r="L105" s="120">
        <f t="shared" si="42"/>
        <v>0</v>
      </c>
      <c r="M105" s="120">
        <f>P105+S105</f>
        <v>0</v>
      </c>
      <c r="N105" s="120">
        <f>850000-250000</f>
        <v>600000</v>
      </c>
      <c r="O105" s="120">
        <f t="shared" si="43"/>
        <v>0</v>
      </c>
      <c r="P105" s="120">
        <f t="shared" si="44"/>
        <v>0</v>
      </c>
      <c r="Q105" s="120"/>
      <c r="R105" s="120"/>
      <c r="S105" s="120">
        <f t="shared" si="45"/>
        <v>0</v>
      </c>
      <c r="T105" s="120">
        <f t="shared" si="46"/>
        <v>0</v>
      </c>
      <c r="U105" s="449">
        <f t="shared" si="47"/>
        <v>600000</v>
      </c>
      <c r="V105" s="120"/>
      <c r="W105" s="449">
        <f t="shared" si="48"/>
        <v>600000</v>
      </c>
      <c r="X105" s="120"/>
      <c r="Y105" s="120"/>
      <c r="Z105" s="120"/>
      <c r="AA105" s="120"/>
      <c r="AB105" s="448" t="s">
        <v>1365</v>
      </c>
      <c r="AC105" s="448">
        <v>826000</v>
      </c>
      <c r="AQ105"/>
      <c r="AR105" s="465"/>
      <c r="AS105" s="465"/>
      <c r="AT105" s="465"/>
      <c r="AU105" s="465"/>
      <c r="AV105" s="465"/>
      <c r="AW105" s="465"/>
      <c r="AX105" s="272"/>
      <c r="AY105" s="272"/>
      <c r="AZ105" s="272"/>
      <c r="BA105" s="272"/>
      <c r="BB105" s="272"/>
      <c r="BC105" s="272"/>
      <c r="BD105" s="272"/>
      <c r="BE105" s="272"/>
      <c r="BF105" s="272"/>
    </row>
    <row r="106" spans="1:58" s="756" customFormat="1" ht="66.599999999999994" customHeight="1">
      <c r="A106" s="448">
        <f t="shared" si="38"/>
        <v>85</v>
      </c>
      <c r="B106" s="448">
        <v>20034</v>
      </c>
      <c r="C106" s="448" t="s">
        <v>982</v>
      </c>
      <c r="D106" s="449">
        <v>4000000</v>
      </c>
      <c r="E106" s="449">
        <v>4000000</v>
      </c>
      <c r="F106" s="449">
        <f t="shared" si="40"/>
        <v>0</v>
      </c>
      <c r="G106" s="449">
        <v>3000000</v>
      </c>
      <c r="H106" s="449">
        <v>1584796</v>
      </c>
      <c r="I106" s="449">
        <v>0</v>
      </c>
      <c r="J106" s="449"/>
      <c r="K106" s="449">
        <f t="shared" si="41"/>
        <v>0</v>
      </c>
      <c r="L106" s="449">
        <f t="shared" si="42"/>
        <v>1584796</v>
      </c>
      <c r="M106" s="449">
        <f>P106+S106-1400000</f>
        <v>15204</v>
      </c>
      <c r="N106" s="449">
        <v>1400000</v>
      </c>
      <c r="O106" s="449">
        <f t="shared" si="43"/>
        <v>1000000</v>
      </c>
      <c r="P106" s="449">
        <f t="shared" si="44"/>
        <v>1415204</v>
      </c>
      <c r="Q106" s="482"/>
      <c r="R106" s="449"/>
      <c r="S106" s="449">
        <f t="shared" si="45"/>
        <v>0</v>
      </c>
      <c r="T106" s="449">
        <f t="shared" si="46"/>
        <v>1400000</v>
      </c>
      <c r="U106" s="449">
        <f t="shared" si="47"/>
        <v>0</v>
      </c>
      <c r="V106" s="449"/>
      <c r="W106" s="449">
        <f t="shared" si="48"/>
        <v>0</v>
      </c>
      <c r="X106" s="449"/>
      <c r="Y106" s="449"/>
      <c r="Z106" s="449"/>
      <c r="AA106" s="448"/>
      <c r="AB106" s="448" t="s">
        <v>767</v>
      </c>
      <c r="AC106" s="448">
        <v>828000</v>
      </c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</row>
    <row r="107" spans="1:58" s="756" customFormat="1" ht="40.200000000000003" customHeight="1">
      <c r="A107" s="448">
        <f t="shared" si="38"/>
        <v>86</v>
      </c>
      <c r="B107" s="448">
        <v>2040</v>
      </c>
      <c r="C107" s="448" t="s">
        <v>281</v>
      </c>
      <c r="D107" s="449">
        <v>2710000</v>
      </c>
      <c r="E107" s="449">
        <v>2710000</v>
      </c>
      <c r="F107" s="449">
        <f t="shared" si="40"/>
        <v>0</v>
      </c>
      <c r="G107" s="449">
        <v>1410000</v>
      </c>
      <c r="H107" s="449">
        <v>1156514</v>
      </c>
      <c r="I107" s="449">
        <v>0</v>
      </c>
      <c r="J107" s="449"/>
      <c r="K107" s="449">
        <f t="shared" si="41"/>
        <v>0</v>
      </c>
      <c r="L107" s="449">
        <f t="shared" si="42"/>
        <v>1156514</v>
      </c>
      <c r="M107" s="449">
        <f>P107+S107-250000</f>
        <v>3486</v>
      </c>
      <c r="N107" s="449">
        <f>1200000-500000</f>
        <v>700000</v>
      </c>
      <c r="O107" s="449">
        <f t="shared" si="43"/>
        <v>850000</v>
      </c>
      <c r="P107" s="449">
        <f t="shared" si="44"/>
        <v>253486</v>
      </c>
      <c r="Q107" s="482"/>
      <c r="R107" s="449"/>
      <c r="S107" s="449">
        <f t="shared" si="45"/>
        <v>0</v>
      </c>
      <c r="T107" s="449">
        <f t="shared" si="46"/>
        <v>250000</v>
      </c>
      <c r="U107" s="449">
        <f t="shared" si="47"/>
        <v>450000</v>
      </c>
      <c r="V107" s="449"/>
      <c r="W107" s="449">
        <f t="shared" si="48"/>
        <v>450000</v>
      </c>
      <c r="X107" s="449"/>
      <c r="Y107" s="449"/>
      <c r="Z107" s="449"/>
      <c r="AA107" s="448"/>
      <c r="AB107" s="448" t="s">
        <v>1438</v>
      </c>
      <c r="AC107" s="448">
        <v>829000</v>
      </c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</row>
    <row r="108" spans="1:58" s="756" customFormat="1" ht="40.200000000000003" customHeight="1">
      <c r="A108" s="448">
        <f t="shared" si="38"/>
        <v>87</v>
      </c>
      <c r="B108" s="448">
        <v>2235</v>
      </c>
      <c r="C108" s="448" t="s">
        <v>581</v>
      </c>
      <c r="D108" s="449">
        <f>3000000+775000</f>
        <v>3775000</v>
      </c>
      <c r="E108" s="449">
        <v>3000000</v>
      </c>
      <c r="F108" s="449">
        <f t="shared" si="40"/>
        <v>775000</v>
      </c>
      <c r="G108" s="449">
        <v>3000000</v>
      </c>
      <c r="H108" s="449">
        <v>411258</v>
      </c>
      <c r="I108" s="449">
        <v>0</v>
      </c>
      <c r="J108" s="449">
        <v>2025303</v>
      </c>
      <c r="K108" s="449">
        <f t="shared" si="41"/>
        <v>2025303</v>
      </c>
      <c r="L108" s="449">
        <f t="shared" si="42"/>
        <v>2436561</v>
      </c>
      <c r="M108" s="449">
        <f>P108+S108-560000</f>
        <v>3439</v>
      </c>
      <c r="N108" s="449">
        <f>630000+705000</f>
        <v>1335000</v>
      </c>
      <c r="O108" s="449">
        <f t="shared" si="43"/>
        <v>0</v>
      </c>
      <c r="P108" s="449">
        <f t="shared" si="44"/>
        <v>563439</v>
      </c>
      <c r="Q108" s="482"/>
      <c r="R108" s="449"/>
      <c r="S108" s="449">
        <f t="shared" si="45"/>
        <v>0</v>
      </c>
      <c r="T108" s="449">
        <f t="shared" si="46"/>
        <v>560000</v>
      </c>
      <c r="U108" s="449">
        <f t="shared" si="47"/>
        <v>775000</v>
      </c>
      <c r="V108" s="449"/>
      <c r="W108" s="449">
        <f t="shared" si="48"/>
        <v>70000</v>
      </c>
      <c r="X108" s="449"/>
      <c r="Y108" s="449">
        <v>705000</v>
      </c>
      <c r="Z108" s="449"/>
      <c r="AA108" s="448"/>
      <c r="AB108" s="448" t="s">
        <v>1422</v>
      </c>
      <c r="AC108" s="448">
        <v>829000</v>
      </c>
      <c r="AQ108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</row>
    <row r="109" spans="1:58" s="756" customFormat="1" ht="40.200000000000003" customHeight="1">
      <c r="A109" s="448">
        <f t="shared" si="38"/>
        <v>88</v>
      </c>
      <c r="B109" s="448">
        <v>20032</v>
      </c>
      <c r="C109" s="448" t="s">
        <v>618</v>
      </c>
      <c r="D109" s="449">
        <f>4850000-1290000</f>
        <v>3560000</v>
      </c>
      <c r="E109" s="449">
        <v>4850000</v>
      </c>
      <c r="F109" s="449">
        <f t="shared" si="40"/>
        <v>-1290000</v>
      </c>
      <c r="G109" s="449">
        <v>3560000</v>
      </c>
      <c r="H109" s="449">
        <v>1237617</v>
      </c>
      <c r="I109" s="449">
        <v>2308424</v>
      </c>
      <c r="J109" s="449">
        <v>7561</v>
      </c>
      <c r="K109" s="449">
        <f t="shared" si="41"/>
        <v>2315985</v>
      </c>
      <c r="L109" s="449">
        <f t="shared" si="42"/>
        <v>3553602</v>
      </c>
      <c r="M109" s="449">
        <f>P109+S109</f>
        <v>6398</v>
      </c>
      <c r="N109" s="449"/>
      <c r="O109" s="449">
        <f t="shared" si="43"/>
        <v>0</v>
      </c>
      <c r="P109" s="449">
        <f t="shared" si="44"/>
        <v>6398</v>
      </c>
      <c r="Q109" s="482"/>
      <c r="R109" s="449"/>
      <c r="S109" s="449">
        <f t="shared" si="45"/>
        <v>0</v>
      </c>
      <c r="T109" s="449">
        <f t="shared" si="46"/>
        <v>0</v>
      </c>
      <c r="U109" s="449">
        <f t="shared" si="47"/>
        <v>0</v>
      </c>
      <c r="V109" s="449"/>
      <c r="W109" s="449">
        <f t="shared" si="48"/>
        <v>0</v>
      </c>
      <c r="X109" s="449"/>
      <c r="Y109" s="449"/>
      <c r="Z109" s="449"/>
      <c r="AA109" s="448"/>
      <c r="AB109" s="448" t="s">
        <v>1449</v>
      </c>
      <c r="AC109" s="448">
        <v>829000</v>
      </c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</row>
    <row r="110" spans="1:58" s="756" customFormat="1" ht="40.200000000000003" customHeight="1">
      <c r="A110" s="448">
        <f t="shared" si="38"/>
        <v>89</v>
      </c>
      <c r="B110" s="448">
        <v>20070</v>
      </c>
      <c r="C110" s="448" t="s">
        <v>743</v>
      </c>
      <c r="D110" s="449">
        <v>450000</v>
      </c>
      <c r="E110" s="449">
        <v>450000</v>
      </c>
      <c r="F110" s="449">
        <f t="shared" si="40"/>
        <v>0</v>
      </c>
      <c r="G110" s="449">
        <v>450000</v>
      </c>
      <c r="H110" s="449">
        <v>0</v>
      </c>
      <c r="I110" s="449">
        <v>0</v>
      </c>
      <c r="J110" s="449">
        <v>220754</v>
      </c>
      <c r="K110" s="449">
        <f t="shared" si="41"/>
        <v>220754</v>
      </c>
      <c r="L110" s="449">
        <f t="shared" si="42"/>
        <v>220754</v>
      </c>
      <c r="M110" s="449">
        <f>P110+S110-220000</f>
        <v>9246</v>
      </c>
      <c r="N110" s="449">
        <v>220000</v>
      </c>
      <c r="O110" s="449">
        <f t="shared" si="43"/>
        <v>0</v>
      </c>
      <c r="P110" s="449">
        <f t="shared" si="44"/>
        <v>229246</v>
      </c>
      <c r="Q110" s="482"/>
      <c r="R110" s="449"/>
      <c r="S110" s="449">
        <f t="shared" si="45"/>
        <v>0</v>
      </c>
      <c r="T110" s="449">
        <f t="shared" si="46"/>
        <v>220000</v>
      </c>
      <c r="U110" s="449">
        <f t="shared" si="47"/>
        <v>0</v>
      </c>
      <c r="V110" s="449"/>
      <c r="W110" s="449">
        <f t="shared" si="48"/>
        <v>0</v>
      </c>
      <c r="X110" s="449"/>
      <c r="Y110" s="449"/>
      <c r="Z110" s="449"/>
      <c r="AA110" s="448"/>
      <c r="AB110" s="448" t="s">
        <v>1522</v>
      </c>
      <c r="AC110" s="448">
        <v>829000</v>
      </c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</row>
    <row r="111" spans="1:58" s="756" customFormat="1" ht="35.4" customHeight="1">
      <c r="A111" s="448">
        <f t="shared" si="38"/>
        <v>90</v>
      </c>
      <c r="B111" s="448">
        <v>20094</v>
      </c>
      <c r="C111" s="448" t="s">
        <v>939</v>
      </c>
      <c r="D111" s="449">
        <v>2090000</v>
      </c>
      <c r="E111" s="449">
        <v>2090000</v>
      </c>
      <c r="F111" s="449">
        <f t="shared" si="40"/>
        <v>0</v>
      </c>
      <c r="G111" s="449">
        <v>2090000</v>
      </c>
      <c r="H111" s="449">
        <v>1770879</v>
      </c>
      <c r="I111" s="449"/>
      <c r="J111" s="449">
        <v>319121</v>
      </c>
      <c r="K111" s="449">
        <f t="shared" si="41"/>
        <v>319121</v>
      </c>
      <c r="L111" s="449">
        <f t="shared" si="42"/>
        <v>2090000</v>
      </c>
      <c r="M111" s="449">
        <f>P111+S111</f>
        <v>0</v>
      </c>
      <c r="N111" s="449"/>
      <c r="O111" s="449">
        <f t="shared" si="43"/>
        <v>0</v>
      </c>
      <c r="P111" s="449">
        <f t="shared" si="44"/>
        <v>0</v>
      </c>
      <c r="Q111" s="482"/>
      <c r="R111" s="449"/>
      <c r="S111" s="449">
        <f t="shared" si="45"/>
        <v>0</v>
      </c>
      <c r="T111" s="449">
        <f t="shared" si="46"/>
        <v>0</v>
      </c>
      <c r="U111" s="449">
        <f t="shared" si="47"/>
        <v>0</v>
      </c>
      <c r="V111" s="449">
        <v>-523000</v>
      </c>
      <c r="W111" s="449">
        <f t="shared" si="48"/>
        <v>0</v>
      </c>
      <c r="X111" s="449"/>
      <c r="Y111" s="449"/>
      <c r="Z111" s="449"/>
      <c r="AA111" s="449">
        <v>523000</v>
      </c>
      <c r="AB111" s="448" t="s">
        <v>1396</v>
      </c>
      <c r="AC111" s="448">
        <v>829000</v>
      </c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819" customFormat="1" ht="35.4" customHeight="1">
      <c r="A112" s="512"/>
      <c r="B112" s="512"/>
      <c r="C112" s="512" t="s">
        <v>1563</v>
      </c>
      <c r="D112" s="425">
        <f>SUM(D103:D111)</f>
        <v>26985000</v>
      </c>
      <c r="E112" s="425">
        <f t="shared" ref="E112:AA112" si="49">SUM(E103:E111)</f>
        <v>22500000</v>
      </c>
      <c r="F112" s="425">
        <f t="shared" si="49"/>
        <v>4485000</v>
      </c>
      <c r="G112" s="425">
        <f t="shared" si="49"/>
        <v>18910000</v>
      </c>
      <c r="H112" s="425">
        <f t="shared" si="49"/>
        <v>10362380</v>
      </c>
      <c r="I112" s="425">
        <f t="shared" si="49"/>
        <v>2308424</v>
      </c>
      <c r="J112" s="425">
        <f t="shared" si="49"/>
        <v>3571114</v>
      </c>
      <c r="K112" s="425">
        <f t="shared" si="49"/>
        <v>5879538</v>
      </c>
      <c r="L112" s="425">
        <f t="shared" si="49"/>
        <v>16241918</v>
      </c>
      <c r="M112" s="425">
        <f t="shared" si="49"/>
        <v>38082</v>
      </c>
      <c r="N112" s="425">
        <f t="shared" si="49"/>
        <v>8855000</v>
      </c>
      <c r="O112" s="425">
        <f t="shared" si="49"/>
        <v>1850000</v>
      </c>
      <c r="P112" s="425">
        <f t="shared" si="49"/>
        <v>2668082</v>
      </c>
      <c r="Q112" s="425">
        <f t="shared" si="49"/>
        <v>0</v>
      </c>
      <c r="R112" s="425">
        <f t="shared" si="49"/>
        <v>0</v>
      </c>
      <c r="S112" s="425">
        <f t="shared" si="49"/>
        <v>0</v>
      </c>
      <c r="T112" s="425">
        <f t="shared" si="49"/>
        <v>2630000</v>
      </c>
      <c r="U112" s="425">
        <f t="shared" si="49"/>
        <v>6225000</v>
      </c>
      <c r="V112" s="425">
        <f t="shared" si="49"/>
        <v>3877000</v>
      </c>
      <c r="W112" s="425">
        <f t="shared" si="49"/>
        <v>1120000</v>
      </c>
      <c r="X112" s="425">
        <f t="shared" si="49"/>
        <v>0</v>
      </c>
      <c r="Y112" s="425">
        <f t="shared" si="49"/>
        <v>705000</v>
      </c>
      <c r="Z112" s="425">
        <f t="shared" si="49"/>
        <v>0</v>
      </c>
      <c r="AA112" s="425">
        <f t="shared" si="49"/>
        <v>523000</v>
      </c>
      <c r="AB112" s="512"/>
      <c r="AC112" s="512"/>
      <c r="AQ112" s="409"/>
      <c r="AR112" s="409"/>
      <c r="AS112" s="409"/>
      <c r="AT112" s="409"/>
      <c r="AU112" s="409"/>
      <c r="AV112" s="409"/>
      <c r="AW112" s="409"/>
      <c r="AX112" s="409"/>
      <c r="AY112" s="409"/>
      <c r="AZ112" s="409"/>
      <c r="BA112" s="409"/>
      <c r="BB112" s="409"/>
      <c r="BC112" s="409"/>
      <c r="BD112" s="409"/>
      <c r="BE112" s="409"/>
      <c r="BF112" s="409"/>
    </row>
    <row r="113" spans="1:58" s="819" customFormat="1" ht="35.4" customHeight="1">
      <c r="A113" s="512"/>
      <c r="B113" s="512"/>
      <c r="C113" s="512">
        <v>848</v>
      </c>
      <c r="D113" s="425"/>
      <c r="E113" s="425"/>
      <c r="F113" s="425"/>
      <c r="G113" s="425"/>
      <c r="H113" s="425"/>
      <c r="I113" s="425"/>
      <c r="J113" s="425"/>
      <c r="K113" s="425"/>
      <c r="L113" s="425"/>
      <c r="M113" s="425"/>
      <c r="N113" s="425"/>
      <c r="O113" s="425"/>
      <c r="P113" s="425"/>
      <c r="Q113" s="820"/>
      <c r="R113" s="425"/>
      <c r="S113" s="425"/>
      <c r="T113" s="425"/>
      <c r="U113" s="425"/>
      <c r="V113" s="425"/>
      <c r="W113" s="425"/>
      <c r="X113" s="425"/>
      <c r="Y113" s="425"/>
      <c r="Z113" s="425"/>
      <c r="AA113" s="425"/>
      <c r="AB113" s="512"/>
      <c r="AC113" s="512"/>
      <c r="AQ113" s="409"/>
      <c r="AR113" s="409"/>
      <c r="AS113" s="409"/>
      <c r="AT113" s="409"/>
      <c r="AU113" s="409"/>
      <c r="AV113" s="409"/>
      <c r="AW113" s="409"/>
      <c r="AX113" s="409"/>
      <c r="AY113" s="409"/>
      <c r="AZ113" s="409"/>
      <c r="BA113" s="409"/>
      <c r="BB113" s="409"/>
      <c r="BC113" s="409"/>
      <c r="BD113" s="409"/>
      <c r="BE113" s="409"/>
      <c r="BF113" s="409"/>
    </row>
    <row r="114" spans="1:58" s="756" customFormat="1" ht="69.599999999999994" customHeight="1">
      <c r="A114" s="448">
        <f>A111+1</f>
        <v>91</v>
      </c>
      <c r="B114" s="448">
        <v>20029</v>
      </c>
      <c r="C114" s="448" t="s">
        <v>616</v>
      </c>
      <c r="D114" s="449">
        <f>2000000+1500000</f>
        <v>3500000</v>
      </c>
      <c r="E114" s="449">
        <v>2000000</v>
      </c>
      <c r="F114" s="449">
        <f>D114-E114</f>
        <v>1500000</v>
      </c>
      <c r="G114" s="449">
        <v>1350000</v>
      </c>
      <c r="H114" s="449">
        <v>1311285</v>
      </c>
      <c r="I114" s="449">
        <v>0</v>
      </c>
      <c r="J114" s="449"/>
      <c r="K114" s="449">
        <f>I114+J114</f>
        <v>0</v>
      </c>
      <c r="L114" s="449">
        <f>H114+K114</f>
        <v>1311285</v>
      </c>
      <c r="M114" s="449">
        <f>P114+S114-180000</f>
        <v>8715</v>
      </c>
      <c r="N114" s="449">
        <f>1500000-820000-280000</f>
        <v>400000</v>
      </c>
      <c r="O114" s="449">
        <f>D114-L114-M114-N114</f>
        <v>1780000</v>
      </c>
      <c r="P114" s="449">
        <f>G114-L114</f>
        <v>38715</v>
      </c>
      <c r="Q114" s="482">
        <v>150000</v>
      </c>
      <c r="R114" s="449"/>
      <c r="S114" s="449">
        <f>SUM(Q114:R114)</f>
        <v>150000</v>
      </c>
      <c r="T114" s="449">
        <f>P114-M114+S114</f>
        <v>180000</v>
      </c>
      <c r="U114" s="449">
        <f>N114-T114</f>
        <v>220000</v>
      </c>
      <c r="V114" s="449"/>
      <c r="W114" s="449">
        <f>U114-AA114-V114-Y114</f>
        <v>220000</v>
      </c>
      <c r="X114" s="449"/>
      <c r="Y114" s="449"/>
      <c r="Z114" s="449"/>
      <c r="AA114" s="448"/>
      <c r="AB114" s="455" t="s">
        <v>895</v>
      </c>
      <c r="AC114" s="448">
        <v>848000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756" customFormat="1" ht="34.950000000000003" customHeight="1">
      <c r="A115" s="448">
        <f t="shared" si="38"/>
        <v>92</v>
      </c>
      <c r="B115" s="448">
        <v>20089</v>
      </c>
      <c r="C115" s="448" t="s">
        <v>936</v>
      </c>
      <c r="D115" s="449">
        <v>1500000</v>
      </c>
      <c r="E115" s="449">
        <v>1500000</v>
      </c>
      <c r="F115" s="449">
        <f>D115-E115</f>
        <v>0</v>
      </c>
      <c r="G115" s="449">
        <v>500000</v>
      </c>
      <c r="H115" s="449">
        <v>0</v>
      </c>
      <c r="I115" s="449">
        <v>0</v>
      </c>
      <c r="J115" s="449">
        <v>0</v>
      </c>
      <c r="K115" s="449">
        <f>I115+J115</f>
        <v>0</v>
      </c>
      <c r="L115" s="449">
        <f>H115+K115</f>
        <v>0</v>
      </c>
      <c r="M115" s="449">
        <f>P115+S115-500000</f>
        <v>0</v>
      </c>
      <c r="N115" s="449">
        <f>500000+500000</f>
        <v>1000000</v>
      </c>
      <c r="O115" s="449">
        <f>D115-L115-M115-N115</f>
        <v>500000</v>
      </c>
      <c r="P115" s="449">
        <f>G115-L115</f>
        <v>500000</v>
      </c>
      <c r="Q115" s="482"/>
      <c r="R115" s="449"/>
      <c r="S115" s="449">
        <f>SUM(Q115:R115)</f>
        <v>0</v>
      </c>
      <c r="T115" s="449">
        <f>P115-M115+S115</f>
        <v>500000</v>
      </c>
      <c r="U115" s="449">
        <f>N115-T115</f>
        <v>500000</v>
      </c>
      <c r="V115" s="449"/>
      <c r="W115" s="449">
        <f>U115-AA115-V115-Y115</f>
        <v>0</v>
      </c>
      <c r="X115" s="449"/>
      <c r="Y115" s="449"/>
      <c r="Z115" s="449"/>
      <c r="AA115" s="449">
        <v>500000</v>
      </c>
      <c r="AB115" s="448" t="s">
        <v>952</v>
      </c>
      <c r="AC115" s="448">
        <v>848000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ht="34.950000000000003" customHeight="1">
      <c r="A116" s="448">
        <f t="shared" si="38"/>
        <v>93</v>
      </c>
      <c r="B116" s="448">
        <v>1435</v>
      </c>
      <c r="C116" s="455" t="s">
        <v>394</v>
      </c>
      <c r="D116" s="449">
        <f>42000000+3000000</f>
        <v>45000000</v>
      </c>
      <c r="E116" s="449">
        <v>42000000</v>
      </c>
      <c r="F116" s="449">
        <f>D116-E116</f>
        <v>3000000</v>
      </c>
      <c r="G116" s="449">
        <v>38074320</v>
      </c>
      <c r="H116" s="449">
        <v>37408587</v>
      </c>
      <c r="I116" s="449">
        <v>0</v>
      </c>
      <c r="J116" s="449">
        <f>781647-14052-20114</f>
        <v>747481</v>
      </c>
      <c r="K116" s="449">
        <f>I116+J116</f>
        <v>747481</v>
      </c>
      <c r="L116" s="449">
        <f>H116+K116</f>
        <v>38156068</v>
      </c>
      <c r="M116" s="449">
        <f>P116+S116-100000-115000</f>
        <v>3252</v>
      </c>
      <c r="N116" s="449">
        <f>3000000-400000-600000+115000</f>
        <v>2115000</v>
      </c>
      <c r="O116" s="449">
        <f>D116-L116-M116-N116</f>
        <v>4725680</v>
      </c>
      <c r="P116" s="449">
        <f>G116-L116</f>
        <v>-81748</v>
      </c>
      <c r="Q116" s="482">
        <v>300000</v>
      </c>
      <c r="R116" s="449"/>
      <c r="S116" s="449">
        <f>SUM(Q116:R116)</f>
        <v>300000</v>
      </c>
      <c r="T116" s="449">
        <f>P116-M116+S116</f>
        <v>215000</v>
      </c>
      <c r="U116" s="449">
        <f>N116-T116</f>
        <v>1900000</v>
      </c>
      <c r="V116" s="449"/>
      <c r="W116" s="449">
        <f>U116-AA116-V116-Y116</f>
        <v>1900000</v>
      </c>
      <c r="X116" s="449"/>
      <c r="Y116" s="449"/>
      <c r="Z116" s="449"/>
      <c r="AA116" s="448"/>
      <c r="AB116" s="448" t="s">
        <v>1408</v>
      </c>
      <c r="AC116" s="448">
        <v>848500</v>
      </c>
    </row>
    <row r="117" spans="1:58" ht="27.6">
      <c r="A117" s="448">
        <f t="shared" si="38"/>
        <v>94</v>
      </c>
      <c r="B117" s="448">
        <v>1968</v>
      </c>
      <c r="C117" s="448" t="s">
        <v>791</v>
      </c>
      <c r="D117" s="449">
        <f>2170000-350077</f>
        <v>1819923</v>
      </c>
      <c r="E117" s="449">
        <v>2170000</v>
      </c>
      <c r="F117" s="449">
        <f>D117-E117</f>
        <v>-350077</v>
      </c>
      <c r="G117" s="449">
        <v>2170000</v>
      </c>
      <c r="H117" s="449">
        <v>1819923</v>
      </c>
      <c r="I117" s="449">
        <v>0</v>
      </c>
      <c r="J117" s="449"/>
      <c r="K117" s="449">
        <f>I117+J117</f>
        <v>0</v>
      </c>
      <c r="L117" s="449">
        <f>H117+K117</f>
        <v>1819923</v>
      </c>
      <c r="M117" s="449">
        <f>P117+S117-350077</f>
        <v>0</v>
      </c>
      <c r="N117" s="449"/>
      <c r="O117" s="449">
        <f>D117-L117-M117-N117</f>
        <v>0</v>
      </c>
      <c r="P117" s="449">
        <f>G117-L117</f>
        <v>350077</v>
      </c>
      <c r="Q117" s="482"/>
      <c r="R117" s="449"/>
      <c r="S117" s="449">
        <f>SUM(Q117:R117)</f>
        <v>0</v>
      </c>
      <c r="T117" s="449">
        <f>P117-M117+S117</f>
        <v>350077</v>
      </c>
      <c r="U117" s="449">
        <f>N117-T117</f>
        <v>-350077</v>
      </c>
      <c r="V117" s="449"/>
      <c r="W117" s="449">
        <f>U117-AA117-V117-Y117</f>
        <v>-350077</v>
      </c>
      <c r="X117" s="449"/>
      <c r="Y117" s="449"/>
      <c r="Z117" s="449"/>
      <c r="AA117" s="448"/>
      <c r="AB117" s="323" t="s">
        <v>1436</v>
      </c>
      <c r="AC117" s="323">
        <v>848500</v>
      </c>
    </row>
    <row r="118" spans="1:58" s="409" customFormat="1">
      <c r="A118" s="512"/>
      <c r="B118" s="512"/>
      <c r="C118" s="512" t="s">
        <v>1569</v>
      </c>
      <c r="D118" s="425">
        <f>SUM(D114:D117)</f>
        <v>51819923</v>
      </c>
      <c r="E118" s="425">
        <f t="shared" ref="E118:AA118" si="50">SUM(E114:E117)</f>
        <v>47670000</v>
      </c>
      <c r="F118" s="425">
        <f t="shared" si="50"/>
        <v>4149923</v>
      </c>
      <c r="G118" s="425">
        <f t="shared" si="50"/>
        <v>42094320</v>
      </c>
      <c r="H118" s="425">
        <f t="shared" si="50"/>
        <v>40539795</v>
      </c>
      <c r="I118" s="425">
        <f t="shared" si="50"/>
        <v>0</v>
      </c>
      <c r="J118" s="425">
        <f t="shared" si="50"/>
        <v>747481</v>
      </c>
      <c r="K118" s="425">
        <f t="shared" si="50"/>
        <v>747481</v>
      </c>
      <c r="L118" s="425">
        <f t="shared" si="50"/>
        <v>41287276</v>
      </c>
      <c r="M118" s="425">
        <f t="shared" si="50"/>
        <v>11967</v>
      </c>
      <c r="N118" s="425">
        <f t="shared" si="50"/>
        <v>3515000</v>
      </c>
      <c r="O118" s="425">
        <f t="shared" si="50"/>
        <v>7005680</v>
      </c>
      <c r="P118" s="425">
        <f t="shared" si="50"/>
        <v>807044</v>
      </c>
      <c r="Q118" s="425">
        <f t="shared" si="50"/>
        <v>450000</v>
      </c>
      <c r="R118" s="425">
        <f t="shared" si="50"/>
        <v>0</v>
      </c>
      <c r="S118" s="425">
        <f t="shared" si="50"/>
        <v>450000</v>
      </c>
      <c r="T118" s="425">
        <f t="shared" si="50"/>
        <v>1245077</v>
      </c>
      <c r="U118" s="425">
        <f t="shared" si="50"/>
        <v>2269923</v>
      </c>
      <c r="V118" s="425">
        <f t="shared" si="50"/>
        <v>0</v>
      </c>
      <c r="W118" s="425">
        <f t="shared" si="50"/>
        <v>1769923</v>
      </c>
      <c r="X118" s="425">
        <f t="shared" si="50"/>
        <v>0</v>
      </c>
      <c r="Y118" s="425">
        <f t="shared" si="50"/>
        <v>0</v>
      </c>
      <c r="Z118" s="425">
        <f t="shared" si="50"/>
        <v>0</v>
      </c>
      <c r="AA118" s="425">
        <f t="shared" si="50"/>
        <v>500000</v>
      </c>
      <c r="AB118" s="821"/>
      <c r="AC118" s="821"/>
      <c r="AD118" s="819"/>
      <c r="AE118" s="819"/>
      <c r="AF118" s="819"/>
      <c r="AG118" s="819"/>
      <c r="AH118" s="819"/>
      <c r="AI118" s="819"/>
      <c r="AJ118" s="819"/>
      <c r="AK118" s="819"/>
      <c r="AL118" s="819"/>
      <c r="AM118" s="819"/>
      <c r="AN118" s="819"/>
      <c r="AO118" s="819"/>
      <c r="AP118" s="819"/>
    </row>
    <row r="119" spans="1:58" s="409" customFormat="1">
      <c r="A119" s="512"/>
      <c r="B119" s="512"/>
      <c r="C119" s="512">
        <v>85</v>
      </c>
      <c r="D119" s="425"/>
      <c r="E119" s="425"/>
      <c r="F119" s="425"/>
      <c r="G119" s="425"/>
      <c r="H119" s="425"/>
      <c r="I119" s="425"/>
      <c r="J119" s="425"/>
      <c r="K119" s="425"/>
      <c r="L119" s="425"/>
      <c r="M119" s="425"/>
      <c r="N119" s="425"/>
      <c r="O119" s="425"/>
      <c r="P119" s="425"/>
      <c r="Q119" s="820"/>
      <c r="R119" s="425"/>
      <c r="S119" s="425"/>
      <c r="T119" s="425"/>
      <c r="U119" s="425"/>
      <c r="V119" s="425"/>
      <c r="W119" s="425"/>
      <c r="X119" s="425"/>
      <c r="Y119" s="425"/>
      <c r="Z119" s="425"/>
      <c r="AA119" s="512"/>
      <c r="AB119" s="821"/>
      <c r="AC119" s="821"/>
      <c r="AD119" s="819"/>
      <c r="AE119" s="819"/>
      <c r="AF119" s="819"/>
      <c r="AG119" s="819"/>
      <c r="AH119" s="819"/>
      <c r="AI119" s="819"/>
      <c r="AJ119" s="819"/>
      <c r="AK119" s="819"/>
      <c r="AL119" s="819"/>
      <c r="AM119" s="819"/>
      <c r="AN119" s="819"/>
      <c r="AO119" s="819"/>
      <c r="AP119" s="819"/>
    </row>
    <row r="120" spans="1:58" s="485" customFormat="1" ht="52.95" customHeight="1">
      <c r="A120" s="448">
        <f>A117+1</f>
        <v>95</v>
      </c>
      <c r="B120" s="448">
        <v>1253</v>
      </c>
      <c r="C120" s="448" t="s">
        <v>44</v>
      </c>
      <c r="D120" s="449">
        <f>6100000+500000</f>
        <v>6600000</v>
      </c>
      <c r="E120" s="449">
        <v>6100000</v>
      </c>
      <c r="F120" s="449">
        <f>D120-E120</f>
        <v>500000</v>
      </c>
      <c r="G120" s="449">
        <v>6100000</v>
      </c>
      <c r="H120" s="449">
        <v>5666747</v>
      </c>
      <c r="I120" s="449">
        <v>0</v>
      </c>
      <c r="J120" s="449">
        <v>412935</v>
      </c>
      <c r="K120" s="449">
        <f>I120+J120</f>
        <v>412935</v>
      </c>
      <c r="L120" s="449">
        <f>H120+K120</f>
        <v>6079682</v>
      </c>
      <c r="M120" s="449">
        <f>P120+S120-20000</f>
        <v>318</v>
      </c>
      <c r="N120" s="449">
        <f>500000+20000</f>
        <v>520000</v>
      </c>
      <c r="O120" s="449">
        <f>D120-L120-M120-N120</f>
        <v>0</v>
      </c>
      <c r="P120" s="449">
        <f>G120-L120</f>
        <v>20318</v>
      </c>
      <c r="Q120" s="482"/>
      <c r="R120" s="449"/>
      <c r="S120" s="449">
        <f>SUM(Q120:R120)</f>
        <v>0</v>
      </c>
      <c r="T120" s="449">
        <f>P120-M120+S120</f>
        <v>20000</v>
      </c>
      <c r="U120" s="449">
        <f>N120-T120</f>
        <v>500000</v>
      </c>
      <c r="V120" s="449"/>
      <c r="W120" s="449">
        <f>U120-AA120-V120-Y120</f>
        <v>500000</v>
      </c>
      <c r="X120" s="449"/>
      <c r="Y120" s="449"/>
      <c r="Z120" s="449"/>
      <c r="AA120" s="448"/>
      <c r="AB120" s="448" t="s">
        <v>890</v>
      </c>
      <c r="AC120" s="448">
        <v>850000</v>
      </c>
      <c r="AD120" s="756"/>
      <c r="AE120" s="756"/>
      <c r="AF120" s="756"/>
      <c r="AG120" s="756"/>
      <c r="AH120" s="756"/>
      <c r="AI120" s="756"/>
      <c r="AJ120" s="756"/>
      <c r="AK120" s="756"/>
      <c r="AL120" s="756"/>
      <c r="AM120" s="756"/>
      <c r="AN120" s="756"/>
      <c r="AO120" s="756"/>
      <c r="AP120" s="756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ht="48.6" customHeight="1">
      <c r="A121" s="448">
        <f t="shared" si="38"/>
        <v>96</v>
      </c>
      <c r="B121" s="448">
        <v>1947</v>
      </c>
      <c r="C121" s="448" t="s">
        <v>721</v>
      </c>
      <c r="D121" s="449">
        <v>2500000</v>
      </c>
      <c r="E121" s="449">
        <v>2500000</v>
      </c>
      <c r="F121" s="449">
        <f>D121-E121</f>
        <v>0</v>
      </c>
      <c r="G121" s="449">
        <v>2500000</v>
      </c>
      <c r="H121" s="449">
        <v>1369144</v>
      </c>
      <c r="I121" s="449"/>
      <c r="J121" s="449"/>
      <c r="K121" s="449">
        <f>I121+J121</f>
        <v>0</v>
      </c>
      <c r="L121" s="449">
        <f>H121+K121</f>
        <v>1369144</v>
      </c>
      <c r="M121" s="449">
        <f>P121+S121-1100000-30000</f>
        <v>856</v>
      </c>
      <c r="N121" s="449">
        <f>1100000+30000</f>
        <v>1130000</v>
      </c>
      <c r="O121" s="449">
        <f>D121-L121-M121-N121</f>
        <v>0</v>
      </c>
      <c r="P121" s="449">
        <f>G121-L121</f>
        <v>1130856</v>
      </c>
      <c r="Q121" s="482"/>
      <c r="R121" s="449"/>
      <c r="S121" s="449">
        <f>SUM(Q121:R121)</f>
        <v>0</v>
      </c>
      <c r="T121" s="449">
        <f>P121-M121+S121</f>
        <v>1130000</v>
      </c>
      <c r="U121" s="449">
        <f>N121-T121</f>
        <v>0</v>
      </c>
      <c r="V121" s="449">
        <v>128955</v>
      </c>
      <c r="W121" s="449">
        <f>U121-AA121-V121-Y121</f>
        <v>0</v>
      </c>
      <c r="X121" s="449"/>
      <c r="Y121" s="449"/>
      <c r="Z121" s="449"/>
      <c r="AA121" s="449">
        <v>-128955</v>
      </c>
      <c r="AB121" s="448" t="s">
        <v>1394</v>
      </c>
      <c r="AC121" s="448">
        <v>850000</v>
      </c>
    </row>
    <row r="122" spans="1:58" s="409" customFormat="1" ht="24.6" customHeight="1">
      <c r="A122" s="512"/>
      <c r="B122" s="512"/>
      <c r="C122" s="512" t="s">
        <v>1565</v>
      </c>
      <c r="D122" s="425">
        <f>SUM(D120:D121)</f>
        <v>9100000</v>
      </c>
      <c r="E122" s="425">
        <f t="shared" ref="E122:AA122" si="51">SUM(E120:E121)</f>
        <v>8600000</v>
      </c>
      <c r="F122" s="425">
        <f t="shared" si="51"/>
        <v>500000</v>
      </c>
      <c r="G122" s="425">
        <f t="shared" si="51"/>
        <v>8600000</v>
      </c>
      <c r="H122" s="425">
        <f t="shared" si="51"/>
        <v>7035891</v>
      </c>
      <c r="I122" s="425">
        <f t="shared" si="51"/>
        <v>0</v>
      </c>
      <c r="J122" s="425">
        <f t="shared" si="51"/>
        <v>412935</v>
      </c>
      <c r="K122" s="425">
        <f t="shared" si="51"/>
        <v>412935</v>
      </c>
      <c r="L122" s="425">
        <f t="shared" si="51"/>
        <v>7448826</v>
      </c>
      <c r="M122" s="425">
        <f t="shared" si="51"/>
        <v>1174</v>
      </c>
      <c r="N122" s="425">
        <f t="shared" si="51"/>
        <v>1650000</v>
      </c>
      <c r="O122" s="425">
        <f t="shared" si="51"/>
        <v>0</v>
      </c>
      <c r="P122" s="425">
        <f t="shared" si="51"/>
        <v>1151174</v>
      </c>
      <c r="Q122" s="425">
        <f t="shared" si="51"/>
        <v>0</v>
      </c>
      <c r="R122" s="425">
        <f t="shared" si="51"/>
        <v>0</v>
      </c>
      <c r="S122" s="425">
        <f t="shared" si="51"/>
        <v>0</v>
      </c>
      <c r="T122" s="425">
        <f t="shared" si="51"/>
        <v>1150000</v>
      </c>
      <c r="U122" s="425">
        <f t="shared" si="51"/>
        <v>500000</v>
      </c>
      <c r="V122" s="425">
        <f t="shared" si="51"/>
        <v>128955</v>
      </c>
      <c r="W122" s="425">
        <f t="shared" si="51"/>
        <v>500000</v>
      </c>
      <c r="X122" s="425">
        <f t="shared" si="51"/>
        <v>0</v>
      </c>
      <c r="Y122" s="425">
        <f t="shared" si="51"/>
        <v>0</v>
      </c>
      <c r="Z122" s="425">
        <f t="shared" si="51"/>
        <v>0</v>
      </c>
      <c r="AA122" s="425">
        <f t="shared" si="51"/>
        <v>-128955</v>
      </c>
      <c r="AB122" s="512"/>
      <c r="AC122" s="512"/>
      <c r="AD122" s="819"/>
      <c r="AE122" s="819"/>
      <c r="AF122" s="819"/>
      <c r="AG122" s="819"/>
      <c r="AH122" s="819"/>
      <c r="AI122" s="819"/>
      <c r="AJ122" s="819"/>
      <c r="AK122" s="819"/>
      <c r="AL122" s="819"/>
      <c r="AM122" s="819"/>
      <c r="AN122" s="819"/>
      <c r="AO122" s="819"/>
      <c r="AP122" s="819"/>
    </row>
    <row r="123" spans="1:58" s="409" customFormat="1" ht="24.6" customHeight="1">
      <c r="A123" s="512"/>
      <c r="B123" s="512"/>
      <c r="C123" s="512">
        <v>87</v>
      </c>
      <c r="D123" s="425"/>
      <c r="E123" s="425"/>
      <c r="F123" s="425"/>
      <c r="G123" s="425"/>
      <c r="H123" s="425"/>
      <c r="I123" s="425"/>
      <c r="J123" s="425"/>
      <c r="K123" s="425"/>
      <c r="L123" s="425"/>
      <c r="M123" s="425"/>
      <c r="N123" s="425"/>
      <c r="O123" s="425"/>
      <c r="P123" s="425"/>
      <c r="Q123" s="820"/>
      <c r="R123" s="425"/>
      <c r="S123" s="425"/>
      <c r="T123" s="425"/>
      <c r="U123" s="425"/>
      <c r="V123" s="425"/>
      <c r="W123" s="425"/>
      <c r="X123" s="425"/>
      <c r="Y123" s="425"/>
      <c r="Z123" s="425"/>
      <c r="AA123" s="425"/>
      <c r="AB123" s="512"/>
      <c r="AC123" s="512"/>
      <c r="AD123" s="819"/>
      <c r="AE123" s="819"/>
      <c r="AF123" s="819"/>
      <c r="AG123" s="819"/>
      <c r="AH123" s="819"/>
      <c r="AI123" s="819"/>
      <c r="AJ123" s="819"/>
      <c r="AK123" s="819"/>
      <c r="AL123" s="819"/>
      <c r="AM123" s="819"/>
      <c r="AN123" s="819"/>
      <c r="AO123" s="819"/>
      <c r="AP123" s="819"/>
    </row>
    <row r="124" spans="1:58" ht="40.200000000000003" customHeight="1">
      <c r="A124" s="448">
        <f>A121+1</f>
        <v>97</v>
      </c>
      <c r="B124" s="448">
        <v>1899</v>
      </c>
      <c r="C124" s="448" t="s">
        <v>118</v>
      </c>
      <c r="D124" s="449">
        <f>670000-6248</f>
        <v>663752</v>
      </c>
      <c r="E124" s="449">
        <v>670000</v>
      </c>
      <c r="F124" s="449">
        <f>D124-E124</f>
        <v>-6248</v>
      </c>
      <c r="G124" s="449">
        <v>670000</v>
      </c>
      <c r="H124" s="449">
        <v>663752</v>
      </c>
      <c r="I124" s="449">
        <v>0</v>
      </c>
      <c r="J124" s="449">
        <v>0</v>
      </c>
      <c r="K124" s="449">
        <f>I124+J124</f>
        <v>0</v>
      </c>
      <c r="L124" s="449">
        <f>H124+K124</f>
        <v>663752</v>
      </c>
      <c r="M124" s="449">
        <f>P124+S124-6248</f>
        <v>0</v>
      </c>
      <c r="N124" s="449"/>
      <c r="O124" s="449">
        <f>D124-L124-M124-N124</f>
        <v>0</v>
      </c>
      <c r="P124" s="449">
        <f>G124-L124</f>
        <v>6248</v>
      </c>
      <c r="Q124" s="482"/>
      <c r="R124" s="449"/>
      <c r="S124" s="449">
        <f>SUM(Q124:R124)</f>
        <v>0</v>
      </c>
      <c r="T124" s="449">
        <f>P124-M124+S124</f>
        <v>6248</v>
      </c>
      <c r="U124" s="449">
        <f>N124-T124</f>
        <v>-6248</v>
      </c>
      <c r="V124" s="449"/>
      <c r="W124" s="449">
        <f>U124-AA124-V124-Y124</f>
        <v>-6248</v>
      </c>
      <c r="X124" s="449"/>
      <c r="Y124" s="449"/>
      <c r="Z124" s="449"/>
      <c r="AA124" s="448"/>
      <c r="AB124" s="484" t="s">
        <v>1435</v>
      </c>
      <c r="AC124" s="448">
        <v>870000</v>
      </c>
    </row>
    <row r="125" spans="1:58" ht="69">
      <c r="A125" s="448">
        <f t="shared" si="38"/>
        <v>98</v>
      </c>
      <c r="B125" s="448">
        <v>2037</v>
      </c>
      <c r="C125" s="448" t="s">
        <v>372</v>
      </c>
      <c r="D125" s="449">
        <v>5000000</v>
      </c>
      <c r="E125" s="449">
        <v>5000000</v>
      </c>
      <c r="F125" s="449">
        <f>D125-E125</f>
        <v>0</v>
      </c>
      <c r="G125" s="449">
        <v>2300000</v>
      </c>
      <c r="H125" s="449">
        <v>1381407</v>
      </c>
      <c r="I125" s="449">
        <v>0</v>
      </c>
      <c r="J125" s="449">
        <v>498918</v>
      </c>
      <c r="K125" s="449">
        <f>I125+J125</f>
        <v>498918</v>
      </c>
      <c r="L125" s="449">
        <f>H125+K125</f>
        <v>1880325</v>
      </c>
      <c r="M125" s="449">
        <f>P125+S125-400000+200000-15000</f>
        <v>4675</v>
      </c>
      <c r="N125" s="449">
        <f>500000-100000+15000</f>
        <v>415000</v>
      </c>
      <c r="O125" s="449">
        <f>D125-L125-M125-N125</f>
        <v>2700000</v>
      </c>
      <c r="P125" s="449">
        <f>G125-L125</f>
        <v>419675</v>
      </c>
      <c r="Q125" s="482"/>
      <c r="R125" s="449">
        <v>-200000</v>
      </c>
      <c r="S125" s="449">
        <f>SUM(Q125:R125)</f>
        <v>-200000</v>
      </c>
      <c r="T125" s="449">
        <f>P125-M125+S125</f>
        <v>215000</v>
      </c>
      <c r="U125" s="449">
        <f>N125-T125</f>
        <v>200000</v>
      </c>
      <c r="V125" s="449"/>
      <c r="W125" s="449">
        <f>U125-AA125-V125-Y125</f>
        <v>200000</v>
      </c>
      <c r="X125" s="449"/>
      <c r="Y125" s="449"/>
      <c r="Z125" s="449"/>
      <c r="AA125" s="448"/>
      <c r="AB125" s="448" t="s">
        <v>843</v>
      </c>
      <c r="AC125" s="448">
        <v>870000</v>
      </c>
    </row>
    <row r="126" spans="1:58" ht="40.200000000000003" customHeight="1">
      <c r="A126" s="448">
        <f t="shared" si="38"/>
        <v>99</v>
      </c>
      <c r="B126" s="448">
        <v>2131</v>
      </c>
      <c r="C126" s="448" t="s">
        <v>418</v>
      </c>
      <c r="D126" s="449">
        <v>7500000</v>
      </c>
      <c r="E126" s="449">
        <v>7500000</v>
      </c>
      <c r="F126" s="449">
        <f>D126-E126</f>
        <v>0</v>
      </c>
      <c r="G126" s="449">
        <v>4020000</v>
      </c>
      <c r="H126" s="449">
        <v>3818396</v>
      </c>
      <c r="I126" s="449">
        <v>0</v>
      </c>
      <c r="J126" s="449">
        <v>178564</v>
      </c>
      <c r="K126" s="449">
        <f>I126+J126</f>
        <v>178564</v>
      </c>
      <c r="L126" s="449">
        <f>H126+K126</f>
        <v>3996960</v>
      </c>
      <c r="M126" s="449">
        <f>P126+S126-20000</f>
        <v>3040</v>
      </c>
      <c r="N126" s="449">
        <v>20000</v>
      </c>
      <c r="O126" s="449">
        <f>D126-L126-M126-N126</f>
        <v>3480000</v>
      </c>
      <c r="P126" s="449">
        <f>G126-L126</f>
        <v>23040</v>
      </c>
      <c r="Q126" s="482"/>
      <c r="R126" s="449"/>
      <c r="S126" s="449">
        <f>SUM(Q126:R126)</f>
        <v>0</v>
      </c>
      <c r="T126" s="449">
        <f>P126-M126+S126</f>
        <v>20000</v>
      </c>
      <c r="U126" s="449">
        <f>N126-T126</f>
        <v>0</v>
      </c>
      <c r="V126" s="449"/>
      <c r="W126" s="449">
        <f>U126-AA126-V126-Y126</f>
        <v>1520000</v>
      </c>
      <c r="X126" s="449"/>
      <c r="Y126" s="449"/>
      <c r="Z126" s="449"/>
      <c r="AA126" s="449">
        <v>-1520000</v>
      </c>
      <c r="AB126" s="448" t="s">
        <v>552</v>
      </c>
      <c r="AC126" s="448">
        <v>870000</v>
      </c>
    </row>
    <row r="127" spans="1:58" ht="40.200000000000003" customHeight="1">
      <c r="A127" s="448">
        <f t="shared" si="38"/>
        <v>100</v>
      </c>
      <c r="B127" s="448">
        <v>2154</v>
      </c>
      <c r="C127" s="448" t="s">
        <v>431</v>
      </c>
      <c r="D127" s="449">
        <v>10500000</v>
      </c>
      <c r="E127" s="449">
        <v>10500000</v>
      </c>
      <c r="F127" s="449">
        <f>D127-E127</f>
        <v>0</v>
      </c>
      <c r="G127" s="449">
        <v>750000</v>
      </c>
      <c r="H127" s="449">
        <v>636412</v>
      </c>
      <c r="I127" s="449">
        <v>0</v>
      </c>
      <c r="J127" s="449">
        <v>33221</v>
      </c>
      <c r="K127" s="449">
        <f>I127+J127</f>
        <v>33221</v>
      </c>
      <c r="L127" s="449">
        <f>H127+K127</f>
        <v>669633</v>
      </c>
      <c r="M127" s="449">
        <f>P127+S127-80000</f>
        <v>367</v>
      </c>
      <c r="N127" s="449"/>
      <c r="O127" s="449">
        <f>D127-L127-M127-N127</f>
        <v>9830000</v>
      </c>
      <c r="P127" s="449">
        <f>G127-L127</f>
        <v>80367</v>
      </c>
      <c r="Q127" s="482"/>
      <c r="R127" s="449"/>
      <c r="S127" s="449">
        <f>SUM(Q127:R127)</f>
        <v>0</v>
      </c>
      <c r="T127" s="449">
        <f>P127-M127+S127</f>
        <v>80000</v>
      </c>
      <c r="U127" s="449">
        <f>N127-T127</f>
        <v>-80000</v>
      </c>
      <c r="V127" s="449"/>
      <c r="W127" s="449">
        <f>U127-AA127-V127-Y127</f>
        <v>-80000</v>
      </c>
      <c r="X127" s="449"/>
      <c r="Y127" s="449"/>
      <c r="Z127" s="449"/>
      <c r="AA127" s="448"/>
      <c r="AB127" s="448" t="s">
        <v>1518</v>
      </c>
      <c r="AC127" s="448">
        <v>870000</v>
      </c>
    </row>
    <row r="128" spans="1:58" ht="40.200000000000003" customHeight="1">
      <c r="A128" s="448">
        <f t="shared" si="38"/>
        <v>101</v>
      </c>
      <c r="B128" s="448">
        <v>20091</v>
      </c>
      <c r="C128" s="448" t="s">
        <v>937</v>
      </c>
      <c r="D128" s="449">
        <f>500000+375000+325000</f>
        <v>1200000</v>
      </c>
      <c r="E128" s="449">
        <v>500000</v>
      </c>
      <c r="F128" s="449">
        <f>D128-E128</f>
        <v>700000</v>
      </c>
      <c r="G128" s="449">
        <v>500000</v>
      </c>
      <c r="H128" s="449">
        <v>224455</v>
      </c>
      <c r="I128" s="449">
        <v>0</v>
      </c>
      <c r="J128" s="449">
        <v>275533</v>
      </c>
      <c r="K128" s="449">
        <f>I128+J128</f>
        <v>275533</v>
      </c>
      <c r="L128" s="449">
        <f>H128+K128</f>
        <v>499988</v>
      </c>
      <c r="M128" s="449">
        <f>P128+S128</f>
        <v>12</v>
      </c>
      <c r="N128" s="449">
        <f>375000+325000-300000</f>
        <v>400000</v>
      </c>
      <c r="O128" s="449">
        <f>D128-L128-M128-N128</f>
        <v>300000</v>
      </c>
      <c r="P128" s="449">
        <f>G128-L128</f>
        <v>12</v>
      </c>
      <c r="Q128" s="490"/>
      <c r="R128" s="449"/>
      <c r="S128" s="449">
        <f>SUM(Q128:R128)</f>
        <v>0</v>
      </c>
      <c r="T128" s="449">
        <f>P128-M128+S128</f>
        <v>0</v>
      </c>
      <c r="U128" s="449">
        <f>N128-T128</f>
        <v>400000</v>
      </c>
      <c r="V128" s="449"/>
      <c r="W128" s="449">
        <f>U128-AA128-V128-Y128</f>
        <v>400000</v>
      </c>
      <c r="X128" s="449"/>
      <c r="Y128" s="449"/>
      <c r="Z128" s="449"/>
      <c r="AA128" s="448"/>
      <c r="AB128" s="448" t="s">
        <v>953</v>
      </c>
      <c r="AC128" s="448">
        <v>870000</v>
      </c>
      <c r="AR128" s="485"/>
      <c r="AS128" s="485"/>
      <c r="AT128" s="485"/>
      <c r="AU128" s="485"/>
      <c r="AV128" s="485"/>
      <c r="AW128" s="485"/>
      <c r="AX128" s="485"/>
      <c r="AY128" s="485"/>
      <c r="AZ128" s="485"/>
      <c r="BA128" s="485"/>
      <c r="BB128" s="485"/>
      <c r="BC128" s="485"/>
      <c r="BD128" s="485"/>
      <c r="BE128" s="485"/>
      <c r="BF128" s="485"/>
    </row>
    <row r="129" spans="1:58" s="409" customFormat="1" ht="40.200000000000003" customHeight="1">
      <c r="A129" s="512"/>
      <c r="B129" s="512"/>
      <c r="C129" s="512" t="s">
        <v>1560</v>
      </c>
      <c r="D129" s="425">
        <f>SUM(D124:D128)</f>
        <v>24863752</v>
      </c>
      <c r="E129" s="425">
        <f t="shared" ref="E129:AA129" si="52">SUM(E124:E128)</f>
        <v>24170000</v>
      </c>
      <c r="F129" s="425">
        <f t="shared" si="52"/>
        <v>693752</v>
      </c>
      <c r="G129" s="425">
        <f t="shared" si="52"/>
        <v>8240000</v>
      </c>
      <c r="H129" s="425">
        <f t="shared" si="52"/>
        <v>6724422</v>
      </c>
      <c r="I129" s="425">
        <f t="shared" si="52"/>
        <v>0</v>
      </c>
      <c r="J129" s="425">
        <f t="shared" si="52"/>
        <v>986236</v>
      </c>
      <c r="K129" s="425">
        <f t="shared" si="52"/>
        <v>986236</v>
      </c>
      <c r="L129" s="425">
        <f t="shared" si="52"/>
        <v>7710658</v>
      </c>
      <c r="M129" s="425">
        <f t="shared" si="52"/>
        <v>8094</v>
      </c>
      <c r="N129" s="425">
        <f t="shared" si="52"/>
        <v>835000</v>
      </c>
      <c r="O129" s="425">
        <f t="shared" si="52"/>
        <v>16310000</v>
      </c>
      <c r="P129" s="425">
        <f t="shared" si="52"/>
        <v>529342</v>
      </c>
      <c r="Q129" s="425">
        <f t="shared" si="52"/>
        <v>0</v>
      </c>
      <c r="R129" s="425">
        <f t="shared" si="52"/>
        <v>-200000</v>
      </c>
      <c r="S129" s="425">
        <f t="shared" si="52"/>
        <v>-200000</v>
      </c>
      <c r="T129" s="425">
        <f t="shared" si="52"/>
        <v>321248</v>
      </c>
      <c r="U129" s="425">
        <f t="shared" si="52"/>
        <v>513752</v>
      </c>
      <c r="V129" s="425">
        <f t="shared" si="52"/>
        <v>0</v>
      </c>
      <c r="W129" s="425">
        <f t="shared" si="52"/>
        <v>2033752</v>
      </c>
      <c r="X129" s="425">
        <f t="shared" si="52"/>
        <v>0</v>
      </c>
      <c r="Y129" s="425">
        <f t="shared" si="52"/>
        <v>0</v>
      </c>
      <c r="Z129" s="425">
        <f t="shared" si="52"/>
        <v>0</v>
      </c>
      <c r="AA129" s="425">
        <f t="shared" si="52"/>
        <v>-1520000</v>
      </c>
      <c r="AB129" s="512"/>
      <c r="AC129" s="512"/>
      <c r="AD129" s="819"/>
      <c r="AE129" s="819"/>
      <c r="AF129" s="819"/>
      <c r="AG129" s="819"/>
      <c r="AH129" s="819"/>
      <c r="AI129" s="819"/>
      <c r="AJ129" s="819"/>
      <c r="AK129" s="819"/>
      <c r="AL129" s="819"/>
      <c r="AM129" s="819"/>
      <c r="AN129" s="819"/>
      <c r="AO129" s="819"/>
      <c r="AP129" s="819"/>
      <c r="AR129" s="823"/>
      <c r="AS129" s="823"/>
      <c r="AT129" s="823"/>
      <c r="AU129" s="823"/>
      <c r="AV129" s="823"/>
      <c r="AW129" s="823"/>
      <c r="AX129" s="823"/>
      <c r="AY129" s="823"/>
      <c r="AZ129" s="823"/>
      <c r="BA129" s="823"/>
      <c r="BB129" s="823"/>
      <c r="BC129" s="823"/>
      <c r="BD129" s="823"/>
      <c r="BE129" s="823"/>
      <c r="BF129" s="823"/>
    </row>
    <row r="130" spans="1:58" s="409" customFormat="1" ht="40.200000000000003" customHeight="1">
      <c r="A130" s="512"/>
      <c r="B130" s="512"/>
      <c r="C130" s="512">
        <v>93</v>
      </c>
      <c r="D130" s="425"/>
      <c r="E130" s="425"/>
      <c r="F130" s="425"/>
      <c r="G130" s="425"/>
      <c r="H130" s="425"/>
      <c r="I130" s="425"/>
      <c r="J130" s="425"/>
      <c r="K130" s="425"/>
      <c r="L130" s="425"/>
      <c r="M130" s="425"/>
      <c r="N130" s="425"/>
      <c r="O130" s="425"/>
      <c r="P130" s="425"/>
      <c r="Q130" s="822"/>
      <c r="R130" s="425"/>
      <c r="S130" s="425"/>
      <c r="T130" s="425"/>
      <c r="U130" s="425"/>
      <c r="V130" s="425"/>
      <c r="W130" s="425"/>
      <c r="X130" s="425"/>
      <c r="Y130" s="425"/>
      <c r="Z130" s="425"/>
      <c r="AA130" s="512"/>
      <c r="AB130" s="512"/>
      <c r="AC130" s="512"/>
      <c r="AD130" s="819"/>
      <c r="AE130" s="819"/>
      <c r="AF130" s="819"/>
      <c r="AG130" s="819"/>
      <c r="AH130" s="819"/>
      <c r="AI130" s="819"/>
      <c r="AJ130" s="819"/>
      <c r="AK130" s="819"/>
      <c r="AL130" s="819"/>
      <c r="AM130" s="819"/>
      <c r="AN130" s="819"/>
      <c r="AO130" s="819"/>
      <c r="AP130" s="819"/>
      <c r="AR130" s="823"/>
      <c r="AS130" s="823"/>
      <c r="AT130" s="823"/>
      <c r="AU130" s="823"/>
      <c r="AV130" s="823"/>
      <c r="AW130" s="823"/>
      <c r="AX130" s="823"/>
      <c r="AY130" s="823"/>
      <c r="AZ130" s="823"/>
      <c r="BA130" s="823"/>
      <c r="BB130" s="823"/>
      <c r="BC130" s="823"/>
      <c r="BD130" s="823"/>
      <c r="BE130" s="823"/>
      <c r="BF130" s="823"/>
    </row>
    <row r="131" spans="1:58" s="452" customFormat="1" ht="73.95" customHeight="1">
      <c r="A131" s="448">
        <f>A128+1</f>
        <v>102</v>
      </c>
      <c r="B131" s="448">
        <v>1416</v>
      </c>
      <c r="C131" s="448" t="s">
        <v>93</v>
      </c>
      <c r="D131" s="449">
        <f>4600000+600000-200000+470000</f>
        <v>5470000</v>
      </c>
      <c r="E131" s="449">
        <f>4000000+470000</f>
        <v>4470000</v>
      </c>
      <c r="F131" s="449">
        <f t="shared" ref="F131:F139" si="53">D131-E131</f>
        <v>1000000</v>
      </c>
      <c r="G131" s="449">
        <v>4000000</v>
      </c>
      <c r="H131" s="449">
        <v>4000429</v>
      </c>
      <c r="I131" s="449">
        <v>0</v>
      </c>
      <c r="J131" s="449"/>
      <c r="K131" s="449">
        <f t="shared" ref="K131:K139" si="54">I131+J131</f>
        <v>0</v>
      </c>
      <c r="L131" s="449">
        <f t="shared" ref="L131:L139" si="55">H131+K131</f>
        <v>4000429</v>
      </c>
      <c r="M131" s="449">
        <f>P131+S131-450000-15000</f>
        <v>4571</v>
      </c>
      <c r="N131" s="449">
        <f>1000000+450000-1000000+15000+235000+200000</f>
        <v>900000</v>
      </c>
      <c r="O131" s="449">
        <f t="shared" ref="O131:O139" si="56">D131-L131-M131-N131</f>
        <v>565000</v>
      </c>
      <c r="P131" s="449">
        <f t="shared" ref="P131:P139" si="57">G131-L131</f>
        <v>-429</v>
      </c>
      <c r="Q131" s="482"/>
      <c r="R131" s="449">
        <v>470000</v>
      </c>
      <c r="S131" s="449">
        <f t="shared" ref="S131:S139" si="58">SUM(Q131:R131)</f>
        <v>470000</v>
      </c>
      <c r="T131" s="449">
        <f t="shared" ref="T131:T139" si="59">P131-M131+S131</f>
        <v>465000</v>
      </c>
      <c r="U131" s="449">
        <f t="shared" ref="U131:U139" si="60">N131-T131</f>
        <v>435000</v>
      </c>
      <c r="V131" s="449"/>
      <c r="W131" s="449">
        <f t="shared" ref="W131:W139" si="61">U131-AA131-V131-Y131</f>
        <v>435000</v>
      </c>
      <c r="X131" s="449"/>
      <c r="Y131" s="449"/>
      <c r="Z131" s="449"/>
      <c r="AA131" s="448"/>
      <c r="AB131" s="448" t="s">
        <v>891</v>
      </c>
      <c r="AC131" s="448">
        <v>930000</v>
      </c>
      <c r="AD131" s="756"/>
      <c r="AE131" s="756"/>
      <c r="AF131" s="756"/>
      <c r="AG131" s="756"/>
      <c r="AH131" s="756"/>
      <c r="AI131" s="756"/>
      <c r="AJ131" s="756"/>
      <c r="AK131" s="756"/>
      <c r="AL131" s="756"/>
      <c r="AM131" s="756"/>
      <c r="AN131" s="756"/>
      <c r="AO131" s="756"/>
      <c r="AP131" s="756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s="452" customFormat="1" ht="73.2" customHeight="1">
      <c r="A132" s="448">
        <f t="shared" si="38"/>
        <v>103</v>
      </c>
      <c r="B132" s="448">
        <v>2133</v>
      </c>
      <c r="C132" s="448" t="s">
        <v>376</v>
      </c>
      <c r="D132" s="449">
        <v>5150000</v>
      </c>
      <c r="E132" s="449">
        <v>5150000</v>
      </c>
      <c r="F132" s="449">
        <f t="shared" si="53"/>
        <v>0</v>
      </c>
      <c r="G132" s="449">
        <v>2950000</v>
      </c>
      <c r="H132" s="449">
        <v>2669254</v>
      </c>
      <c r="I132" s="449">
        <v>0</v>
      </c>
      <c r="J132" s="449"/>
      <c r="K132" s="449">
        <f t="shared" si="54"/>
        <v>0</v>
      </c>
      <c r="L132" s="449">
        <f t="shared" si="55"/>
        <v>2669254</v>
      </c>
      <c r="M132" s="449">
        <f>P132+S132-270000-10000</f>
        <v>746</v>
      </c>
      <c r="N132" s="449">
        <f>500000+270000-100000+10000</f>
        <v>680000</v>
      </c>
      <c r="O132" s="449">
        <f t="shared" si="56"/>
        <v>1800000</v>
      </c>
      <c r="P132" s="449">
        <f t="shared" si="57"/>
        <v>280746</v>
      </c>
      <c r="Q132" s="449"/>
      <c r="R132" s="449"/>
      <c r="S132" s="449">
        <f t="shared" si="58"/>
        <v>0</v>
      </c>
      <c r="T132" s="449">
        <f t="shared" si="59"/>
        <v>280000</v>
      </c>
      <c r="U132" s="449">
        <f t="shared" si="60"/>
        <v>400000</v>
      </c>
      <c r="V132" s="449"/>
      <c r="W132" s="449">
        <f t="shared" si="61"/>
        <v>400000</v>
      </c>
      <c r="X132" s="449"/>
      <c r="Y132" s="449"/>
      <c r="Z132" s="449"/>
      <c r="AA132" s="448"/>
      <c r="AB132" s="448" t="s">
        <v>894</v>
      </c>
      <c r="AC132" s="448">
        <v>930000</v>
      </c>
      <c r="AD132" s="756"/>
      <c r="AE132" s="756"/>
      <c r="AF132" s="756"/>
      <c r="AG132" s="756"/>
      <c r="AH132" s="756"/>
      <c r="AI132" s="756"/>
      <c r="AJ132" s="756"/>
      <c r="AK132" s="756"/>
      <c r="AL132" s="756"/>
      <c r="AM132" s="756"/>
      <c r="AN132" s="756"/>
      <c r="AO132" s="756"/>
      <c r="AP132" s="756"/>
      <c r="AQ132"/>
      <c r="AR132" s="315"/>
      <c r="AS132" s="315"/>
      <c r="AT132" s="315"/>
      <c r="AU132" s="315"/>
      <c r="AV132" s="315"/>
      <c r="AW132" s="315"/>
      <c r="AX132" s="315"/>
      <c r="AY132" s="315"/>
      <c r="AZ132" s="315"/>
      <c r="BA132" s="315"/>
      <c r="BB132" s="315"/>
      <c r="BC132" s="315"/>
      <c r="BD132" s="315"/>
      <c r="BE132" s="315"/>
      <c r="BF132" s="315"/>
    </row>
    <row r="133" spans="1:58" s="452" customFormat="1" ht="34.200000000000003" customHeight="1">
      <c r="A133" s="448">
        <f t="shared" si="38"/>
        <v>104</v>
      </c>
      <c r="B133" s="448">
        <v>2184</v>
      </c>
      <c r="C133" s="448" t="s">
        <v>934</v>
      </c>
      <c r="D133" s="419">
        <f>2180000+315000</f>
        <v>2495000</v>
      </c>
      <c r="E133" s="419">
        <v>2180000</v>
      </c>
      <c r="F133" s="449">
        <f t="shared" si="53"/>
        <v>315000</v>
      </c>
      <c r="G133" s="419">
        <v>560000</v>
      </c>
      <c r="H133" s="419">
        <v>43432</v>
      </c>
      <c r="I133" s="419">
        <v>0</v>
      </c>
      <c r="J133" s="419">
        <v>499979</v>
      </c>
      <c r="K133" s="449">
        <f t="shared" si="54"/>
        <v>499979</v>
      </c>
      <c r="L133" s="449">
        <f t="shared" si="55"/>
        <v>543411</v>
      </c>
      <c r="M133" s="449">
        <f>P133+S133</f>
        <v>16589</v>
      </c>
      <c r="N133" s="449">
        <f>1935000-435000</f>
        <v>1500000</v>
      </c>
      <c r="O133" s="449">
        <f t="shared" si="56"/>
        <v>435000</v>
      </c>
      <c r="P133" s="449">
        <f t="shared" si="57"/>
        <v>16589</v>
      </c>
      <c r="Q133" s="482"/>
      <c r="R133" s="449"/>
      <c r="S133" s="449">
        <f t="shared" si="58"/>
        <v>0</v>
      </c>
      <c r="T133" s="449">
        <f t="shared" si="59"/>
        <v>0</v>
      </c>
      <c r="U133" s="449">
        <f t="shared" si="60"/>
        <v>1500000</v>
      </c>
      <c r="V133" s="449">
        <v>1500000</v>
      </c>
      <c r="W133" s="449">
        <f t="shared" si="61"/>
        <v>0</v>
      </c>
      <c r="X133" s="419"/>
      <c r="Y133" s="419"/>
      <c r="Z133" s="419"/>
      <c r="AA133" s="469"/>
      <c r="AB133" s="448" t="s">
        <v>516</v>
      </c>
      <c r="AC133" s="448">
        <v>930000</v>
      </c>
      <c r="AD133" s="756"/>
      <c r="AE133" s="756"/>
      <c r="AF133" s="756"/>
      <c r="AG133" s="756"/>
      <c r="AH133" s="756"/>
      <c r="AI133" s="756"/>
      <c r="AJ133" s="756"/>
      <c r="AK133" s="756"/>
      <c r="AL133" s="756"/>
      <c r="AM133" s="756"/>
      <c r="AN133" s="756"/>
      <c r="AO133" s="756"/>
      <c r="AP133" s="756"/>
      <c r="AQ133"/>
      <c r="AR133" s="487"/>
      <c r="AS133" s="487"/>
      <c r="AT133" s="487"/>
      <c r="AU133" s="487"/>
      <c r="AV133" s="487"/>
      <c r="AW133" s="487"/>
      <c r="AX133"/>
      <c r="AY133"/>
      <c r="AZ133"/>
      <c r="BA133"/>
      <c r="BB133"/>
      <c r="BC133"/>
      <c r="BD133"/>
      <c r="BE133"/>
      <c r="BF133"/>
    </row>
    <row r="134" spans="1:58" s="452" customFormat="1" ht="25.2" customHeight="1">
      <c r="A134" s="448">
        <f t="shared" si="38"/>
        <v>105</v>
      </c>
      <c r="B134" s="448">
        <v>20052</v>
      </c>
      <c r="C134" s="448" t="s">
        <v>739</v>
      </c>
      <c r="D134" s="449">
        <f>2820553-207</f>
        <v>2820346</v>
      </c>
      <c r="E134" s="449">
        <v>2820553</v>
      </c>
      <c r="F134" s="449">
        <f t="shared" si="53"/>
        <v>-207</v>
      </c>
      <c r="G134" s="449">
        <v>2820553</v>
      </c>
      <c r="H134" s="449">
        <v>2820346</v>
      </c>
      <c r="I134" s="449">
        <v>0</v>
      </c>
      <c r="J134" s="449">
        <v>0</v>
      </c>
      <c r="K134" s="449">
        <f t="shared" si="54"/>
        <v>0</v>
      </c>
      <c r="L134" s="449">
        <f t="shared" si="55"/>
        <v>2820346</v>
      </c>
      <c r="M134" s="449">
        <f>P134+S134-207</f>
        <v>0</v>
      </c>
      <c r="N134" s="449"/>
      <c r="O134" s="449">
        <f t="shared" si="56"/>
        <v>0</v>
      </c>
      <c r="P134" s="449">
        <f t="shared" si="57"/>
        <v>207</v>
      </c>
      <c r="Q134" s="482"/>
      <c r="R134" s="449"/>
      <c r="S134" s="449">
        <f t="shared" si="58"/>
        <v>0</v>
      </c>
      <c r="T134" s="449">
        <f t="shared" si="59"/>
        <v>207</v>
      </c>
      <c r="U134" s="449">
        <f t="shared" si="60"/>
        <v>-207</v>
      </c>
      <c r="V134" s="449"/>
      <c r="W134" s="449">
        <f t="shared" si="61"/>
        <v>-207</v>
      </c>
      <c r="X134" s="449"/>
      <c r="Y134" s="449"/>
      <c r="Z134" s="449"/>
      <c r="AA134" s="448"/>
      <c r="AB134" s="448" t="s">
        <v>1335</v>
      </c>
      <c r="AC134" s="448">
        <v>930000</v>
      </c>
      <c r="AD134" s="756"/>
      <c r="AE134" s="756"/>
      <c r="AF134" s="756"/>
      <c r="AG134" s="756"/>
      <c r="AH134" s="756"/>
      <c r="AI134" s="756"/>
      <c r="AJ134" s="756"/>
      <c r="AK134" s="756"/>
      <c r="AL134" s="756"/>
      <c r="AM134" s="756"/>
      <c r="AN134" s="756"/>
      <c r="AO134" s="756"/>
      <c r="AP134" s="756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</row>
    <row r="135" spans="1:58" s="452" customFormat="1" ht="55.2">
      <c r="A135" s="448">
        <f t="shared" si="38"/>
        <v>106</v>
      </c>
      <c r="B135" s="448">
        <v>20074</v>
      </c>
      <c r="C135" s="448" t="s">
        <v>815</v>
      </c>
      <c r="D135" s="449">
        <v>1500000</v>
      </c>
      <c r="E135" s="449">
        <v>1500000</v>
      </c>
      <c r="F135" s="449">
        <f t="shared" si="53"/>
        <v>0</v>
      </c>
      <c r="G135" s="449">
        <v>700000</v>
      </c>
      <c r="H135" s="449">
        <v>0</v>
      </c>
      <c r="I135" s="449">
        <v>0</v>
      </c>
      <c r="J135" s="449">
        <v>0</v>
      </c>
      <c r="K135" s="449">
        <f t="shared" si="54"/>
        <v>0</v>
      </c>
      <c r="L135" s="449">
        <f t="shared" si="55"/>
        <v>0</v>
      </c>
      <c r="M135" s="449">
        <f>P135+S135</f>
        <v>0</v>
      </c>
      <c r="N135" s="449">
        <v>700000</v>
      </c>
      <c r="O135" s="449">
        <f t="shared" si="56"/>
        <v>800000</v>
      </c>
      <c r="P135" s="449">
        <f t="shared" si="57"/>
        <v>700000</v>
      </c>
      <c r="Q135" s="482"/>
      <c r="R135" s="449">
        <v>-700000</v>
      </c>
      <c r="S135" s="449">
        <f t="shared" si="58"/>
        <v>-700000</v>
      </c>
      <c r="T135" s="449">
        <f t="shared" si="59"/>
        <v>0</v>
      </c>
      <c r="U135" s="449">
        <f t="shared" si="60"/>
        <v>700000</v>
      </c>
      <c r="V135" s="449"/>
      <c r="W135" s="449">
        <f t="shared" si="61"/>
        <v>700000</v>
      </c>
      <c r="X135" s="449"/>
      <c r="Y135" s="449"/>
      <c r="Z135" s="449"/>
      <c r="AA135" s="448"/>
      <c r="AB135" s="448" t="s">
        <v>864</v>
      </c>
      <c r="AC135" s="448">
        <v>930000</v>
      </c>
      <c r="AD135" s="756"/>
      <c r="AE135" s="756"/>
      <c r="AF135" s="756"/>
      <c r="AG135" s="756"/>
      <c r="AH135" s="756"/>
      <c r="AI135" s="756"/>
      <c r="AJ135" s="756"/>
      <c r="AK135" s="756"/>
      <c r="AL135" s="756"/>
      <c r="AM135" s="756"/>
      <c r="AN135" s="756"/>
      <c r="AO135" s="756"/>
      <c r="AP135" s="756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</row>
    <row r="136" spans="1:58" s="452" customFormat="1" ht="30.6" customHeight="1">
      <c r="A136" s="448">
        <f t="shared" si="38"/>
        <v>107</v>
      </c>
      <c r="B136" s="448">
        <v>20092</v>
      </c>
      <c r="C136" s="448" t="s">
        <v>938</v>
      </c>
      <c r="D136" s="449">
        <v>530000</v>
      </c>
      <c r="E136" s="449">
        <v>530000</v>
      </c>
      <c r="F136" s="449">
        <f t="shared" si="53"/>
        <v>0</v>
      </c>
      <c r="G136" s="449">
        <v>530000</v>
      </c>
      <c r="H136" s="449">
        <v>530000</v>
      </c>
      <c r="I136" s="449">
        <v>0</v>
      </c>
      <c r="J136" s="449"/>
      <c r="K136" s="449">
        <f t="shared" si="54"/>
        <v>0</v>
      </c>
      <c r="L136" s="449">
        <f t="shared" si="55"/>
        <v>530000</v>
      </c>
      <c r="M136" s="449">
        <f>P136+S136</f>
        <v>0</v>
      </c>
      <c r="N136" s="449"/>
      <c r="O136" s="449">
        <f t="shared" si="56"/>
        <v>0</v>
      </c>
      <c r="P136" s="449">
        <f t="shared" si="57"/>
        <v>0</v>
      </c>
      <c r="Q136" s="482"/>
      <c r="R136" s="449"/>
      <c r="S136" s="449">
        <f t="shared" si="58"/>
        <v>0</v>
      </c>
      <c r="T136" s="449">
        <f t="shared" si="59"/>
        <v>0</v>
      </c>
      <c r="U136" s="449">
        <f t="shared" si="60"/>
        <v>0</v>
      </c>
      <c r="V136" s="449"/>
      <c r="W136" s="449">
        <f t="shared" si="61"/>
        <v>0</v>
      </c>
      <c r="X136" s="449"/>
      <c r="Y136" s="449"/>
      <c r="Z136" s="449"/>
      <c r="AA136" s="448"/>
      <c r="AB136" s="448" t="s">
        <v>1452</v>
      </c>
      <c r="AC136" s="448">
        <v>930000</v>
      </c>
      <c r="AD136" s="756"/>
      <c r="AE136" s="756"/>
      <c r="AF136" s="756"/>
      <c r="AG136" s="756"/>
      <c r="AH136" s="756"/>
      <c r="AI136" s="756"/>
      <c r="AJ136" s="756"/>
      <c r="AK136" s="756"/>
      <c r="AL136" s="756"/>
      <c r="AM136" s="756"/>
      <c r="AN136" s="756"/>
      <c r="AO136" s="756"/>
      <c r="AP136" s="75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</row>
    <row r="137" spans="1:58" s="452" customFormat="1" ht="30.6" customHeight="1">
      <c r="A137" s="448">
        <f t="shared" si="38"/>
        <v>108</v>
      </c>
      <c r="B137" s="448">
        <v>20095</v>
      </c>
      <c r="C137" s="448" t="s">
        <v>940</v>
      </c>
      <c r="D137" s="449">
        <v>1000000</v>
      </c>
      <c r="E137" s="449">
        <v>1000000</v>
      </c>
      <c r="F137" s="449">
        <f t="shared" si="53"/>
        <v>0</v>
      </c>
      <c r="G137" s="449">
        <v>1000000</v>
      </c>
      <c r="H137" s="449">
        <v>299790</v>
      </c>
      <c r="I137" s="449">
        <v>0</v>
      </c>
      <c r="J137" s="449">
        <v>349994</v>
      </c>
      <c r="K137" s="449">
        <f t="shared" si="54"/>
        <v>349994</v>
      </c>
      <c r="L137" s="449">
        <f t="shared" si="55"/>
        <v>649784</v>
      </c>
      <c r="M137" s="449">
        <f>P137+S137-350000</f>
        <v>216</v>
      </c>
      <c r="N137" s="449">
        <v>350000</v>
      </c>
      <c r="O137" s="449">
        <f t="shared" si="56"/>
        <v>0</v>
      </c>
      <c r="P137" s="449">
        <f t="shared" si="57"/>
        <v>350216</v>
      </c>
      <c r="Q137" s="482"/>
      <c r="R137" s="449"/>
      <c r="S137" s="449">
        <f t="shared" si="58"/>
        <v>0</v>
      </c>
      <c r="T137" s="449">
        <f t="shared" si="59"/>
        <v>350000</v>
      </c>
      <c r="U137" s="449">
        <f t="shared" si="60"/>
        <v>0</v>
      </c>
      <c r="V137" s="449"/>
      <c r="W137" s="449">
        <f t="shared" si="61"/>
        <v>0</v>
      </c>
      <c r="X137" s="449"/>
      <c r="Y137" s="449"/>
      <c r="Z137" s="449"/>
      <c r="AA137" s="448"/>
      <c r="AB137" s="448" t="s">
        <v>954</v>
      </c>
      <c r="AC137" s="448">
        <v>930000</v>
      </c>
      <c r="AD137" s="756"/>
      <c r="AE137" s="756"/>
      <c r="AF137" s="756"/>
      <c r="AG137" s="756"/>
      <c r="AH137" s="756"/>
      <c r="AI137" s="756"/>
      <c r="AJ137" s="756"/>
      <c r="AK137" s="756"/>
      <c r="AL137" s="756"/>
      <c r="AM137" s="756"/>
      <c r="AN137" s="756"/>
      <c r="AO137" s="756"/>
      <c r="AP137" s="756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</row>
    <row r="138" spans="1:58" s="452" customFormat="1" ht="30.6" customHeight="1">
      <c r="A138" s="448">
        <f t="shared" si="38"/>
        <v>109</v>
      </c>
      <c r="B138" s="448">
        <v>20096</v>
      </c>
      <c r="C138" s="448" t="s">
        <v>941</v>
      </c>
      <c r="D138" s="449">
        <v>2050000</v>
      </c>
      <c r="E138" s="449">
        <v>2050000</v>
      </c>
      <c r="F138" s="449">
        <f t="shared" si="53"/>
        <v>0</v>
      </c>
      <c r="G138" s="449">
        <v>2050000</v>
      </c>
      <c r="H138" s="449">
        <v>1513333</v>
      </c>
      <c r="I138" s="449">
        <v>0</v>
      </c>
      <c r="J138" s="449">
        <f>22753+425922</f>
        <v>448675</v>
      </c>
      <c r="K138" s="449">
        <f t="shared" si="54"/>
        <v>448675</v>
      </c>
      <c r="L138" s="449">
        <f t="shared" si="55"/>
        <v>1962008</v>
      </c>
      <c r="M138" s="449">
        <f>P138+S138-85000</f>
        <v>2992</v>
      </c>
      <c r="N138" s="449">
        <f>80000+5000</f>
        <v>85000</v>
      </c>
      <c r="O138" s="449">
        <f t="shared" si="56"/>
        <v>0</v>
      </c>
      <c r="P138" s="449">
        <f t="shared" si="57"/>
        <v>87992</v>
      </c>
      <c r="Q138" s="482"/>
      <c r="R138" s="449"/>
      <c r="S138" s="449">
        <f t="shared" si="58"/>
        <v>0</v>
      </c>
      <c r="T138" s="449">
        <f t="shared" si="59"/>
        <v>85000</v>
      </c>
      <c r="U138" s="449">
        <f t="shared" si="60"/>
        <v>0</v>
      </c>
      <c r="V138" s="449"/>
      <c r="W138" s="449">
        <f t="shared" si="61"/>
        <v>0</v>
      </c>
      <c r="X138" s="449"/>
      <c r="Y138" s="449"/>
      <c r="Z138" s="449"/>
      <c r="AA138" s="448"/>
      <c r="AB138" s="448" t="s">
        <v>955</v>
      </c>
      <c r="AC138" s="448">
        <v>930000</v>
      </c>
      <c r="AD138" s="756"/>
      <c r="AE138" s="756"/>
      <c r="AF138" s="756"/>
      <c r="AG138" s="756"/>
      <c r="AH138" s="756"/>
      <c r="AI138" s="756"/>
      <c r="AJ138" s="756"/>
      <c r="AK138" s="756"/>
      <c r="AL138" s="756"/>
      <c r="AM138" s="756"/>
      <c r="AN138" s="756"/>
      <c r="AO138" s="756"/>
      <c r="AP138" s="756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</row>
    <row r="139" spans="1:58" s="452" customFormat="1" ht="41.4">
      <c r="A139" s="448">
        <f t="shared" si="38"/>
        <v>110</v>
      </c>
      <c r="B139" s="448">
        <v>20123</v>
      </c>
      <c r="C139" s="135" t="s">
        <v>1358</v>
      </c>
      <c r="D139" s="120">
        <f>600000-250000</f>
        <v>350000</v>
      </c>
      <c r="E139" s="120"/>
      <c r="F139" s="120">
        <f t="shared" si="53"/>
        <v>350000</v>
      </c>
      <c r="G139" s="120">
        <v>0</v>
      </c>
      <c r="H139" s="120"/>
      <c r="I139" s="120"/>
      <c r="J139" s="120"/>
      <c r="K139" s="120">
        <f t="shared" si="54"/>
        <v>0</v>
      </c>
      <c r="L139" s="120">
        <f t="shared" si="55"/>
        <v>0</v>
      </c>
      <c r="M139" s="120">
        <f>P139+S139</f>
        <v>0</v>
      </c>
      <c r="N139" s="120">
        <f>600000-250000</f>
        <v>350000</v>
      </c>
      <c r="O139" s="120">
        <f t="shared" si="56"/>
        <v>0</v>
      </c>
      <c r="P139" s="120">
        <f t="shared" si="57"/>
        <v>0</v>
      </c>
      <c r="Q139" s="120"/>
      <c r="R139" s="120"/>
      <c r="S139" s="120">
        <f t="shared" si="58"/>
        <v>0</v>
      </c>
      <c r="T139" s="120">
        <f t="shared" si="59"/>
        <v>0</v>
      </c>
      <c r="U139" s="449">
        <f t="shared" si="60"/>
        <v>350000</v>
      </c>
      <c r="V139" s="120"/>
      <c r="W139" s="449">
        <f t="shared" si="61"/>
        <v>350000</v>
      </c>
      <c r="X139" s="120"/>
      <c r="Y139" s="120"/>
      <c r="Z139" s="120"/>
      <c r="AA139" s="120"/>
      <c r="AB139" s="448" t="s">
        <v>1497</v>
      </c>
      <c r="AC139" s="448">
        <v>930000</v>
      </c>
      <c r="AD139" s="756"/>
      <c r="AE139" s="756"/>
      <c r="AF139" s="756"/>
      <c r="AG139" s="756"/>
      <c r="AH139" s="756"/>
      <c r="AI139" s="756"/>
      <c r="AJ139" s="756"/>
      <c r="AK139" s="756"/>
      <c r="AL139" s="756"/>
      <c r="AM139" s="756"/>
      <c r="AN139" s="756"/>
      <c r="AO139" s="756"/>
      <c r="AP139" s="756"/>
      <c r="AQ139"/>
      <c r="AR139" s="465"/>
      <c r="AS139" s="465"/>
      <c r="AT139" s="465"/>
      <c r="AU139" s="465"/>
      <c r="AV139" s="465"/>
      <c r="AW139" s="465"/>
      <c r="AX139" s="272"/>
      <c r="AY139" s="272"/>
      <c r="AZ139" s="272"/>
      <c r="BA139" s="272"/>
      <c r="BB139" s="272"/>
      <c r="BC139" s="272"/>
      <c r="BD139" s="272"/>
      <c r="BE139" s="272"/>
      <c r="BF139" s="272"/>
    </row>
    <row r="140" spans="1:58" s="456" customFormat="1">
      <c r="A140" s="512"/>
      <c r="B140" s="512"/>
      <c r="C140" s="137" t="s">
        <v>1570</v>
      </c>
      <c r="D140" s="138">
        <f>SUM(D131:D139)</f>
        <v>21365346</v>
      </c>
      <c r="E140" s="138">
        <f t="shared" ref="E140:AA140" si="62">SUM(E131:E139)</f>
        <v>19700553</v>
      </c>
      <c r="F140" s="138">
        <f t="shared" si="62"/>
        <v>1664793</v>
      </c>
      <c r="G140" s="138">
        <f t="shared" si="62"/>
        <v>14610553</v>
      </c>
      <c r="H140" s="138">
        <f t="shared" si="62"/>
        <v>11876584</v>
      </c>
      <c r="I140" s="138">
        <f t="shared" si="62"/>
        <v>0</v>
      </c>
      <c r="J140" s="138">
        <f t="shared" si="62"/>
        <v>1298648</v>
      </c>
      <c r="K140" s="138">
        <f t="shared" si="62"/>
        <v>1298648</v>
      </c>
      <c r="L140" s="138">
        <f t="shared" si="62"/>
        <v>13175232</v>
      </c>
      <c r="M140" s="138">
        <f t="shared" si="62"/>
        <v>25114</v>
      </c>
      <c r="N140" s="138">
        <f t="shared" si="62"/>
        <v>4565000</v>
      </c>
      <c r="O140" s="138">
        <f t="shared" si="62"/>
        <v>3600000</v>
      </c>
      <c r="P140" s="138">
        <f t="shared" si="62"/>
        <v>1435321</v>
      </c>
      <c r="Q140" s="138">
        <f t="shared" si="62"/>
        <v>0</v>
      </c>
      <c r="R140" s="138">
        <f t="shared" si="62"/>
        <v>-230000</v>
      </c>
      <c r="S140" s="138">
        <f t="shared" si="62"/>
        <v>-230000</v>
      </c>
      <c r="T140" s="138">
        <f t="shared" si="62"/>
        <v>1180207</v>
      </c>
      <c r="U140" s="138">
        <f t="shared" si="62"/>
        <v>3384793</v>
      </c>
      <c r="V140" s="138">
        <f t="shared" si="62"/>
        <v>1500000</v>
      </c>
      <c r="W140" s="138">
        <f t="shared" si="62"/>
        <v>1884793</v>
      </c>
      <c r="X140" s="138">
        <f t="shared" si="62"/>
        <v>0</v>
      </c>
      <c r="Y140" s="138">
        <f t="shared" si="62"/>
        <v>0</v>
      </c>
      <c r="Z140" s="138">
        <f t="shared" si="62"/>
        <v>0</v>
      </c>
      <c r="AA140" s="138">
        <f t="shared" si="62"/>
        <v>0</v>
      </c>
      <c r="AB140" s="512"/>
      <c r="AC140" s="512"/>
      <c r="AD140" s="819"/>
      <c r="AE140" s="819"/>
      <c r="AF140" s="819"/>
      <c r="AG140" s="819"/>
      <c r="AH140" s="819"/>
      <c r="AI140" s="819"/>
      <c r="AJ140" s="819"/>
      <c r="AK140" s="819"/>
      <c r="AL140" s="819"/>
      <c r="AM140" s="819"/>
      <c r="AN140" s="819"/>
      <c r="AO140" s="819"/>
      <c r="AP140" s="819"/>
      <c r="AQ140" s="409"/>
      <c r="AR140" s="514"/>
      <c r="AS140" s="514"/>
      <c r="AT140" s="514"/>
      <c r="AU140" s="514"/>
      <c r="AV140" s="514"/>
      <c r="AW140" s="514"/>
      <c r="AX140" s="374"/>
      <c r="AY140" s="374"/>
      <c r="AZ140" s="374"/>
      <c r="BA140" s="374"/>
      <c r="BB140" s="374"/>
      <c r="BC140" s="374"/>
      <c r="BD140" s="374"/>
      <c r="BE140" s="374"/>
      <c r="BF140" s="374"/>
    </row>
    <row r="141" spans="1:58" s="473" customFormat="1" ht="25.2" customHeight="1">
      <c r="A141" s="249">
        <f>COUNT(A6:A139)</f>
        <v>110</v>
      </c>
      <c r="B141" s="454"/>
      <c r="C141" s="219" t="s">
        <v>668</v>
      </c>
      <c r="D141" s="249">
        <f>D7+D14+D17+D43+D61+D64+D67+D101+D112+D118+D122+D129+D140</f>
        <v>940096894</v>
      </c>
      <c r="E141" s="249">
        <f t="shared" ref="E141:AA141" si="63">E7+E14+E17+E43+E61+E64+E67+E101+E112+E118+E122+E129+E140</f>
        <v>823808906</v>
      </c>
      <c r="F141" s="249">
        <f t="shared" si="63"/>
        <v>116287988</v>
      </c>
      <c r="G141" s="249">
        <f t="shared" si="63"/>
        <v>659925203</v>
      </c>
      <c r="H141" s="249">
        <f t="shared" si="63"/>
        <v>596264862</v>
      </c>
      <c r="I141" s="249">
        <f t="shared" si="63"/>
        <v>4044440</v>
      </c>
      <c r="J141" s="249">
        <f t="shared" si="63"/>
        <v>33517082</v>
      </c>
      <c r="K141" s="249">
        <f t="shared" si="63"/>
        <v>37561522</v>
      </c>
      <c r="L141" s="249">
        <f t="shared" si="63"/>
        <v>633826384</v>
      </c>
      <c r="M141" s="249">
        <f t="shared" si="63"/>
        <v>295768</v>
      </c>
      <c r="N141" s="249">
        <f t="shared" si="63"/>
        <v>103786594</v>
      </c>
      <c r="O141" s="249">
        <f t="shared" si="63"/>
        <v>202188148</v>
      </c>
      <c r="P141" s="249">
        <f t="shared" si="63"/>
        <v>26098819</v>
      </c>
      <c r="Q141" s="249">
        <f t="shared" si="63"/>
        <v>700000</v>
      </c>
      <c r="R141" s="249">
        <f t="shared" si="63"/>
        <v>10200000</v>
      </c>
      <c r="S141" s="249">
        <f t="shared" si="63"/>
        <v>10900000</v>
      </c>
      <c r="T141" s="249">
        <f t="shared" si="63"/>
        <v>36703051</v>
      </c>
      <c r="U141" s="249">
        <f t="shared" si="63"/>
        <v>67083543</v>
      </c>
      <c r="V141" s="249">
        <f t="shared" si="63"/>
        <v>8775568</v>
      </c>
      <c r="W141" s="249">
        <f t="shared" si="63"/>
        <v>22573844</v>
      </c>
      <c r="X141" s="249">
        <f t="shared" si="63"/>
        <v>0</v>
      </c>
      <c r="Y141" s="249">
        <f t="shared" si="63"/>
        <v>23905000</v>
      </c>
      <c r="Z141" s="249">
        <f t="shared" si="63"/>
        <v>0</v>
      </c>
      <c r="AA141" s="249">
        <f t="shared" si="63"/>
        <v>11829131</v>
      </c>
      <c r="AB141" s="249">
        <f t="shared" ref="AB141" si="64">SUM(AB6:AB139)</f>
        <v>0</v>
      </c>
      <c r="AC141" s="249"/>
      <c r="AD141" s="756"/>
      <c r="AE141" s="756"/>
      <c r="AF141" s="756"/>
      <c r="AG141" s="756"/>
      <c r="AH141" s="756"/>
      <c r="AI141" s="756"/>
      <c r="AJ141" s="756"/>
      <c r="AK141" s="756"/>
      <c r="AL141" s="756"/>
      <c r="AM141" s="756"/>
      <c r="AN141" s="756"/>
      <c r="AO141" s="756"/>
      <c r="AP141" s="756"/>
      <c r="AQ141"/>
      <c r="AR141" s="472"/>
      <c r="AS141" s="472"/>
      <c r="AT141" s="472"/>
      <c r="AU141" s="472"/>
      <c r="AV141" s="472"/>
      <c r="AW141" s="472"/>
      <c r="AX141" s="359"/>
      <c r="AY141" s="359"/>
      <c r="AZ141" s="359"/>
      <c r="BA141" s="359"/>
      <c r="BB141" s="359"/>
      <c r="BC141" s="359"/>
      <c r="BD141" s="359"/>
      <c r="BE141" s="359"/>
      <c r="BF141" s="359"/>
    </row>
    <row r="142" spans="1:58" s="473" customFormat="1" ht="25.2" customHeight="1">
      <c r="A142" s="428"/>
      <c r="B142" s="561"/>
      <c r="C142" s="427"/>
      <c r="D142" s="492">
        <f>SUM(L141:O141)</f>
        <v>940096894</v>
      </c>
      <c r="E142" s="467"/>
      <c r="F142" s="493">
        <f>D141-E141</f>
        <v>116287988</v>
      </c>
      <c r="G142" s="493"/>
      <c r="H142" s="493"/>
      <c r="I142" s="493"/>
      <c r="J142" s="493"/>
      <c r="K142" s="493"/>
      <c r="L142" s="492">
        <f>H141+K141</f>
        <v>633826384</v>
      </c>
      <c r="M142" s="493"/>
      <c r="N142" s="493"/>
      <c r="O142" s="493"/>
      <c r="P142" s="492">
        <f>G141-L142</f>
        <v>26098819</v>
      </c>
      <c r="Q142" s="493"/>
      <c r="R142" s="493"/>
      <c r="S142" s="493"/>
      <c r="T142" s="492">
        <f>P142+S141-M141</f>
        <v>36703051</v>
      </c>
      <c r="U142" s="492">
        <f>N141-T142</f>
        <v>67083543</v>
      </c>
      <c r="V142" s="428"/>
      <c r="W142" s="428"/>
      <c r="X142" s="428"/>
      <c r="Y142" s="428"/>
      <c r="Z142" s="428"/>
      <c r="AA142" s="428"/>
      <c r="AB142" s="561"/>
      <c r="AC142" s="561"/>
      <c r="AD142" s="756"/>
      <c r="AE142" s="756"/>
      <c r="AF142" s="756"/>
      <c r="AG142" s="756"/>
      <c r="AH142" s="756"/>
      <c r="AI142" s="756"/>
      <c r="AJ142" s="756"/>
      <c r="AK142" s="756"/>
      <c r="AL142" s="756"/>
      <c r="AM142" s="756"/>
      <c r="AN142" s="756"/>
      <c r="AO142" s="756"/>
      <c r="AP142" s="756"/>
      <c r="AQ142"/>
      <c r="AR142" s="472"/>
      <c r="AS142" s="472"/>
      <c r="AT142" s="472"/>
      <c r="AU142" s="472"/>
      <c r="AV142" s="472"/>
      <c r="AW142" s="472"/>
      <c r="AX142" s="359"/>
      <c r="AY142" s="359"/>
      <c r="AZ142" s="359"/>
      <c r="BA142" s="359"/>
      <c r="BB142" s="359"/>
      <c r="BC142" s="359"/>
      <c r="BD142" s="359"/>
      <c r="BE142" s="359"/>
      <c r="BF142" s="359"/>
    </row>
    <row r="143" spans="1:58" s="473" customFormat="1" ht="25.2" customHeight="1">
      <c r="A143" s="428"/>
      <c r="B143" s="561"/>
      <c r="C143" s="427"/>
      <c r="D143" s="492">
        <f>D141-D142</f>
        <v>0</v>
      </c>
      <c r="E143" s="467"/>
      <c r="F143" s="493"/>
      <c r="G143" s="493"/>
      <c r="H143" s="493"/>
      <c r="I143" s="493"/>
      <c r="J143" s="493"/>
      <c r="K143" s="493"/>
      <c r="L143" s="492">
        <f>L141-L142</f>
        <v>0</v>
      </c>
      <c r="M143" s="493"/>
      <c r="N143" s="493"/>
      <c r="O143" s="493"/>
      <c r="P143" s="492">
        <f>P141-P142</f>
        <v>0</v>
      </c>
      <c r="Q143" s="493"/>
      <c r="R143" s="493"/>
      <c r="S143" s="493"/>
      <c r="T143" s="492">
        <f>T141-T142</f>
        <v>0</v>
      </c>
      <c r="U143" s="492">
        <f>U141-U142</f>
        <v>0</v>
      </c>
      <c r="V143" s="428"/>
      <c r="W143" s="428"/>
      <c r="X143" s="428"/>
      <c r="Y143" s="428"/>
      <c r="Z143" s="428"/>
      <c r="AA143" s="428"/>
      <c r="AB143" s="561"/>
      <c r="AC143" s="561"/>
      <c r="AD143" s="756"/>
      <c r="AE143" s="756"/>
      <c r="AF143" s="756"/>
      <c r="AG143" s="756"/>
      <c r="AH143" s="756"/>
      <c r="AI143" s="756"/>
      <c r="AJ143" s="756"/>
      <c r="AK143" s="756"/>
      <c r="AL143" s="756"/>
      <c r="AM143" s="756"/>
      <c r="AN143" s="756"/>
      <c r="AO143" s="756"/>
      <c r="AP143" s="756"/>
      <c r="AQ143"/>
      <c r="AR143" s="472"/>
      <c r="AS143" s="472"/>
      <c r="AT143" s="472"/>
      <c r="AU143" s="472"/>
      <c r="AV143" s="472"/>
      <c r="AW143" s="472"/>
      <c r="AX143" s="359"/>
      <c r="AY143" s="359"/>
      <c r="AZ143" s="359"/>
      <c r="BA143" s="359"/>
      <c r="BB143" s="359"/>
      <c r="BC143" s="359"/>
      <c r="BD143" s="359"/>
      <c r="BE143" s="359"/>
      <c r="BF143" s="359"/>
    </row>
    <row r="144" spans="1:58" s="5" customFormat="1" ht="37.5" customHeight="1">
      <c r="A144" s="752"/>
      <c r="B144" s="563"/>
      <c r="C144" s="752"/>
      <c r="D144" s="756"/>
      <c r="E144" s="756"/>
      <c r="F144" s="756"/>
      <c r="G144" s="756"/>
      <c r="H144" s="756"/>
      <c r="I144" s="756"/>
      <c r="J144" s="756"/>
      <c r="K144" s="756"/>
      <c r="L144" s="756"/>
      <c r="M144" s="756"/>
      <c r="N144" s="756"/>
      <c r="O144" s="756"/>
      <c r="P144" s="756"/>
      <c r="Q144" s="757"/>
      <c r="R144" s="756"/>
      <c r="S144" s="756"/>
      <c r="T144" s="756"/>
      <c r="U144" s="756"/>
      <c r="V144" s="756"/>
      <c r="W144" s="756"/>
      <c r="X144" s="756"/>
      <c r="Y144" s="756"/>
      <c r="Z144" s="756"/>
      <c r="AA144" s="758"/>
      <c r="AB144" s="752"/>
      <c r="AC144" s="752"/>
      <c r="AD144" s="756"/>
      <c r="AE144" s="756"/>
      <c r="AF144" s="756"/>
      <c r="AG144" s="756"/>
      <c r="AH144" s="756"/>
      <c r="AI144" s="756"/>
      <c r="AJ144" s="756"/>
      <c r="AK144" s="756"/>
      <c r="AL144" s="756"/>
      <c r="AM144" s="756"/>
      <c r="AN144" s="756"/>
      <c r="AO144" s="756"/>
      <c r="AP144" s="756"/>
      <c r="AQ144"/>
      <c r="AR144" s="16"/>
      <c r="AS144" s="16"/>
      <c r="AT144" s="16"/>
      <c r="AU144" s="16"/>
      <c r="AV144" s="16"/>
    </row>
    <row r="145" spans="1:58" s="473" customFormat="1" ht="25.2" customHeight="1">
      <c r="A145" s="428"/>
      <c r="B145" s="561"/>
      <c r="C145" s="427"/>
      <c r="D145" s="493"/>
      <c r="E145" s="467"/>
      <c r="F145" s="493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28"/>
      <c r="W145" s="428"/>
      <c r="X145" s="428"/>
      <c r="Y145" s="428"/>
      <c r="Z145" s="428"/>
      <c r="AA145" s="428"/>
      <c r="AB145" s="561"/>
      <c r="AC145" s="561"/>
      <c r="AD145" s="756"/>
      <c r="AE145" s="756"/>
      <c r="AF145" s="756"/>
      <c r="AG145" s="756"/>
      <c r="AH145" s="756"/>
      <c r="AI145" s="756"/>
      <c r="AJ145" s="756"/>
      <c r="AK145" s="756"/>
      <c r="AL145" s="756"/>
      <c r="AM145" s="756"/>
      <c r="AN145" s="756"/>
      <c r="AO145" s="756"/>
      <c r="AP145" s="756"/>
      <c r="AQ145"/>
      <c r="AR145" s="472"/>
      <c r="AS145" s="472"/>
      <c r="AT145" s="472"/>
      <c r="AU145" s="472"/>
      <c r="AV145" s="472"/>
      <c r="AW145" s="472"/>
      <c r="AX145" s="359"/>
      <c r="AY145" s="359"/>
      <c r="AZ145" s="359"/>
      <c r="BA145" s="359"/>
      <c r="BB145" s="359"/>
      <c r="BC145" s="359"/>
      <c r="BD145" s="359"/>
      <c r="BE145" s="359"/>
      <c r="BF145" s="359"/>
    </row>
    <row r="146" spans="1:58">
      <c r="A146" s="759"/>
    </row>
    <row r="151" spans="1:58" ht="37.950000000000003" customHeight="1"/>
    <row r="154" spans="1:58" ht="70.95" customHeight="1"/>
    <row r="157" spans="1:58" s="477" customFormat="1" ht="72" customHeight="1">
      <c r="AB157" s="157"/>
      <c r="AC157" s="157"/>
      <c r="AD157" s="756"/>
      <c r="AE157" s="756"/>
      <c r="AF157" s="756"/>
      <c r="AG157" s="756"/>
      <c r="AH157" s="756"/>
      <c r="AI157" s="756"/>
      <c r="AJ157" s="756"/>
      <c r="AK157" s="756"/>
      <c r="AL157" s="756"/>
      <c r="AM157" s="756"/>
      <c r="AN157" s="756"/>
      <c r="AO157" s="756"/>
      <c r="AP157" s="756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9" spans="1:58" s="477" customFormat="1" ht="43.95" customHeight="1">
      <c r="AB159" s="157"/>
      <c r="AC159" s="157"/>
      <c r="AD159" s="756"/>
      <c r="AE159" s="756"/>
      <c r="AF159" s="756"/>
      <c r="AG159" s="756"/>
      <c r="AH159" s="756"/>
      <c r="AI159" s="756"/>
      <c r="AJ159" s="756"/>
      <c r="AK159" s="756"/>
      <c r="AL159" s="756"/>
      <c r="AM159" s="756"/>
      <c r="AN159" s="756"/>
      <c r="AO159" s="756"/>
      <c r="AP159" s="756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1" spans="28:58" s="477" customFormat="1" ht="30" customHeight="1">
      <c r="AB161" s="157"/>
      <c r="AC161" s="157"/>
      <c r="AD161" s="756"/>
      <c r="AE161" s="756"/>
      <c r="AF161" s="756"/>
      <c r="AG161" s="756"/>
      <c r="AH161" s="756"/>
      <c r="AI161" s="756"/>
      <c r="AJ161" s="756"/>
      <c r="AK161" s="756"/>
      <c r="AL161" s="756"/>
      <c r="AM161" s="756"/>
      <c r="AN161" s="756"/>
      <c r="AO161" s="756"/>
      <c r="AP161" s="756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</sheetData>
  <sortState ref="A5:BF114">
    <sortCondition ref="AC5:AC114"/>
  </sortState>
  <mergeCells count="1">
    <mergeCell ref="V3:AA3"/>
  </mergeCells>
  <conditionalFormatting sqref="AB4:AB5">
    <cfRule type="cellIs" dxfId="401" priority="8" operator="equal">
      <formula>0</formula>
    </cfRule>
  </conditionalFormatting>
  <conditionalFormatting sqref="AF4:AF5">
    <cfRule type="cellIs" dxfId="400" priority="7" operator="equal">
      <formula>0</formula>
    </cfRule>
  </conditionalFormatting>
  <conditionalFormatting sqref="AG4:AG5">
    <cfRule type="cellIs" dxfId="399" priority="6" operator="equal">
      <formula>0</formula>
    </cfRule>
  </conditionalFormatting>
  <conditionalFormatting sqref="AH4:AH5">
    <cfRule type="cellIs" dxfId="398" priority="5" operator="equal">
      <formula>0</formula>
    </cfRule>
  </conditionalFormatting>
  <conditionalFormatting sqref="AJ4:AJ5">
    <cfRule type="cellIs" dxfId="397" priority="3" operator="equal">
      <formula>0</formula>
    </cfRule>
  </conditionalFormatting>
  <conditionalFormatting sqref="AI4:AI5">
    <cfRule type="cellIs" dxfId="396" priority="4" operator="equal">
      <formula>0</formula>
    </cfRule>
  </conditionalFormatting>
  <conditionalFormatting sqref="AO4:AO5">
    <cfRule type="cellIs" dxfId="395" priority="2" operator="equal">
      <formula>0</formula>
    </cfRule>
  </conditionalFormatting>
  <conditionalFormatting sqref="AP1:AP1048576">
    <cfRule type="cellIs" dxfId="394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7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744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1273</v>
      </c>
      <c r="D5" s="175"/>
      <c r="E5" s="175"/>
      <c r="F5" s="179">
        <f>'תקציב מינהל חינוך 2024 '!U17</f>
        <v>604832</v>
      </c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1638</v>
      </c>
      <c r="D7" s="175"/>
      <c r="F7" s="179">
        <f>'תקציב מינהל חינוך 2024 '!A17</f>
        <v>12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D11" s="186" t="s">
        <v>220</v>
      </c>
      <c r="E11" s="187" t="s">
        <v>221</v>
      </c>
      <c r="F11" s="188" t="s">
        <v>222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C12" s="178"/>
      <c r="D12" s="182" t="s">
        <v>14</v>
      </c>
      <c r="E12" s="189">
        <f>'תקציב מינהל חינוך 2024 '!W17</f>
        <v>1487669</v>
      </c>
      <c r="F12" s="197">
        <f>E12/$E$14</f>
        <v>2.4596400322734246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82" t="s">
        <v>75</v>
      </c>
      <c r="E13" s="189">
        <f>'תקציב מינהל חינוך 2024 '!AA17</f>
        <v>-882837</v>
      </c>
      <c r="F13" s="197">
        <f>E13/$E$14</f>
        <v>-1.4596400322734246</v>
      </c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6.2" thickBot="1">
      <c r="C14" s="178"/>
      <c r="D14" s="184" t="s">
        <v>84</v>
      </c>
      <c r="E14" s="247">
        <f>SUM(E12:E13)</f>
        <v>604832</v>
      </c>
      <c r="F14" s="248">
        <f>SUM(F12:F13)</f>
        <v>1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1"/>
      <c r="E15" s="205"/>
      <c r="F15" s="206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B16" s="178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B17" s="178"/>
      <c r="C17" s="175"/>
      <c r="D17" s="175"/>
      <c r="F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s="801" customFormat="1" ht="15.6">
      <c r="B18" s="802" t="s">
        <v>129</v>
      </c>
      <c r="C18" s="803" t="s">
        <v>1543</v>
      </c>
      <c r="D18" s="803"/>
      <c r="F18" s="803"/>
      <c r="H18" s="803"/>
      <c r="I18" s="803"/>
      <c r="J18" s="803"/>
      <c r="K18" s="803"/>
      <c r="L18" s="803"/>
      <c r="M18" s="803"/>
      <c r="N18" s="803"/>
      <c r="O18" s="803"/>
      <c r="P18" s="803"/>
      <c r="Q18" s="803"/>
    </row>
    <row r="19" spans="1:17" s="801" customFormat="1" ht="15.6">
      <c r="B19" s="802"/>
      <c r="C19" s="803"/>
      <c r="D19" s="803"/>
      <c r="F19" s="803"/>
      <c r="H19" s="803"/>
      <c r="I19" s="803"/>
      <c r="J19" s="803"/>
      <c r="K19" s="803"/>
      <c r="L19" s="803"/>
      <c r="M19" s="803"/>
      <c r="N19" s="803"/>
      <c r="O19" s="803"/>
      <c r="P19" s="803"/>
      <c r="Q19" s="803"/>
    </row>
    <row r="20" spans="1:17" ht="15.6">
      <c r="B20" s="178"/>
      <c r="C20" s="175"/>
      <c r="D20" s="175"/>
      <c r="F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ht="15.6">
      <c r="B21" s="178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17" s="240" customFormat="1" ht="15.6"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</row>
    <row r="23" spans="1:17" s="240" customFormat="1" ht="15.6">
      <c r="C23" s="242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</row>
    <row r="24" spans="1:17" s="240" customFormat="1" ht="15.6">
      <c r="C24" s="242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17" s="240" customFormat="1" ht="15.6">
      <c r="A25" s="239"/>
      <c r="B25" s="239"/>
      <c r="C25" s="239"/>
      <c r="D25" s="281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7.6640625" defaultRowHeight="13.8"/>
  <cols>
    <col min="1" max="1" width="3.5546875" style="10" customWidth="1"/>
    <col min="2" max="2" width="5.5546875" style="10" customWidth="1"/>
    <col min="3" max="3" width="21.33203125" style="14" customWidth="1"/>
    <col min="4" max="4" width="10.109375" style="11" customWidth="1"/>
    <col min="5" max="5" width="10.33203125" style="11" customWidth="1"/>
    <col min="6" max="6" width="8.88671875" style="11" customWidth="1"/>
    <col min="7" max="7" width="9.5546875" style="11" hidden="1" customWidth="1"/>
    <col min="8" max="8" width="10.6640625" style="11" hidden="1" customWidth="1"/>
    <col min="9" max="9" width="8.88671875" style="11" hidden="1" customWidth="1"/>
    <col min="10" max="10" width="9.5546875" style="11" hidden="1" customWidth="1"/>
    <col min="11" max="11" width="8.88671875" style="11" hidden="1" customWidth="1"/>
    <col min="12" max="12" width="10" style="11" customWidth="1"/>
    <col min="13" max="13" width="8.88671875" style="11" customWidth="1"/>
    <col min="14" max="14" width="8.88671875" style="11" bestFit="1" customWidth="1"/>
    <col min="15" max="15" width="9.88671875" style="11" customWidth="1"/>
    <col min="16" max="16" width="10.6640625" style="11" hidden="1" customWidth="1"/>
    <col min="17" max="17" width="9.44140625" style="11" hidden="1" customWidth="1"/>
    <col min="18" max="19" width="13.33203125" style="11" hidden="1" customWidth="1"/>
    <col min="20" max="20" width="9" style="11" customWidth="1"/>
    <col min="21" max="21" width="8.88671875" style="10" bestFit="1" customWidth="1"/>
    <col min="22" max="22" width="8.88671875" style="10" hidden="1" customWidth="1"/>
    <col min="23" max="23" width="8.88671875" style="10" customWidth="1"/>
    <col min="24" max="26" width="13.33203125" style="10" hidden="1" customWidth="1"/>
    <col min="27" max="27" width="9.5546875" style="10" customWidth="1"/>
    <col min="28" max="28" width="31" style="14" customWidth="1"/>
    <col min="29" max="29" width="6.88671875" style="10" hidden="1" customWidth="1"/>
    <col min="30" max="31" width="27.6640625" style="16" customWidth="1"/>
    <col min="32" max="32" width="12.44140625" style="16" customWidth="1"/>
    <col min="33" max="33" width="27.6640625" style="16" customWidth="1"/>
    <col min="34" max="34" width="12.44140625" style="16" customWidth="1"/>
    <col min="35" max="35" width="16.88671875" style="16" customWidth="1"/>
    <col min="36" max="36" width="20.109375" style="16" customWidth="1"/>
    <col min="37" max="38" width="10.33203125" style="16" customWidth="1"/>
    <col min="39" max="39" width="20.109375" style="16" customWidth="1"/>
    <col min="40" max="40" width="12.44140625" style="16" customWidth="1"/>
    <col min="41" max="41" width="21.88671875" style="16" customWidth="1"/>
    <col min="42" max="47" width="10.44140625" style="16" customWidth="1"/>
    <col min="48" max="16384" width="7.6640625" style="10"/>
  </cols>
  <sheetData>
    <row r="1" spans="1:47" s="501" customFormat="1" ht="13.2" customHeight="1">
      <c r="A1" s="496"/>
      <c r="B1" s="496"/>
      <c r="C1" s="497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8"/>
      <c r="Y1" s="498"/>
      <c r="Z1" s="498"/>
      <c r="AA1" s="499"/>
      <c r="AB1" s="500"/>
      <c r="AC1" s="499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47" s="501" customFormat="1" ht="18">
      <c r="A2" s="496" t="s">
        <v>744</v>
      </c>
      <c r="B2" s="496"/>
      <c r="C2" s="497"/>
      <c r="D2" s="496"/>
      <c r="E2" s="502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503"/>
      <c r="Y2" s="503"/>
      <c r="Z2" s="503"/>
      <c r="AA2" s="503"/>
      <c r="AB2" s="503"/>
      <c r="AC2" s="503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</row>
    <row r="3" spans="1:47" ht="20.399999999999999" customHeight="1">
      <c r="W3" s="16"/>
      <c r="X3" s="16"/>
      <c r="Y3" s="16"/>
      <c r="Z3" s="16"/>
      <c r="AA3" s="16"/>
      <c r="AB3" s="16"/>
    </row>
    <row r="4" spans="1:47" s="16" customFormat="1" ht="69">
      <c r="A4" s="130" t="s">
        <v>0</v>
      </c>
      <c r="B4" s="13" t="s">
        <v>1</v>
      </c>
      <c r="C4" s="13" t="s">
        <v>2</v>
      </c>
      <c r="D4" s="13" t="s">
        <v>3</v>
      </c>
      <c r="E4" s="13" t="s">
        <v>4</v>
      </c>
      <c r="F4" s="13" t="s">
        <v>5</v>
      </c>
      <c r="G4" s="13" t="s">
        <v>6</v>
      </c>
      <c r="H4" s="13" t="s">
        <v>7</v>
      </c>
      <c r="I4" s="13" t="s">
        <v>9</v>
      </c>
      <c r="J4" s="13" t="s">
        <v>125</v>
      </c>
      <c r="K4" s="13" t="s">
        <v>10</v>
      </c>
      <c r="L4" s="13" t="s">
        <v>11</v>
      </c>
      <c r="M4" s="13" t="s">
        <v>917</v>
      </c>
      <c r="N4" s="13" t="s">
        <v>918</v>
      </c>
      <c r="O4" s="2" t="s">
        <v>919</v>
      </c>
      <c r="P4" s="2" t="s">
        <v>12</v>
      </c>
      <c r="Q4" s="2" t="s">
        <v>920</v>
      </c>
      <c r="R4" s="2" t="s">
        <v>921</v>
      </c>
      <c r="S4" s="2" t="s">
        <v>922</v>
      </c>
      <c r="T4" s="2" t="s">
        <v>923</v>
      </c>
      <c r="U4" s="2" t="s">
        <v>924</v>
      </c>
      <c r="V4" s="13" t="s">
        <v>13</v>
      </c>
      <c r="W4" s="13" t="s">
        <v>14</v>
      </c>
      <c r="X4" s="13" t="s">
        <v>15</v>
      </c>
      <c r="Y4" s="13" t="s">
        <v>214</v>
      </c>
      <c r="Z4" s="13" t="s">
        <v>502</v>
      </c>
      <c r="AA4" s="13" t="s">
        <v>75</v>
      </c>
      <c r="AB4" s="504" t="s">
        <v>242</v>
      </c>
      <c r="AC4" s="13" t="s">
        <v>16</v>
      </c>
    </row>
    <row r="5" spans="1:47" s="5" customFormat="1" ht="69">
      <c r="A5" s="3">
        <v>1</v>
      </c>
      <c r="B5" s="19">
        <v>1776</v>
      </c>
      <c r="C5" s="3" t="s">
        <v>48</v>
      </c>
      <c r="D5" s="4">
        <f>5056000-50000-9000</f>
        <v>4997000</v>
      </c>
      <c r="E5" s="4">
        <v>3347000</v>
      </c>
      <c r="F5" s="4">
        <f t="shared" ref="F5:F16" si="0">D5-E5</f>
        <v>1650000</v>
      </c>
      <c r="G5" s="4">
        <v>3297000</v>
      </c>
      <c r="H5" s="4">
        <v>3079137</v>
      </c>
      <c r="I5" s="4"/>
      <c r="J5" s="4">
        <f>16656+135250</f>
        <v>151906</v>
      </c>
      <c r="K5" s="4">
        <f t="shared" ref="K5:K16" si="1">I5+J5</f>
        <v>151906</v>
      </c>
      <c r="L5" s="4">
        <f t="shared" ref="L5:L16" si="2">H5+K5</f>
        <v>3231043</v>
      </c>
      <c r="M5" s="4">
        <f>P5+S5-60000</f>
        <v>5957</v>
      </c>
      <c r="N5" s="4">
        <f>1709000-9000-100000-400000-500000+60000</f>
        <v>760000</v>
      </c>
      <c r="O5" s="4">
        <f>D5-M5-N5-L5</f>
        <v>1000000</v>
      </c>
      <c r="P5" s="4">
        <f>G5-L5</f>
        <v>65957</v>
      </c>
      <c r="Q5" s="355"/>
      <c r="R5" s="4"/>
      <c r="S5" s="4">
        <f>SUM(Q5:R5)</f>
        <v>0</v>
      </c>
      <c r="T5" s="4">
        <f t="shared" ref="T5:T16" si="3">P5-M5+S5</f>
        <v>60000</v>
      </c>
      <c r="U5" s="4">
        <f t="shared" ref="U5:U16" si="4">N5-T5</f>
        <v>700000</v>
      </c>
      <c r="V5" s="4"/>
      <c r="W5" s="4">
        <f t="shared" ref="W5:W16" si="5">U5-V5-Z5-AA5</f>
        <v>700000</v>
      </c>
      <c r="X5" s="4"/>
      <c r="Y5" s="4"/>
      <c r="Z5" s="4"/>
      <c r="AA5" s="274"/>
      <c r="AB5" s="19" t="s">
        <v>1320</v>
      </c>
      <c r="AC5" s="3">
        <v>810000</v>
      </c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s="5" customFormat="1" ht="69">
      <c r="A6" s="3">
        <f t="shared" ref="A6:A16" si="6">A5+1</f>
        <v>2</v>
      </c>
      <c r="B6" s="19">
        <v>1930</v>
      </c>
      <c r="C6" s="3" t="s">
        <v>110</v>
      </c>
      <c r="D6" s="4">
        <v>1676000</v>
      </c>
      <c r="E6" s="4">
        <v>1676000</v>
      </c>
      <c r="F6" s="4">
        <f t="shared" si="0"/>
        <v>0</v>
      </c>
      <c r="G6" s="4">
        <v>1676000</v>
      </c>
      <c r="H6" s="4">
        <v>1669608</v>
      </c>
      <c r="I6" s="4"/>
      <c r="J6" s="4">
        <v>5978</v>
      </c>
      <c r="K6" s="4">
        <f t="shared" si="1"/>
        <v>5978</v>
      </c>
      <c r="L6" s="4">
        <f t="shared" si="2"/>
        <v>1675586</v>
      </c>
      <c r="M6" s="4">
        <f t="shared" ref="M6:M16" si="7">P6+S6</f>
        <v>414</v>
      </c>
      <c r="N6" s="4"/>
      <c r="O6" s="4">
        <f t="shared" ref="O6:O16" si="8">D6-M6-N6-L6</f>
        <v>0</v>
      </c>
      <c r="P6" s="4">
        <f t="shared" ref="P6:P16" si="9">G6-L6</f>
        <v>414</v>
      </c>
      <c r="Q6" s="355"/>
      <c r="R6" s="4"/>
      <c r="S6" s="4">
        <f t="shared" ref="S6:S16" si="10">SUM(Q6:R6)</f>
        <v>0</v>
      </c>
      <c r="T6" s="4">
        <f t="shared" si="3"/>
        <v>0</v>
      </c>
      <c r="U6" s="4">
        <f t="shared" si="4"/>
        <v>0</v>
      </c>
      <c r="V6" s="4"/>
      <c r="W6" s="4">
        <f t="shared" si="5"/>
        <v>0</v>
      </c>
      <c r="X6" s="4"/>
      <c r="Y6" s="4"/>
      <c r="Z6" s="4"/>
      <c r="AA6" s="274"/>
      <c r="AB6" s="3" t="s">
        <v>1331</v>
      </c>
      <c r="AC6" s="3">
        <v>810000</v>
      </c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s="5" customFormat="1" ht="45" customHeight="1">
      <c r="A7" s="3">
        <f t="shared" si="6"/>
        <v>3</v>
      </c>
      <c r="B7" s="19">
        <v>2090</v>
      </c>
      <c r="C7" s="3" t="s">
        <v>276</v>
      </c>
      <c r="D7" s="4">
        <f>350000-7945</f>
        <v>342055</v>
      </c>
      <c r="E7" s="4">
        <v>350000</v>
      </c>
      <c r="F7" s="4">
        <f t="shared" si="0"/>
        <v>-7945</v>
      </c>
      <c r="G7" s="4">
        <v>350000</v>
      </c>
      <c r="H7" s="4">
        <v>342055</v>
      </c>
      <c r="I7" s="4"/>
      <c r="J7" s="4"/>
      <c r="K7" s="4">
        <f t="shared" si="1"/>
        <v>0</v>
      </c>
      <c r="L7" s="4">
        <f t="shared" si="2"/>
        <v>342055</v>
      </c>
      <c r="M7" s="4">
        <f>P7+S7-7945</f>
        <v>0</v>
      </c>
      <c r="N7" s="4"/>
      <c r="O7" s="4">
        <f t="shared" si="8"/>
        <v>0</v>
      </c>
      <c r="P7" s="4">
        <f t="shared" si="9"/>
        <v>7945</v>
      </c>
      <c r="Q7" s="355"/>
      <c r="R7" s="4"/>
      <c r="S7" s="4">
        <f t="shared" si="10"/>
        <v>0</v>
      </c>
      <c r="T7" s="4">
        <f t="shared" si="3"/>
        <v>7945</v>
      </c>
      <c r="U7" s="4">
        <f t="shared" si="4"/>
        <v>-7945</v>
      </c>
      <c r="V7" s="4"/>
      <c r="W7" s="4">
        <f t="shared" si="5"/>
        <v>-7945</v>
      </c>
      <c r="X7" s="4"/>
      <c r="Y7" s="4"/>
      <c r="Z7" s="4"/>
      <c r="AA7" s="274"/>
      <c r="AB7" s="3" t="s">
        <v>1649</v>
      </c>
      <c r="AC7" s="3">
        <v>810000</v>
      </c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</row>
    <row r="8" spans="1:47" s="5" customFormat="1" ht="45" customHeight="1">
      <c r="A8" s="3">
        <f t="shared" si="6"/>
        <v>4</v>
      </c>
      <c r="B8" s="19">
        <v>2092</v>
      </c>
      <c r="C8" s="3" t="s">
        <v>333</v>
      </c>
      <c r="D8" s="4">
        <f>4050720-782837</f>
        <v>3267883</v>
      </c>
      <c r="E8" s="4">
        <v>4050720</v>
      </c>
      <c r="F8" s="4">
        <f t="shared" si="0"/>
        <v>-782837</v>
      </c>
      <c r="G8" s="4">
        <v>4050720</v>
      </c>
      <c r="H8" s="4">
        <v>3267883</v>
      </c>
      <c r="I8" s="4"/>
      <c r="J8" s="4"/>
      <c r="K8" s="4">
        <f t="shared" si="1"/>
        <v>0</v>
      </c>
      <c r="L8" s="4">
        <f t="shared" si="2"/>
        <v>3267883</v>
      </c>
      <c r="M8" s="4">
        <f>P8+S8-782837</f>
        <v>0</v>
      </c>
      <c r="N8" s="4"/>
      <c r="O8" s="4">
        <f t="shared" si="8"/>
        <v>0</v>
      </c>
      <c r="P8" s="4">
        <f t="shared" si="9"/>
        <v>782837</v>
      </c>
      <c r="Q8" s="355"/>
      <c r="R8" s="4"/>
      <c r="S8" s="4">
        <f t="shared" si="10"/>
        <v>0</v>
      </c>
      <c r="T8" s="4">
        <f t="shared" si="3"/>
        <v>782837</v>
      </c>
      <c r="U8" s="4">
        <f t="shared" si="4"/>
        <v>-782837</v>
      </c>
      <c r="V8" s="4"/>
      <c r="W8" s="4">
        <f t="shared" si="5"/>
        <v>0</v>
      </c>
      <c r="X8" s="4"/>
      <c r="Y8" s="4"/>
      <c r="Z8" s="4"/>
      <c r="AA8" s="274">
        <v>-782837</v>
      </c>
      <c r="AB8" s="3" t="s">
        <v>745</v>
      </c>
      <c r="AC8" s="3">
        <v>810000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</row>
    <row r="9" spans="1:47" s="5" customFormat="1" ht="45" customHeight="1">
      <c r="A9" s="3">
        <f t="shared" si="6"/>
        <v>5</v>
      </c>
      <c r="B9" s="19">
        <v>2135</v>
      </c>
      <c r="C9" s="3" t="s">
        <v>377</v>
      </c>
      <c r="D9" s="4">
        <f>23000000</f>
        <v>23000000</v>
      </c>
      <c r="E9" s="4">
        <v>23000000</v>
      </c>
      <c r="F9" s="4">
        <f t="shared" si="0"/>
        <v>0</v>
      </c>
      <c r="G9" s="4">
        <v>1000000</v>
      </c>
      <c r="H9" s="4">
        <v>996845</v>
      </c>
      <c r="I9" s="4"/>
      <c r="J9" s="4"/>
      <c r="K9" s="4">
        <f t="shared" si="1"/>
        <v>0</v>
      </c>
      <c r="L9" s="4">
        <f t="shared" si="2"/>
        <v>996845</v>
      </c>
      <c r="M9" s="4">
        <f>P9+S9-3155</f>
        <v>0</v>
      </c>
      <c r="N9" s="4">
        <f>17*50000-850000</f>
        <v>0</v>
      </c>
      <c r="O9" s="4">
        <f t="shared" si="8"/>
        <v>22003155</v>
      </c>
      <c r="P9" s="4">
        <f t="shared" si="9"/>
        <v>3155</v>
      </c>
      <c r="Q9" s="355"/>
      <c r="R9" s="4"/>
      <c r="S9" s="4">
        <f t="shared" si="10"/>
        <v>0</v>
      </c>
      <c r="T9" s="4">
        <f t="shared" si="3"/>
        <v>3155</v>
      </c>
      <c r="U9" s="4">
        <f t="shared" si="4"/>
        <v>-3155</v>
      </c>
      <c r="V9" s="4"/>
      <c r="W9" s="4">
        <f t="shared" si="5"/>
        <v>-3155</v>
      </c>
      <c r="X9" s="4"/>
      <c r="Y9" s="4"/>
      <c r="Z9" s="4"/>
      <c r="AA9" s="274"/>
      <c r="AB9" s="3" t="s">
        <v>1523</v>
      </c>
      <c r="AC9" s="3">
        <v>810000</v>
      </c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</row>
    <row r="10" spans="1:47" s="5" customFormat="1" ht="45" customHeight="1">
      <c r="A10" s="3">
        <f t="shared" si="6"/>
        <v>6</v>
      </c>
      <c r="B10" s="19">
        <v>2179</v>
      </c>
      <c r="C10" s="3" t="s">
        <v>462</v>
      </c>
      <c r="D10" s="4">
        <f>390000-100000</f>
        <v>290000</v>
      </c>
      <c r="E10" s="4">
        <v>390000</v>
      </c>
      <c r="F10" s="4">
        <f t="shared" si="0"/>
        <v>-100000</v>
      </c>
      <c r="G10" s="4">
        <v>390000</v>
      </c>
      <c r="H10" s="4">
        <v>286987</v>
      </c>
      <c r="I10" s="4"/>
      <c r="J10" s="4"/>
      <c r="K10" s="4">
        <f t="shared" si="1"/>
        <v>0</v>
      </c>
      <c r="L10" s="4">
        <f t="shared" si="2"/>
        <v>286987</v>
      </c>
      <c r="M10" s="4">
        <f t="shared" si="7"/>
        <v>3013</v>
      </c>
      <c r="N10" s="4"/>
      <c r="O10" s="4">
        <f t="shared" si="8"/>
        <v>0</v>
      </c>
      <c r="P10" s="4">
        <f t="shared" si="9"/>
        <v>103013</v>
      </c>
      <c r="Q10" s="355">
        <v>-100000</v>
      </c>
      <c r="R10" s="4"/>
      <c r="S10" s="4">
        <f t="shared" si="10"/>
        <v>-100000</v>
      </c>
      <c r="T10" s="4">
        <f t="shared" si="3"/>
        <v>0</v>
      </c>
      <c r="U10" s="4">
        <f t="shared" si="4"/>
        <v>0</v>
      </c>
      <c r="V10" s="4"/>
      <c r="W10" s="4">
        <f t="shared" si="5"/>
        <v>0</v>
      </c>
      <c r="X10" s="4"/>
      <c r="Y10" s="4"/>
      <c r="Z10" s="4"/>
      <c r="AA10" s="274"/>
      <c r="AB10" s="3" t="s">
        <v>1332</v>
      </c>
      <c r="AC10" s="3">
        <v>810000</v>
      </c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</row>
    <row r="11" spans="1:47" s="5" customFormat="1" ht="45" customHeight="1">
      <c r="A11" s="3">
        <f t="shared" si="6"/>
        <v>7</v>
      </c>
      <c r="B11" s="19">
        <v>2217</v>
      </c>
      <c r="C11" s="3" t="s">
        <v>723</v>
      </c>
      <c r="D11" s="4">
        <f>1990000-1231</f>
        <v>1988769</v>
      </c>
      <c r="E11" s="4">
        <v>1990000</v>
      </c>
      <c r="F11" s="4">
        <f t="shared" si="0"/>
        <v>-1231</v>
      </c>
      <c r="G11" s="4">
        <v>1990000</v>
      </c>
      <c r="H11" s="4">
        <v>1988769</v>
      </c>
      <c r="I11" s="4"/>
      <c r="J11" s="4"/>
      <c r="K11" s="4">
        <f t="shared" si="1"/>
        <v>0</v>
      </c>
      <c r="L11" s="4">
        <f t="shared" si="2"/>
        <v>1988769</v>
      </c>
      <c r="M11" s="4">
        <f>P11+S11-1231</f>
        <v>0</v>
      </c>
      <c r="N11" s="4"/>
      <c r="O11" s="4">
        <f t="shared" si="8"/>
        <v>0</v>
      </c>
      <c r="P11" s="4">
        <f t="shared" si="9"/>
        <v>1231</v>
      </c>
      <c r="Q11" s="355"/>
      <c r="R11" s="4"/>
      <c r="S11" s="4">
        <f t="shared" si="10"/>
        <v>0</v>
      </c>
      <c r="T11" s="4">
        <f t="shared" si="3"/>
        <v>1231</v>
      </c>
      <c r="U11" s="4">
        <f t="shared" si="4"/>
        <v>-1231</v>
      </c>
      <c r="V11" s="4"/>
      <c r="W11" s="4">
        <f t="shared" si="5"/>
        <v>-1231</v>
      </c>
      <c r="X11" s="4"/>
      <c r="Y11" s="4"/>
      <c r="Z11" s="4"/>
      <c r="AA11" s="274"/>
      <c r="AB11" s="3" t="s">
        <v>1464</v>
      </c>
      <c r="AC11" s="3">
        <v>810000</v>
      </c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</row>
    <row r="12" spans="1:47" s="5" customFormat="1" ht="45" customHeight="1">
      <c r="A12" s="3">
        <f t="shared" si="6"/>
        <v>8</v>
      </c>
      <c r="B12" s="19">
        <v>2219</v>
      </c>
      <c r="C12" s="3" t="s">
        <v>465</v>
      </c>
      <c r="D12" s="4">
        <v>440000</v>
      </c>
      <c r="E12" s="4">
        <v>440000</v>
      </c>
      <c r="F12" s="4">
        <f t="shared" si="0"/>
        <v>0</v>
      </c>
      <c r="G12" s="4">
        <v>440000</v>
      </c>
      <c r="H12" s="4">
        <v>296769</v>
      </c>
      <c r="I12" s="4"/>
      <c r="J12" s="4"/>
      <c r="K12" s="4">
        <f t="shared" si="1"/>
        <v>0</v>
      </c>
      <c r="L12" s="4">
        <f t="shared" si="2"/>
        <v>296769</v>
      </c>
      <c r="M12" s="4">
        <f>P12+S12-140000</f>
        <v>3231</v>
      </c>
      <c r="N12" s="4">
        <f>150000-10000</f>
        <v>140000</v>
      </c>
      <c r="O12" s="4">
        <f t="shared" si="8"/>
        <v>0</v>
      </c>
      <c r="P12" s="4">
        <f t="shared" si="9"/>
        <v>143231</v>
      </c>
      <c r="Q12" s="355"/>
      <c r="R12" s="4"/>
      <c r="S12" s="4">
        <f t="shared" si="10"/>
        <v>0</v>
      </c>
      <c r="T12" s="4">
        <f t="shared" si="3"/>
        <v>140000</v>
      </c>
      <c r="U12" s="4">
        <f t="shared" si="4"/>
        <v>0</v>
      </c>
      <c r="V12" s="4"/>
      <c r="W12" s="4">
        <f t="shared" si="5"/>
        <v>0</v>
      </c>
      <c r="X12" s="4"/>
      <c r="Y12" s="4"/>
      <c r="Z12" s="4"/>
      <c r="AA12" s="274"/>
      <c r="AB12" s="3" t="s">
        <v>1308</v>
      </c>
      <c r="AC12" s="3">
        <v>810000</v>
      </c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</row>
    <row r="13" spans="1:47" s="5" customFormat="1" ht="45" customHeight="1">
      <c r="A13" s="3">
        <f t="shared" si="6"/>
        <v>9</v>
      </c>
      <c r="B13" s="19">
        <v>2227</v>
      </c>
      <c r="C13" s="3" t="s">
        <v>569</v>
      </c>
      <c r="D13" s="4">
        <v>100000</v>
      </c>
      <c r="E13" s="4">
        <v>100000</v>
      </c>
      <c r="F13" s="4">
        <f t="shared" si="0"/>
        <v>0</v>
      </c>
      <c r="G13" s="4">
        <v>100000</v>
      </c>
      <c r="H13" s="4">
        <v>0</v>
      </c>
      <c r="I13" s="4"/>
      <c r="J13" s="4">
        <v>0</v>
      </c>
      <c r="K13" s="4">
        <f t="shared" si="1"/>
        <v>0</v>
      </c>
      <c r="L13" s="4">
        <f t="shared" si="2"/>
        <v>0</v>
      </c>
      <c r="M13" s="4">
        <f>P13+S13-100000</f>
        <v>0</v>
      </c>
      <c r="N13" s="4"/>
      <c r="O13" s="4">
        <f t="shared" si="8"/>
        <v>100000</v>
      </c>
      <c r="P13" s="4">
        <f t="shared" si="9"/>
        <v>100000</v>
      </c>
      <c r="Q13" s="355"/>
      <c r="R13" s="4"/>
      <c r="S13" s="4">
        <f t="shared" si="10"/>
        <v>0</v>
      </c>
      <c r="T13" s="4">
        <f t="shared" si="3"/>
        <v>100000</v>
      </c>
      <c r="U13" s="4">
        <f t="shared" si="4"/>
        <v>-100000</v>
      </c>
      <c r="V13" s="4"/>
      <c r="W13" s="4">
        <f t="shared" si="5"/>
        <v>0</v>
      </c>
      <c r="X13" s="4"/>
      <c r="Y13" s="4"/>
      <c r="Z13" s="4"/>
      <c r="AA13" s="274">
        <v>-100000</v>
      </c>
      <c r="AB13" s="3" t="s">
        <v>1333</v>
      </c>
      <c r="AC13" s="3">
        <v>810000</v>
      </c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</row>
    <row r="14" spans="1:47" s="5" customFormat="1" ht="45" customHeight="1">
      <c r="A14" s="3">
        <f t="shared" si="6"/>
        <v>10</v>
      </c>
      <c r="B14" s="19">
        <v>20042</v>
      </c>
      <c r="C14" s="3" t="s">
        <v>642</v>
      </c>
      <c r="D14" s="4">
        <v>1300000</v>
      </c>
      <c r="E14" s="4">
        <v>1300000</v>
      </c>
      <c r="F14" s="4">
        <f t="shared" si="0"/>
        <v>0</v>
      </c>
      <c r="G14" s="4">
        <v>950000</v>
      </c>
      <c r="H14" s="4">
        <v>790305</v>
      </c>
      <c r="I14" s="4"/>
      <c r="J14" s="4">
        <f>1216+77725</f>
        <v>78941</v>
      </c>
      <c r="K14" s="4">
        <f t="shared" si="1"/>
        <v>78941</v>
      </c>
      <c r="L14" s="4">
        <f t="shared" si="2"/>
        <v>869246</v>
      </c>
      <c r="M14" s="4">
        <f>P14+S14-80000</f>
        <v>754</v>
      </c>
      <c r="N14" s="4">
        <f>308700+1300+40000+80000-100000</f>
        <v>330000</v>
      </c>
      <c r="O14" s="4">
        <f t="shared" si="8"/>
        <v>100000</v>
      </c>
      <c r="P14" s="4">
        <f t="shared" si="9"/>
        <v>80754</v>
      </c>
      <c r="Q14" s="355"/>
      <c r="R14" s="4"/>
      <c r="S14" s="4">
        <f t="shared" si="10"/>
        <v>0</v>
      </c>
      <c r="T14" s="4">
        <f t="shared" si="3"/>
        <v>80000</v>
      </c>
      <c r="U14" s="4">
        <f t="shared" si="4"/>
        <v>250000</v>
      </c>
      <c r="V14" s="4"/>
      <c r="W14" s="4">
        <f t="shared" si="5"/>
        <v>250000</v>
      </c>
      <c r="X14" s="4"/>
      <c r="Y14" s="4"/>
      <c r="Z14" s="4"/>
      <c r="AA14" s="274"/>
      <c r="AB14" s="3" t="s">
        <v>1334</v>
      </c>
      <c r="AC14" s="3">
        <v>810000</v>
      </c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</row>
    <row r="15" spans="1:47" s="5" customFormat="1" ht="45" customHeight="1">
      <c r="A15" s="3">
        <f t="shared" si="6"/>
        <v>11</v>
      </c>
      <c r="B15" s="19">
        <v>20043</v>
      </c>
      <c r="C15" s="3" t="s">
        <v>643</v>
      </c>
      <c r="D15" s="4">
        <v>800000</v>
      </c>
      <c r="E15" s="4">
        <v>1300000</v>
      </c>
      <c r="F15" s="4">
        <f t="shared" si="0"/>
        <v>-500000</v>
      </c>
      <c r="G15" s="4">
        <v>800000</v>
      </c>
      <c r="H15" s="4">
        <v>532407</v>
      </c>
      <c r="I15" s="4"/>
      <c r="J15" s="4"/>
      <c r="K15" s="4">
        <f t="shared" si="1"/>
        <v>0</v>
      </c>
      <c r="L15" s="4">
        <f t="shared" si="2"/>
        <v>532407</v>
      </c>
      <c r="M15" s="4">
        <f>P15+S15-250000-15000</f>
        <v>2593</v>
      </c>
      <c r="N15" s="4">
        <f>250000+15000-150000</f>
        <v>115000</v>
      </c>
      <c r="O15" s="4">
        <f t="shared" si="8"/>
        <v>150000</v>
      </c>
      <c r="P15" s="4">
        <f t="shared" si="9"/>
        <v>267593</v>
      </c>
      <c r="Q15" s="355"/>
      <c r="R15" s="120"/>
      <c r="S15" s="4">
        <f t="shared" si="10"/>
        <v>0</v>
      </c>
      <c r="T15" s="4">
        <f t="shared" si="3"/>
        <v>265000</v>
      </c>
      <c r="U15" s="4">
        <f t="shared" si="4"/>
        <v>-150000</v>
      </c>
      <c r="V15" s="4"/>
      <c r="W15" s="4">
        <f t="shared" si="5"/>
        <v>-150000</v>
      </c>
      <c r="X15" s="4"/>
      <c r="Y15" s="4"/>
      <c r="Z15" s="4"/>
      <c r="AA15" s="274"/>
      <c r="AB15" s="3" t="s">
        <v>1453</v>
      </c>
      <c r="AC15" s="3">
        <v>810000</v>
      </c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</row>
    <row r="16" spans="1:47" s="5" customFormat="1" ht="69">
      <c r="A16" s="3">
        <f t="shared" si="6"/>
        <v>12</v>
      </c>
      <c r="B16" s="19">
        <v>20044</v>
      </c>
      <c r="C16" s="3" t="s">
        <v>110</v>
      </c>
      <c r="D16" s="4">
        <f>2926000-78000</f>
        <v>2848000</v>
      </c>
      <c r="E16" s="4">
        <v>1476000</v>
      </c>
      <c r="F16" s="4">
        <f t="shared" si="0"/>
        <v>1372000</v>
      </c>
      <c r="G16" s="4">
        <v>1398000</v>
      </c>
      <c r="H16" s="4">
        <v>1377007</v>
      </c>
      <c r="I16" s="4"/>
      <c r="J16" s="4">
        <v>17269</v>
      </c>
      <c r="K16" s="4">
        <f t="shared" si="1"/>
        <v>17269</v>
      </c>
      <c r="L16" s="4">
        <f t="shared" si="2"/>
        <v>1394276</v>
      </c>
      <c r="M16" s="4">
        <f t="shared" si="7"/>
        <v>3724</v>
      </c>
      <c r="N16" s="4">
        <f>1450000-450000-200000-100000</f>
        <v>700000</v>
      </c>
      <c r="O16" s="4">
        <f t="shared" si="8"/>
        <v>750000</v>
      </c>
      <c r="P16" s="4">
        <f t="shared" si="9"/>
        <v>3724</v>
      </c>
      <c r="Q16" s="4"/>
      <c r="R16" s="4"/>
      <c r="S16" s="4">
        <f t="shared" si="10"/>
        <v>0</v>
      </c>
      <c r="T16" s="4">
        <f t="shared" si="3"/>
        <v>0</v>
      </c>
      <c r="U16" s="4">
        <f t="shared" si="4"/>
        <v>700000</v>
      </c>
      <c r="V16" s="4"/>
      <c r="W16" s="4">
        <f t="shared" si="5"/>
        <v>700000</v>
      </c>
      <c r="X16" s="4"/>
      <c r="Y16" s="4"/>
      <c r="Z16" s="4"/>
      <c r="AA16" s="274"/>
      <c r="AB16" s="3" t="s">
        <v>1454</v>
      </c>
      <c r="AC16" s="3">
        <v>810000</v>
      </c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</row>
    <row r="17" spans="1:56" s="48" customFormat="1" ht="45" customHeight="1">
      <c r="A17" s="249">
        <f>COUNT(A5:A16)</f>
        <v>12</v>
      </c>
      <c r="B17" s="20"/>
      <c r="C17" s="219" t="s">
        <v>747</v>
      </c>
      <c r="D17" s="249">
        <f t="shared" ref="D17:AA17" si="11">SUM(D5:D16)</f>
        <v>41049707</v>
      </c>
      <c r="E17" s="249">
        <f t="shared" si="11"/>
        <v>39419720</v>
      </c>
      <c r="F17" s="249">
        <f t="shared" si="11"/>
        <v>1629987</v>
      </c>
      <c r="G17" s="249">
        <f t="shared" si="11"/>
        <v>16441720</v>
      </c>
      <c r="H17" s="249">
        <f t="shared" si="11"/>
        <v>14627772</v>
      </c>
      <c r="I17" s="249">
        <f t="shared" si="11"/>
        <v>0</v>
      </c>
      <c r="J17" s="249">
        <f t="shared" si="11"/>
        <v>254094</v>
      </c>
      <c r="K17" s="249">
        <f t="shared" si="11"/>
        <v>254094</v>
      </c>
      <c r="L17" s="249">
        <f t="shared" si="11"/>
        <v>14881866</v>
      </c>
      <c r="M17" s="249">
        <f t="shared" si="11"/>
        <v>19686</v>
      </c>
      <c r="N17" s="249">
        <f t="shared" si="11"/>
        <v>2045000</v>
      </c>
      <c r="O17" s="249">
        <f t="shared" si="11"/>
        <v>24103155</v>
      </c>
      <c r="P17" s="249">
        <f t="shared" si="11"/>
        <v>1559854</v>
      </c>
      <c r="Q17" s="249">
        <f t="shared" si="11"/>
        <v>-100000</v>
      </c>
      <c r="R17" s="249">
        <f t="shared" si="11"/>
        <v>0</v>
      </c>
      <c r="S17" s="249">
        <f t="shared" si="11"/>
        <v>-100000</v>
      </c>
      <c r="T17" s="249">
        <f t="shared" si="11"/>
        <v>1440168</v>
      </c>
      <c r="U17" s="249">
        <f t="shared" si="11"/>
        <v>604832</v>
      </c>
      <c r="V17" s="249">
        <f t="shared" si="11"/>
        <v>0</v>
      </c>
      <c r="W17" s="249">
        <f t="shared" si="11"/>
        <v>1487669</v>
      </c>
      <c r="X17" s="249">
        <f t="shared" si="11"/>
        <v>0</v>
      </c>
      <c r="Y17" s="249">
        <f t="shared" si="11"/>
        <v>0</v>
      </c>
      <c r="Z17" s="249">
        <f t="shared" si="11"/>
        <v>0</v>
      </c>
      <c r="AA17" s="249">
        <f t="shared" si="11"/>
        <v>-882837</v>
      </c>
      <c r="AB17" s="20"/>
      <c r="AC17" s="20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245"/>
      <c r="AQ17" s="245"/>
      <c r="AR17" s="245"/>
      <c r="AS17" s="245"/>
      <c r="AT17" s="245"/>
      <c r="AU17" s="245"/>
      <c r="AV17" s="359"/>
      <c r="AW17" s="359"/>
      <c r="AX17" s="359"/>
      <c r="AY17" s="359"/>
      <c r="AZ17" s="359"/>
      <c r="BA17" s="359"/>
      <c r="BB17" s="359"/>
      <c r="BC17" s="359"/>
      <c r="BD17" s="359"/>
    </row>
    <row r="18" spans="1:56" s="48" customFormat="1" ht="25.2" hidden="1" customHeight="1">
      <c r="A18" s="426"/>
      <c r="B18" s="426"/>
      <c r="C18" s="427"/>
      <c r="D18" s="4">
        <f>SUM(L17:O17)</f>
        <v>41049707</v>
      </c>
      <c r="E18" s="132"/>
      <c r="F18" s="132">
        <f>D17-E17</f>
        <v>1629987</v>
      </c>
      <c r="G18" s="132"/>
      <c r="H18" s="132"/>
      <c r="I18" s="132"/>
      <c r="J18" s="132"/>
      <c r="K18" s="132"/>
      <c r="L18" s="348">
        <f>H17+K17</f>
        <v>14881866</v>
      </c>
      <c r="M18" s="132"/>
      <c r="N18" s="132"/>
      <c r="O18" s="132"/>
      <c r="P18" s="348">
        <f>G17-L18</f>
        <v>1559854</v>
      </c>
      <c r="Q18" s="132"/>
      <c r="R18" s="132"/>
      <c r="S18" s="132"/>
      <c r="T18" s="348">
        <f>P18+S17-M17</f>
        <v>1440168</v>
      </c>
      <c r="U18" s="348">
        <f>N17-T18</f>
        <v>604832</v>
      </c>
      <c r="V18" s="428"/>
      <c r="W18" s="428"/>
      <c r="X18" s="428"/>
      <c r="Y18" s="428"/>
      <c r="Z18" s="428"/>
      <c r="AA18" s="428"/>
      <c r="AB18" s="426"/>
      <c r="AC18" s="42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245"/>
      <c r="AQ18" s="245"/>
      <c r="AR18" s="245"/>
      <c r="AS18" s="245"/>
      <c r="AT18" s="245"/>
      <c r="AU18" s="245"/>
      <c r="AV18" s="359"/>
      <c r="AW18" s="359"/>
      <c r="AX18" s="359"/>
      <c r="AY18" s="359"/>
      <c r="AZ18" s="359"/>
      <c r="BA18" s="359"/>
      <c r="BB18" s="359"/>
      <c r="BC18" s="359"/>
      <c r="BD18" s="359"/>
    </row>
    <row r="19" spans="1:56" s="48" customFormat="1" ht="25.2" hidden="1" customHeight="1">
      <c r="A19" s="426"/>
      <c r="B19" s="426"/>
      <c r="C19" s="427"/>
      <c r="D19" s="4">
        <f>D17-D18</f>
        <v>0</v>
      </c>
      <c r="E19" s="132"/>
      <c r="F19" s="132"/>
      <c r="G19" s="132"/>
      <c r="H19" s="132"/>
      <c r="I19" s="132"/>
      <c r="J19" s="132"/>
      <c r="K19" s="132"/>
      <c r="L19" s="348">
        <f>L17-L18</f>
        <v>0</v>
      </c>
      <c r="M19" s="132"/>
      <c r="N19" s="132"/>
      <c r="O19" s="132"/>
      <c r="P19" s="348">
        <f>P17-P18</f>
        <v>0</v>
      </c>
      <c r="Q19" s="132"/>
      <c r="R19" s="132"/>
      <c r="S19" s="132"/>
      <c r="T19" s="348">
        <f>T17-T18</f>
        <v>0</v>
      </c>
      <c r="U19" s="348">
        <f>U17-U18</f>
        <v>0</v>
      </c>
      <c r="V19" s="428"/>
      <c r="W19" s="428"/>
      <c r="X19" s="428"/>
      <c r="Y19" s="428"/>
      <c r="Z19" s="428"/>
      <c r="AA19" s="428"/>
      <c r="AB19" s="426"/>
      <c r="AC19" s="42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245"/>
      <c r="AQ19" s="245"/>
      <c r="AR19" s="245"/>
      <c r="AS19" s="245"/>
      <c r="AT19" s="245"/>
      <c r="AU19" s="245"/>
      <c r="AV19" s="359"/>
      <c r="AW19" s="359"/>
      <c r="AX19" s="359"/>
      <c r="AY19" s="359"/>
      <c r="AZ19" s="359"/>
      <c r="BA19" s="359"/>
      <c r="BB19" s="359"/>
      <c r="BC19" s="359"/>
      <c r="BD19" s="359"/>
    </row>
    <row r="20" spans="1:56" hidden="1"/>
    <row r="21" spans="1:56" s="745" customFormat="1" ht="15.6">
      <c r="A21" s="429"/>
      <c r="C21" s="746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AB21" s="74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748"/>
      <c r="AQ21" s="748"/>
      <c r="AR21" s="748"/>
      <c r="AS21" s="748"/>
      <c r="AT21" s="748"/>
      <c r="AU21" s="748"/>
    </row>
    <row r="22" spans="1:56" ht="15.6">
      <c r="A22" s="429"/>
    </row>
    <row r="23" spans="1:56" ht="15.6">
      <c r="A23" s="429"/>
      <c r="J23" s="505"/>
    </row>
    <row r="24" spans="1:56" ht="15.6">
      <c r="A24" s="429"/>
      <c r="U24" s="11"/>
      <c r="V24" s="11"/>
      <c r="W24" s="11"/>
      <c r="X24" s="11"/>
      <c r="Y24" s="11"/>
      <c r="Z24" s="11"/>
      <c r="AA24" s="11"/>
    </row>
    <row r="25" spans="1:56">
      <c r="U25" s="11"/>
      <c r="V25" s="11"/>
      <c r="W25" s="11"/>
      <c r="X25" s="11"/>
      <c r="Y25" s="11"/>
      <c r="Z25" s="11"/>
      <c r="AA25" s="11"/>
    </row>
    <row r="26" spans="1:56">
      <c r="U26" s="11"/>
      <c r="V26" s="11"/>
      <c r="W26" s="11"/>
      <c r="X26" s="11"/>
      <c r="Y26" s="11"/>
      <c r="Z26" s="11"/>
      <c r="AA26" s="11"/>
    </row>
    <row r="27" spans="1:56">
      <c r="U27" s="11"/>
      <c r="V27" s="11"/>
      <c r="W27" s="11"/>
      <c r="X27" s="11"/>
      <c r="Y27" s="11"/>
      <c r="Z27" s="11"/>
      <c r="AA27" s="11"/>
    </row>
    <row r="28" spans="1:56">
      <c r="U28" s="11"/>
      <c r="V28" s="11"/>
      <c r="W28" s="11"/>
      <c r="X28" s="11"/>
      <c r="Y28" s="11"/>
      <c r="Z28" s="11"/>
      <c r="AA28" s="11"/>
    </row>
    <row r="30" spans="1:56">
      <c r="N30" s="506"/>
      <c r="R30" s="506"/>
    </row>
    <row r="31" spans="1:56" ht="13.95" hidden="1" customHeight="1">
      <c r="C31" s="739" t="s">
        <v>1319</v>
      </c>
    </row>
    <row r="32" spans="1:56" ht="13.95" hidden="1" customHeight="1"/>
    <row r="33" spans="2:3" ht="13.95" hidden="1" customHeight="1">
      <c r="B33" s="10" t="s">
        <v>1305</v>
      </c>
      <c r="C33" s="14" t="s">
        <v>1306</v>
      </c>
    </row>
    <row r="34" spans="2:3" ht="13.95" hidden="1" customHeight="1">
      <c r="C34" s="744" t="s">
        <v>1307</v>
      </c>
    </row>
    <row r="129" spans="1:1">
      <c r="A129" s="10">
        <f>COUNT(A5:A128)</f>
        <v>13</v>
      </c>
    </row>
    <row r="132" spans="1:1">
      <c r="A132" s="10">
        <f>A129+1</f>
        <v>14</v>
      </c>
    </row>
    <row r="135" spans="1:1" ht="37.950000000000003" customHeight="1"/>
    <row r="138" spans="1:1" ht="70.95" customHeight="1"/>
    <row r="141" spans="1:1" ht="72" customHeight="1"/>
    <row r="143" spans="1:1" ht="43.95" customHeight="1"/>
    <row r="145" ht="30" customHeight="1"/>
  </sheetData>
  <sheetProtection formatCells="0" formatColumns="0" formatRows="0" insertColumns="0" insertRows="0" insertHyperlinks="0" deleteColumns="0" deleteRows="0" sort="0" autoFilter="0" pivotTables="0"/>
  <conditionalFormatting sqref="A1:AC2">
    <cfRule type="cellIs" dxfId="393" priority="11" operator="equal">
      <formula>0</formula>
    </cfRule>
  </conditionalFormatting>
  <conditionalFormatting sqref="AB4">
    <cfRule type="cellIs" dxfId="392" priority="12" operator="equal">
      <formula>0</formula>
    </cfRule>
  </conditionalFormatting>
  <conditionalFormatting sqref="AV1:XFD2">
    <cfRule type="cellIs" dxfId="391" priority="13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26"/>
  <sheetViews>
    <sheetView showZeros="0" rightToLeft="1" zoomScaleNormal="100" workbookViewId="0">
      <pane xSplit="3" ySplit="4" topLeftCell="D21" activePane="bottomRight" state="frozen"/>
      <selection activeCell="F25" sqref="F25"/>
      <selection pane="topRight" activeCell="F25" sqref="F25"/>
      <selection pane="bottomLeft" activeCell="F25" sqref="F25"/>
      <selection pane="bottomRight" activeCell="T29" sqref="T29"/>
    </sheetView>
  </sheetViews>
  <sheetFormatPr defaultColWidth="8" defaultRowHeight="13.8"/>
  <cols>
    <col min="1" max="1" width="4.109375" style="10" customWidth="1"/>
    <col min="2" max="2" width="7.6640625" style="10" customWidth="1"/>
    <col min="3" max="3" width="19.6640625" style="14" customWidth="1"/>
    <col min="4" max="4" width="10.6640625" style="11" customWidth="1"/>
    <col min="5" max="5" width="11.109375" style="11" hidden="1" customWidth="1"/>
    <col min="6" max="6" width="9.44140625" style="11" hidden="1" customWidth="1"/>
    <col min="7" max="7" width="10.44140625" style="11" hidden="1" customWidth="1"/>
    <col min="8" max="8" width="11" style="11" hidden="1" customWidth="1"/>
    <col min="9" max="11" width="9.109375" style="11" hidden="1" customWidth="1"/>
    <col min="12" max="12" width="10.44140625" style="11" customWidth="1"/>
    <col min="13" max="13" width="9.6640625" style="11" customWidth="1"/>
    <col min="14" max="14" width="9.44140625" style="11" customWidth="1"/>
    <col min="15" max="15" width="10.109375" style="11" bestFit="1" customWidth="1"/>
    <col min="16" max="16" width="11.109375" style="11" hidden="1" customWidth="1"/>
    <col min="17" max="17" width="9.6640625" style="11" hidden="1" customWidth="1"/>
    <col min="18" max="19" width="13.5546875" style="11" hidden="1" customWidth="1"/>
    <col min="20" max="20" width="8.5546875" style="11" customWidth="1"/>
    <col min="21" max="21" width="10.33203125" style="10" customWidth="1"/>
    <col min="22" max="22" width="9.109375" style="10" hidden="1" customWidth="1"/>
    <col min="23" max="23" width="9.44140625" style="10" customWidth="1"/>
    <col min="24" max="26" width="13.5546875" style="10" hidden="1" customWidth="1"/>
    <col min="27" max="27" width="9.44140625" style="10" customWidth="1"/>
    <col min="28" max="28" width="26.88671875" style="14" customWidth="1"/>
    <col min="29" max="29" width="7.109375" style="10" customWidth="1"/>
    <col min="30" max="30" width="22.6640625" style="16" customWidth="1"/>
    <col min="31" max="31" width="20.33203125" style="16" customWidth="1"/>
    <col min="32" max="32" width="22.6640625" style="16" customWidth="1"/>
    <col min="33" max="33" width="25.88671875" style="16" customWidth="1"/>
    <col min="34" max="34" width="12.44140625" style="16" customWidth="1"/>
    <col min="35" max="35" width="17.44140625" style="16" customWidth="1"/>
    <col min="36" max="36" width="11.88671875" style="10" customWidth="1"/>
    <col min="37" max="16384" width="8" style="10"/>
  </cols>
  <sheetData>
    <row r="1" spans="1:35" s="367" customFormat="1" ht="13.2" customHeight="1">
      <c r="A1" s="362"/>
      <c r="B1" s="362"/>
      <c r="C1" s="363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4"/>
      <c r="Y1" s="364"/>
      <c r="Z1" s="364"/>
      <c r="AA1" s="365"/>
      <c r="AB1" s="366"/>
      <c r="AC1" s="365"/>
      <c r="AD1" s="16"/>
      <c r="AE1" s="16"/>
      <c r="AF1" s="16"/>
      <c r="AG1" s="16"/>
      <c r="AH1" s="16"/>
      <c r="AI1" s="16"/>
    </row>
    <row r="2" spans="1:35" s="367" customFormat="1" ht="18">
      <c r="A2" s="362" t="s">
        <v>744</v>
      </c>
      <c r="B2" s="362"/>
      <c r="C2" s="363"/>
      <c r="D2" s="362"/>
      <c r="E2" s="368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9"/>
      <c r="Y2" s="369"/>
      <c r="Z2" s="369"/>
      <c r="AA2" s="369"/>
      <c r="AB2" s="369"/>
      <c r="AC2" s="369"/>
      <c r="AD2" s="16"/>
      <c r="AE2" s="16"/>
      <c r="AF2" s="16"/>
      <c r="AG2" s="16"/>
      <c r="AH2" s="16"/>
      <c r="AI2" s="16"/>
    </row>
    <row r="3" spans="1:35" ht="20.399999999999999" customHeight="1"/>
    <row r="4" spans="1:35" s="16" customFormat="1" ht="86.25" customHeight="1">
      <c r="A4" s="130" t="s">
        <v>0</v>
      </c>
      <c r="B4" s="13" t="s">
        <v>1</v>
      </c>
      <c r="C4" s="13" t="s">
        <v>2</v>
      </c>
      <c r="D4" s="13" t="s">
        <v>3</v>
      </c>
      <c r="E4" s="13" t="s">
        <v>4</v>
      </c>
      <c r="F4" s="13" t="s">
        <v>5</v>
      </c>
      <c r="G4" s="13" t="s">
        <v>6</v>
      </c>
      <c r="H4" s="13" t="s">
        <v>7</v>
      </c>
      <c r="I4" s="13" t="s">
        <v>9</v>
      </c>
      <c r="J4" s="13" t="s">
        <v>125</v>
      </c>
      <c r="K4" s="13" t="s">
        <v>10</v>
      </c>
      <c r="L4" s="13" t="s">
        <v>11</v>
      </c>
      <c r="M4" s="13" t="s">
        <v>707</v>
      </c>
      <c r="N4" s="13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" t="s">
        <v>13</v>
      </c>
      <c r="W4" s="13" t="s">
        <v>14</v>
      </c>
      <c r="X4" s="13" t="s">
        <v>15</v>
      </c>
      <c r="Y4" s="13" t="s">
        <v>214</v>
      </c>
      <c r="Z4" s="13" t="s">
        <v>502</v>
      </c>
      <c r="AA4" s="13" t="s">
        <v>75</v>
      </c>
      <c r="AB4" s="370" t="s">
        <v>242</v>
      </c>
      <c r="AC4" s="13" t="s">
        <v>16</v>
      </c>
    </row>
    <row r="5" spans="1:35" s="5" customFormat="1" ht="69">
      <c r="A5" s="3">
        <v>1</v>
      </c>
      <c r="B5" s="19">
        <v>1776</v>
      </c>
      <c r="C5" s="3" t="s">
        <v>48</v>
      </c>
      <c r="D5" s="4">
        <v>3347000</v>
      </c>
      <c r="E5" s="4">
        <v>2465000</v>
      </c>
      <c r="F5" s="4">
        <f t="shared" ref="F5:F22" si="0">D5-E5</f>
        <v>882000</v>
      </c>
      <c r="G5" s="4">
        <v>2155000</v>
      </c>
      <c r="H5" s="4">
        <v>1433156</v>
      </c>
      <c r="I5" s="4"/>
      <c r="J5" s="4">
        <v>519595</v>
      </c>
      <c r="K5" s="4">
        <f t="shared" ref="K5:K18" si="1">I5+J5</f>
        <v>519595</v>
      </c>
      <c r="L5" s="4">
        <f t="shared" ref="L5:L21" si="2">H5+K5</f>
        <v>1952751</v>
      </c>
      <c r="M5" s="4">
        <f>P5+S5</f>
        <v>412249</v>
      </c>
      <c r="N5" s="4">
        <f>882000-382000</f>
        <v>500000</v>
      </c>
      <c r="O5" s="4">
        <f t="shared" ref="O5:O18" si="3">D5-M5-N5-L5</f>
        <v>482000</v>
      </c>
      <c r="P5" s="4">
        <f t="shared" ref="P5:P21" si="4">G5-L5</f>
        <v>202249</v>
      </c>
      <c r="Q5" s="355">
        <v>210000</v>
      </c>
      <c r="R5" s="4"/>
      <c r="S5" s="4">
        <f>SUM(Q5:R5)</f>
        <v>210000</v>
      </c>
      <c r="T5" s="4">
        <f t="shared" ref="T5:T21" si="5">P5-M5+S5</f>
        <v>0</v>
      </c>
      <c r="U5" s="4">
        <f t="shared" ref="U5:U21" si="6">N5-T5</f>
        <v>500000</v>
      </c>
      <c r="V5" s="4"/>
      <c r="W5" s="4">
        <f t="shared" ref="W5:W18" si="7">U5-V5-Z5-AA5</f>
        <v>500000</v>
      </c>
      <c r="X5" s="4"/>
      <c r="Y5" s="4"/>
      <c r="Z5" s="4"/>
      <c r="AA5" s="274"/>
      <c r="AB5" s="19" t="s">
        <v>507</v>
      </c>
      <c r="AC5" s="3">
        <v>810000</v>
      </c>
      <c r="AD5" s="16"/>
      <c r="AE5" s="16"/>
      <c r="AF5" s="16"/>
      <c r="AG5" s="16"/>
      <c r="AH5" s="16"/>
      <c r="AI5" s="18"/>
    </row>
    <row r="6" spans="1:35" s="5" customFormat="1" ht="41.4">
      <c r="A6" s="3">
        <f t="shared" ref="A6:A22" si="8">A5+1</f>
        <v>2</v>
      </c>
      <c r="B6" s="19">
        <v>1930</v>
      </c>
      <c r="C6" s="3" t="s">
        <v>110</v>
      </c>
      <c r="D6" s="4">
        <v>1676000</v>
      </c>
      <c r="E6" s="4">
        <v>1676000</v>
      </c>
      <c r="F6" s="4">
        <f t="shared" si="0"/>
        <v>0</v>
      </c>
      <c r="G6" s="4">
        <v>1676000</v>
      </c>
      <c r="H6" s="4">
        <f>1493997+6310</f>
        <v>1500307</v>
      </c>
      <c r="I6" s="4"/>
      <c r="J6" s="4">
        <v>115904.6</v>
      </c>
      <c r="K6" s="4">
        <f t="shared" si="1"/>
        <v>115904.6</v>
      </c>
      <c r="L6" s="4">
        <f>H6+K6</f>
        <v>1616211.6</v>
      </c>
      <c r="M6" s="4">
        <f t="shared" ref="M6:M22" si="9">P6+S6</f>
        <v>59788.399999999907</v>
      </c>
      <c r="N6" s="4">
        <f t="shared" ref="N6:N21" si="10">F6</f>
        <v>0</v>
      </c>
      <c r="O6" s="4">
        <f t="shared" si="3"/>
        <v>0</v>
      </c>
      <c r="P6" s="4">
        <f t="shared" si="4"/>
        <v>59788.399999999907</v>
      </c>
      <c r="Q6" s="4"/>
      <c r="R6" s="4"/>
      <c r="S6" s="4">
        <f t="shared" ref="S6:S21" si="11">SUM(Q6:R6)</f>
        <v>0</v>
      </c>
      <c r="T6" s="4">
        <f t="shared" si="5"/>
        <v>0</v>
      </c>
      <c r="U6" s="4">
        <f t="shared" si="6"/>
        <v>0</v>
      </c>
      <c r="V6" s="4"/>
      <c r="W6" s="4">
        <f t="shared" si="7"/>
        <v>0</v>
      </c>
      <c r="X6" s="4"/>
      <c r="Y6" s="4"/>
      <c r="Z6" s="4"/>
      <c r="AA6" s="4"/>
      <c r="AB6" s="3" t="s">
        <v>795</v>
      </c>
      <c r="AC6" s="3">
        <v>810000</v>
      </c>
      <c r="AD6" s="16"/>
      <c r="AE6" s="16"/>
      <c r="AF6" s="16"/>
      <c r="AG6" s="16"/>
      <c r="AH6" s="16"/>
      <c r="AI6" s="18"/>
    </row>
    <row r="7" spans="1:35" s="5" customFormat="1" ht="30" customHeight="1">
      <c r="A7" s="3">
        <f t="shared" si="8"/>
        <v>3</v>
      </c>
      <c r="B7" s="19">
        <v>2033</v>
      </c>
      <c r="C7" s="3" t="s">
        <v>273</v>
      </c>
      <c r="D7" s="4">
        <v>700000</v>
      </c>
      <c r="E7" s="4">
        <v>700000</v>
      </c>
      <c r="F7" s="4">
        <f t="shared" si="0"/>
        <v>0</v>
      </c>
      <c r="G7" s="4">
        <v>700000</v>
      </c>
      <c r="H7" s="4">
        <v>655856</v>
      </c>
      <c r="I7" s="4"/>
      <c r="J7" s="4">
        <v>35685</v>
      </c>
      <c r="K7" s="4">
        <f t="shared" si="1"/>
        <v>35685</v>
      </c>
      <c r="L7" s="4">
        <f t="shared" si="2"/>
        <v>691541</v>
      </c>
      <c r="M7" s="4">
        <f t="shared" si="9"/>
        <v>8459</v>
      </c>
      <c r="N7" s="4">
        <f t="shared" si="10"/>
        <v>0</v>
      </c>
      <c r="O7" s="4">
        <f t="shared" si="3"/>
        <v>0</v>
      </c>
      <c r="P7" s="4">
        <f t="shared" si="4"/>
        <v>8459</v>
      </c>
      <c r="Q7" s="4"/>
      <c r="R7" s="4"/>
      <c r="S7" s="4">
        <f t="shared" si="11"/>
        <v>0</v>
      </c>
      <c r="T7" s="4">
        <f t="shared" si="5"/>
        <v>0</v>
      </c>
      <c r="U7" s="4">
        <f t="shared" si="6"/>
        <v>0</v>
      </c>
      <c r="V7" s="4"/>
      <c r="W7" s="4">
        <f t="shared" si="7"/>
        <v>0</v>
      </c>
      <c r="X7" s="4"/>
      <c r="Y7" s="4"/>
      <c r="Z7" s="4"/>
      <c r="AA7" s="274"/>
      <c r="AB7" s="3" t="s">
        <v>796</v>
      </c>
      <c r="AC7" s="3">
        <v>810000</v>
      </c>
      <c r="AD7" s="16"/>
      <c r="AE7" s="16"/>
      <c r="AF7" s="16"/>
      <c r="AG7" s="16"/>
      <c r="AH7" s="16"/>
      <c r="AI7" s="18"/>
    </row>
    <row r="8" spans="1:35" s="5" customFormat="1" ht="41.4">
      <c r="A8" s="3">
        <f t="shared" si="8"/>
        <v>4</v>
      </c>
      <c r="B8" s="19">
        <v>2034</v>
      </c>
      <c r="C8" s="3" t="s">
        <v>274</v>
      </c>
      <c r="D8" s="4">
        <v>2900000</v>
      </c>
      <c r="E8" s="4">
        <v>2900000</v>
      </c>
      <c r="F8" s="4">
        <f t="shared" si="0"/>
        <v>0</v>
      </c>
      <c r="G8" s="4">
        <v>2900000</v>
      </c>
      <c r="H8" s="4">
        <v>2734895</v>
      </c>
      <c r="I8" s="4"/>
      <c r="J8" s="4">
        <v>81311</v>
      </c>
      <c r="K8" s="4">
        <f t="shared" si="1"/>
        <v>81311</v>
      </c>
      <c r="L8" s="4">
        <f t="shared" si="2"/>
        <v>2816206</v>
      </c>
      <c r="M8" s="4">
        <f t="shared" si="9"/>
        <v>83794</v>
      </c>
      <c r="N8" s="4">
        <f t="shared" si="10"/>
        <v>0</v>
      </c>
      <c r="O8" s="4">
        <f t="shared" si="3"/>
        <v>0</v>
      </c>
      <c r="P8" s="4">
        <f t="shared" si="4"/>
        <v>83794</v>
      </c>
      <c r="Q8" s="4"/>
      <c r="R8" s="4"/>
      <c r="S8" s="4">
        <f t="shared" si="11"/>
        <v>0</v>
      </c>
      <c r="T8" s="4">
        <f t="shared" si="5"/>
        <v>0</v>
      </c>
      <c r="U8" s="4">
        <f t="shared" si="6"/>
        <v>0</v>
      </c>
      <c r="V8" s="4"/>
      <c r="W8" s="4">
        <f t="shared" si="7"/>
        <v>0</v>
      </c>
      <c r="X8" s="4"/>
      <c r="Y8" s="4"/>
      <c r="Z8" s="4"/>
      <c r="AA8" s="274"/>
      <c r="AB8" s="3" t="s">
        <v>794</v>
      </c>
      <c r="AC8" s="3">
        <v>810000</v>
      </c>
      <c r="AD8" s="16"/>
      <c r="AE8" s="16"/>
      <c r="AF8" s="16"/>
      <c r="AG8" s="16"/>
      <c r="AH8" s="16"/>
      <c r="AI8" s="18"/>
    </row>
    <row r="9" spans="1:35" s="5" customFormat="1" ht="30" customHeight="1">
      <c r="A9" s="3">
        <f t="shared" si="8"/>
        <v>5</v>
      </c>
      <c r="B9" s="19">
        <v>2090</v>
      </c>
      <c r="C9" s="3" t="s">
        <v>276</v>
      </c>
      <c r="D9" s="4">
        <v>350000</v>
      </c>
      <c r="E9" s="4">
        <v>350000</v>
      </c>
      <c r="F9" s="4">
        <f t="shared" si="0"/>
        <v>0</v>
      </c>
      <c r="G9" s="4">
        <v>350000</v>
      </c>
      <c r="H9" s="4">
        <v>266383</v>
      </c>
      <c r="I9" s="4"/>
      <c r="J9" s="4">
        <v>33792.49</v>
      </c>
      <c r="K9" s="4">
        <f t="shared" si="1"/>
        <v>33792.49</v>
      </c>
      <c r="L9" s="4">
        <f t="shared" si="2"/>
        <v>300175.49</v>
      </c>
      <c r="M9" s="4">
        <f t="shared" si="9"/>
        <v>49824.510000000009</v>
      </c>
      <c r="N9" s="4">
        <f t="shared" si="10"/>
        <v>0</v>
      </c>
      <c r="O9" s="4">
        <f t="shared" si="3"/>
        <v>0</v>
      </c>
      <c r="P9" s="4">
        <f t="shared" si="4"/>
        <v>49824.510000000009</v>
      </c>
      <c r="Q9" s="4"/>
      <c r="R9" s="4"/>
      <c r="S9" s="4">
        <f t="shared" si="11"/>
        <v>0</v>
      </c>
      <c r="T9" s="4">
        <f t="shared" si="5"/>
        <v>0</v>
      </c>
      <c r="U9" s="4">
        <f t="shared" si="6"/>
        <v>0</v>
      </c>
      <c r="V9" s="4"/>
      <c r="W9" s="4">
        <f t="shared" si="7"/>
        <v>0</v>
      </c>
      <c r="X9" s="4"/>
      <c r="Y9" s="4"/>
      <c r="Z9" s="4"/>
      <c r="AA9" s="274"/>
      <c r="AB9" s="3" t="s">
        <v>553</v>
      </c>
      <c r="AC9" s="3">
        <v>810000</v>
      </c>
      <c r="AD9" s="16"/>
      <c r="AE9" s="16"/>
      <c r="AF9" s="16"/>
      <c r="AG9" s="16"/>
      <c r="AH9" s="16"/>
      <c r="AI9" s="18"/>
    </row>
    <row r="10" spans="1:35" s="5" customFormat="1" ht="43.95" customHeight="1">
      <c r="A10" s="3">
        <f t="shared" si="8"/>
        <v>6</v>
      </c>
      <c r="B10" s="19">
        <v>2091</v>
      </c>
      <c r="C10" s="3" t="s">
        <v>277</v>
      </c>
      <c r="D10" s="4">
        <v>1360000</v>
      </c>
      <c r="E10" s="4">
        <v>1360000</v>
      </c>
      <c r="F10" s="4">
        <f t="shared" si="0"/>
        <v>0</v>
      </c>
      <c r="G10" s="4">
        <v>400000</v>
      </c>
      <c r="H10" s="4">
        <v>80000</v>
      </c>
      <c r="I10" s="4"/>
      <c r="J10" s="4">
        <v>80057</v>
      </c>
      <c r="K10" s="4">
        <f t="shared" si="1"/>
        <v>80057</v>
      </c>
      <c r="L10" s="4">
        <f t="shared" si="2"/>
        <v>160057</v>
      </c>
      <c r="M10" s="4">
        <f t="shared" si="9"/>
        <v>239943</v>
      </c>
      <c r="N10" s="4">
        <v>960000</v>
      </c>
      <c r="O10" s="4">
        <f t="shared" si="3"/>
        <v>0</v>
      </c>
      <c r="P10" s="4">
        <f t="shared" si="4"/>
        <v>239943</v>
      </c>
      <c r="Q10" s="4">
        <f>960000-960000</f>
        <v>0</v>
      </c>
      <c r="R10" s="4"/>
      <c r="S10" s="4">
        <f t="shared" si="11"/>
        <v>0</v>
      </c>
      <c r="T10" s="4">
        <f t="shared" si="5"/>
        <v>0</v>
      </c>
      <c r="U10" s="4">
        <f t="shared" si="6"/>
        <v>960000</v>
      </c>
      <c r="V10" s="4"/>
      <c r="W10" s="4">
        <f t="shared" si="7"/>
        <v>0</v>
      </c>
      <c r="X10" s="4"/>
      <c r="Y10" s="4"/>
      <c r="Z10" s="4"/>
      <c r="AA10" s="274">
        <v>960000</v>
      </c>
      <c r="AB10" s="3" t="s">
        <v>511</v>
      </c>
      <c r="AC10" s="3">
        <v>810000</v>
      </c>
      <c r="AD10" s="16"/>
      <c r="AE10" s="16"/>
      <c r="AF10" s="16"/>
      <c r="AG10" s="16"/>
      <c r="AH10" s="16"/>
      <c r="AI10" s="18"/>
    </row>
    <row r="11" spans="1:35" s="5" customFormat="1" ht="41.4">
      <c r="A11" s="3">
        <f t="shared" si="8"/>
        <v>7</v>
      </c>
      <c r="B11" s="19">
        <v>2092</v>
      </c>
      <c r="C11" s="3" t="s">
        <v>333</v>
      </c>
      <c r="D11" s="4">
        <v>4050720</v>
      </c>
      <c r="E11" s="4">
        <v>4050720</v>
      </c>
      <c r="F11" s="4">
        <f t="shared" si="0"/>
        <v>0</v>
      </c>
      <c r="G11" s="4">
        <v>4050720</v>
      </c>
      <c r="H11" s="4">
        <v>3267883</v>
      </c>
      <c r="I11" s="4"/>
      <c r="J11" s="4">
        <v>0</v>
      </c>
      <c r="K11" s="4">
        <f t="shared" si="1"/>
        <v>0</v>
      </c>
      <c r="L11" s="4">
        <f t="shared" si="2"/>
        <v>3267883</v>
      </c>
      <c r="M11" s="4">
        <f>P11+S11-782837</f>
        <v>0</v>
      </c>
      <c r="N11" s="4">
        <f t="shared" si="10"/>
        <v>0</v>
      </c>
      <c r="O11" s="4">
        <f t="shared" si="3"/>
        <v>782837</v>
      </c>
      <c r="P11" s="4">
        <f t="shared" si="4"/>
        <v>782837</v>
      </c>
      <c r="Q11" s="4"/>
      <c r="R11" s="4"/>
      <c r="S11" s="4">
        <f t="shared" si="11"/>
        <v>0</v>
      </c>
      <c r="T11" s="4">
        <f t="shared" si="5"/>
        <v>782837</v>
      </c>
      <c r="U11" s="4">
        <f t="shared" si="6"/>
        <v>-782837</v>
      </c>
      <c r="V11" s="4"/>
      <c r="W11" s="4">
        <f t="shared" si="7"/>
        <v>0</v>
      </c>
      <c r="X11" s="4"/>
      <c r="Y11" s="4"/>
      <c r="Z11" s="4"/>
      <c r="AA11" s="274">
        <v>-782837</v>
      </c>
      <c r="AB11" s="3" t="s">
        <v>745</v>
      </c>
      <c r="AC11" s="3">
        <v>810000</v>
      </c>
      <c r="AD11" s="16"/>
      <c r="AE11" s="16"/>
      <c r="AF11" s="16"/>
      <c r="AG11" s="16"/>
      <c r="AH11" s="16"/>
      <c r="AI11" s="18"/>
    </row>
    <row r="12" spans="1:35" s="5" customFormat="1" ht="53.4" customHeight="1">
      <c r="A12" s="3">
        <f t="shared" si="8"/>
        <v>8</v>
      </c>
      <c r="B12" s="19">
        <v>2135</v>
      </c>
      <c r="C12" s="3" t="s">
        <v>377</v>
      </c>
      <c r="D12" s="4">
        <v>23000000</v>
      </c>
      <c r="E12" s="4">
        <v>23000000</v>
      </c>
      <c r="F12" s="4">
        <f t="shared" si="0"/>
        <v>0</v>
      </c>
      <c r="G12" s="4"/>
      <c r="H12" s="4">
        <v>0</v>
      </c>
      <c r="I12" s="4"/>
      <c r="J12" s="4">
        <v>0</v>
      </c>
      <c r="K12" s="4">
        <f t="shared" si="1"/>
        <v>0</v>
      </c>
      <c r="L12" s="4">
        <f t="shared" si="2"/>
        <v>0</v>
      </c>
      <c r="M12" s="4">
        <f t="shared" si="9"/>
        <v>0</v>
      </c>
      <c r="N12" s="4">
        <f>5500000-4500000</f>
        <v>1000000</v>
      </c>
      <c r="O12" s="4">
        <f t="shared" si="3"/>
        <v>22000000</v>
      </c>
      <c r="P12" s="4">
        <f>G12-L12</f>
        <v>0</v>
      </c>
      <c r="Q12" s="4">
        <f>1000000-1000000</f>
        <v>0</v>
      </c>
      <c r="R12" s="4"/>
      <c r="S12" s="4">
        <f t="shared" si="11"/>
        <v>0</v>
      </c>
      <c r="T12" s="4">
        <f t="shared" si="5"/>
        <v>0</v>
      </c>
      <c r="U12" s="4">
        <f t="shared" si="6"/>
        <v>1000000</v>
      </c>
      <c r="V12" s="4"/>
      <c r="W12" s="4">
        <f t="shared" si="7"/>
        <v>1000000</v>
      </c>
      <c r="X12" s="4"/>
      <c r="Y12" s="4"/>
      <c r="Z12" s="4"/>
      <c r="AA12" s="274"/>
      <c r="AB12" s="3" t="s">
        <v>681</v>
      </c>
      <c r="AC12" s="3">
        <v>810000</v>
      </c>
      <c r="AD12" s="16"/>
      <c r="AE12" s="16"/>
      <c r="AF12" s="16"/>
      <c r="AG12" s="16"/>
      <c r="AH12" s="16"/>
      <c r="AI12" s="18"/>
    </row>
    <row r="13" spans="1:35" s="5" customFormat="1" ht="41.4">
      <c r="A13" s="3">
        <f t="shared" si="8"/>
        <v>9</v>
      </c>
      <c r="B13" s="19">
        <v>2160</v>
      </c>
      <c r="C13" s="3" t="s">
        <v>391</v>
      </c>
      <c r="D13" s="4">
        <v>210000</v>
      </c>
      <c r="E13" s="4">
        <v>210000</v>
      </c>
      <c r="F13" s="4">
        <f t="shared" si="0"/>
        <v>0</v>
      </c>
      <c r="G13" s="4">
        <v>210000</v>
      </c>
      <c r="H13" s="4">
        <v>0</v>
      </c>
      <c r="I13" s="4"/>
      <c r="J13" s="4">
        <v>0</v>
      </c>
      <c r="K13" s="4">
        <f t="shared" si="1"/>
        <v>0</v>
      </c>
      <c r="L13" s="4">
        <f t="shared" si="2"/>
        <v>0</v>
      </c>
      <c r="M13" s="4">
        <f t="shared" si="9"/>
        <v>210000</v>
      </c>
      <c r="N13" s="4">
        <f t="shared" si="10"/>
        <v>0</v>
      </c>
      <c r="O13" s="4">
        <f t="shared" si="3"/>
        <v>0</v>
      </c>
      <c r="P13" s="4">
        <f t="shared" si="4"/>
        <v>210000</v>
      </c>
      <c r="Q13" s="4"/>
      <c r="R13" s="4"/>
      <c r="S13" s="4">
        <f t="shared" si="11"/>
        <v>0</v>
      </c>
      <c r="T13" s="4">
        <f t="shared" si="5"/>
        <v>0</v>
      </c>
      <c r="U13" s="4">
        <f t="shared" si="6"/>
        <v>0</v>
      </c>
      <c r="V13" s="4"/>
      <c r="W13" s="4">
        <f t="shared" si="7"/>
        <v>0</v>
      </c>
      <c r="X13" s="4"/>
      <c r="Y13" s="4"/>
      <c r="Z13" s="4"/>
      <c r="AA13" s="274"/>
      <c r="AB13" s="3" t="s">
        <v>392</v>
      </c>
      <c r="AC13" s="3">
        <v>810000</v>
      </c>
      <c r="AD13" s="16"/>
      <c r="AE13" s="16"/>
      <c r="AF13" s="16"/>
      <c r="AG13" s="16"/>
      <c r="AH13" s="16"/>
      <c r="AI13" s="18"/>
    </row>
    <row r="14" spans="1:35" s="5" customFormat="1" ht="39" customHeight="1">
      <c r="A14" s="3">
        <f t="shared" si="8"/>
        <v>10</v>
      </c>
      <c r="B14" s="19">
        <v>2179</v>
      </c>
      <c r="C14" s="3" t="s">
        <v>462</v>
      </c>
      <c r="D14" s="4">
        <v>390000</v>
      </c>
      <c r="E14" s="4">
        <v>390000</v>
      </c>
      <c r="F14" s="4">
        <f t="shared" si="0"/>
        <v>0</v>
      </c>
      <c r="G14" s="4">
        <v>390000</v>
      </c>
      <c r="H14" s="4">
        <v>293310</v>
      </c>
      <c r="I14" s="4"/>
      <c r="J14" s="4">
        <v>0</v>
      </c>
      <c r="K14" s="4">
        <f t="shared" si="1"/>
        <v>0</v>
      </c>
      <c r="L14" s="4">
        <f t="shared" si="2"/>
        <v>293310</v>
      </c>
      <c r="M14" s="4">
        <f t="shared" si="9"/>
        <v>96690</v>
      </c>
      <c r="N14" s="4">
        <v>-100000</v>
      </c>
      <c r="O14" s="4">
        <f t="shared" si="3"/>
        <v>100000</v>
      </c>
      <c r="P14" s="4">
        <f t="shared" si="4"/>
        <v>96690</v>
      </c>
      <c r="Q14" s="4"/>
      <c r="R14" s="4"/>
      <c r="S14" s="4">
        <f t="shared" si="11"/>
        <v>0</v>
      </c>
      <c r="T14" s="4">
        <f t="shared" si="5"/>
        <v>0</v>
      </c>
      <c r="U14" s="4">
        <f t="shared" si="6"/>
        <v>-100000</v>
      </c>
      <c r="V14" s="4"/>
      <c r="W14" s="4">
        <f t="shared" si="7"/>
        <v>0</v>
      </c>
      <c r="X14" s="4"/>
      <c r="Y14" s="4"/>
      <c r="Z14" s="4"/>
      <c r="AA14" s="274">
        <v>-100000</v>
      </c>
      <c r="AB14" s="3" t="s">
        <v>793</v>
      </c>
      <c r="AC14" s="3">
        <v>810000</v>
      </c>
      <c r="AD14" s="16"/>
      <c r="AE14" s="16"/>
      <c r="AF14" s="16"/>
      <c r="AG14" s="16"/>
      <c r="AH14" s="16"/>
      <c r="AI14" s="18"/>
    </row>
    <row r="15" spans="1:35" s="5" customFormat="1" ht="51" customHeight="1">
      <c r="A15" s="3">
        <f t="shared" si="8"/>
        <v>11</v>
      </c>
      <c r="B15" s="19">
        <v>2217</v>
      </c>
      <c r="C15" s="3" t="s">
        <v>723</v>
      </c>
      <c r="D15" s="4">
        <f>2650000-660000</f>
        <v>1990000</v>
      </c>
      <c r="E15" s="4">
        <v>2650000</v>
      </c>
      <c r="F15" s="4">
        <f t="shared" si="0"/>
        <v>-660000</v>
      </c>
      <c r="G15" s="4">
        <v>1750000</v>
      </c>
      <c r="H15" s="4">
        <v>1087039.78</v>
      </c>
      <c r="I15" s="4"/>
      <c r="J15" s="4">
        <v>566249.4</v>
      </c>
      <c r="K15" s="4">
        <f t="shared" si="1"/>
        <v>566249.4</v>
      </c>
      <c r="L15" s="4">
        <f>H15+K15</f>
        <v>1653289.1800000002</v>
      </c>
      <c r="M15" s="4">
        <f t="shared" si="9"/>
        <v>96710.819999999832</v>
      </c>
      <c r="N15" s="4">
        <f>900000-660000</f>
        <v>240000</v>
      </c>
      <c r="O15" s="4">
        <f t="shared" si="3"/>
        <v>0</v>
      </c>
      <c r="P15" s="4">
        <f t="shared" si="4"/>
        <v>96710.819999999832</v>
      </c>
      <c r="Q15" s="4"/>
      <c r="R15" s="4"/>
      <c r="S15" s="4">
        <f t="shared" si="11"/>
        <v>0</v>
      </c>
      <c r="T15" s="4">
        <f t="shared" si="5"/>
        <v>0</v>
      </c>
      <c r="U15" s="4">
        <f t="shared" si="6"/>
        <v>240000</v>
      </c>
      <c r="V15" s="4"/>
      <c r="W15" s="4">
        <f t="shared" si="7"/>
        <v>240000</v>
      </c>
      <c r="X15" s="4"/>
      <c r="Y15" s="4"/>
      <c r="Z15" s="4"/>
      <c r="AA15" s="4"/>
      <c r="AB15" s="3" t="s">
        <v>758</v>
      </c>
      <c r="AC15" s="3">
        <v>810000</v>
      </c>
      <c r="AD15" s="16"/>
      <c r="AE15" s="16"/>
      <c r="AF15" s="16"/>
      <c r="AG15" s="16"/>
      <c r="AH15" s="16"/>
      <c r="AI15" s="18"/>
    </row>
    <row r="16" spans="1:35" s="5" customFormat="1" ht="41.4">
      <c r="A16" s="3">
        <f t="shared" si="8"/>
        <v>12</v>
      </c>
      <c r="B16" s="19">
        <v>2218</v>
      </c>
      <c r="C16" s="3" t="s">
        <v>464</v>
      </c>
      <c r="D16" s="4">
        <v>1400000</v>
      </c>
      <c r="E16" s="4">
        <v>1400000</v>
      </c>
      <c r="F16" s="4">
        <f t="shared" si="0"/>
        <v>0</v>
      </c>
      <c r="G16" s="4">
        <v>1400000</v>
      </c>
      <c r="H16" s="4">
        <v>908070</v>
      </c>
      <c r="I16" s="4"/>
      <c r="J16" s="4">
        <v>71842.460000000006</v>
      </c>
      <c r="K16" s="4">
        <f t="shared" si="1"/>
        <v>71842.460000000006</v>
      </c>
      <c r="L16" s="4">
        <f t="shared" si="2"/>
        <v>979912.46</v>
      </c>
      <c r="M16" s="4">
        <f t="shared" si="9"/>
        <v>420087.54000000004</v>
      </c>
      <c r="N16" s="4">
        <f t="shared" si="10"/>
        <v>0</v>
      </c>
      <c r="O16" s="4">
        <f t="shared" si="3"/>
        <v>0</v>
      </c>
      <c r="P16" s="4">
        <f t="shared" si="4"/>
        <v>420087.54000000004</v>
      </c>
      <c r="Q16" s="4"/>
      <c r="R16" s="4"/>
      <c r="S16" s="4">
        <f t="shared" si="11"/>
        <v>0</v>
      </c>
      <c r="T16" s="4">
        <f t="shared" si="5"/>
        <v>0</v>
      </c>
      <c r="U16" s="4">
        <f t="shared" si="6"/>
        <v>0</v>
      </c>
      <c r="V16" s="4"/>
      <c r="W16" s="4">
        <f t="shared" si="7"/>
        <v>0</v>
      </c>
      <c r="X16" s="4"/>
      <c r="Y16" s="4"/>
      <c r="Z16" s="4"/>
      <c r="AA16" s="4"/>
      <c r="AB16" s="3" t="s">
        <v>746</v>
      </c>
      <c r="AC16" s="3">
        <v>810000</v>
      </c>
      <c r="AD16" s="16"/>
      <c r="AE16" s="16"/>
      <c r="AF16" s="16"/>
      <c r="AG16" s="16"/>
      <c r="AH16" s="16"/>
      <c r="AI16" s="18"/>
    </row>
    <row r="17" spans="1:50" s="5" customFormat="1" ht="27.6">
      <c r="A17" s="3">
        <f t="shared" si="8"/>
        <v>13</v>
      </c>
      <c r="B17" s="19">
        <v>2219</v>
      </c>
      <c r="C17" s="3" t="s">
        <v>465</v>
      </c>
      <c r="D17" s="4">
        <f>750000-210000-100000</f>
        <v>440000</v>
      </c>
      <c r="E17" s="4">
        <v>750000</v>
      </c>
      <c r="F17" s="4">
        <f t="shared" si="0"/>
        <v>-310000</v>
      </c>
      <c r="G17" s="4">
        <v>540000</v>
      </c>
      <c r="H17" s="4">
        <v>233915.11</v>
      </c>
      <c r="I17" s="4"/>
      <c r="J17" s="4">
        <v>36828</v>
      </c>
      <c r="K17" s="4">
        <f t="shared" si="1"/>
        <v>36828</v>
      </c>
      <c r="L17" s="4">
        <f t="shared" si="2"/>
        <v>270743.11</v>
      </c>
      <c r="M17" s="4">
        <f>P17+S17-100000</f>
        <v>169256.89</v>
      </c>
      <c r="N17" s="4"/>
      <c r="O17" s="4">
        <f t="shared" si="3"/>
        <v>0</v>
      </c>
      <c r="P17" s="4">
        <f t="shared" si="4"/>
        <v>269256.89</v>
      </c>
      <c r="Q17" s="4"/>
      <c r="R17" s="4"/>
      <c r="S17" s="4">
        <f t="shared" si="11"/>
        <v>0</v>
      </c>
      <c r="T17" s="4">
        <f t="shared" si="5"/>
        <v>100000</v>
      </c>
      <c r="U17" s="4">
        <f t="shared" si="6"/>
        <v>-100000</v>
      </c>
      <c r="V17" s="4"/>
      <c r="W17" s="4">
        <f t="shared" si="7"/>
        <v>-100000</v>
      </c>
      <c r="X17" s="4"/>
      <c r="Y17" s="4"/>
      <c r="Z17" s="4"/>
      <c r="AA17" s="4"/>
      <c r="AB17" s="3" t="s">
        <v>639</v>
      </c>
      <c r="AC17" s="3">
        <v>810000</v>
      </c>
      <c r="AD17" s="16"/>
      <c r="AE17" s="16"/>
      <c r="AF17" s="16"/>
      <c r="AG17" s="16"/>
      <c r="AH17" s="16"/>
      <c r="AI17" s="18"/>
    </row>
    <row r="18" spans="1:50" s="5" customFormat="1" ht="30" customHeight="1">
      <c r="A18" s="3">
        <f t="shared" si="8"/>
        <v>14</v>
      </c>
      <c r="B18" s="19">
        <v>2227</v>
      </c>
      <c r="C18" s="3" t="s">
        <v>569</v>
      </c>
      <c r="D18" s="4">
        <v>100000</v>
      </c>
      <c r="E18" s="4">
        <v>100000</v>
      </c>
      <c r="F18" s="4">
        <f t="shared" si="0"/>
        <v>0</v>
      </c>
      <c r="G18" s="4">
        <v>100000</v>
      </c>
      <c r="H18" s="4">
        <v>0</v>
      </c>
      <c r="I18" s="4"/>
      <c r="J18" s="4">
        <v>0</v>
      </c>
      <c r="K18" s="4">
        <f t="shared" si="1"/>
        <v>0</v>
      </c>
      <c r="L18" s="4">
        <f t="shared" si="2"/>
        <v>0</v>
      </c>
      <c r="M18" s="4">
        <f t="shared" si="9"/>
        <v>100000</v>
      </c>
      <c r="N18" s="4">
        <f t="shared" si="10"/>
        <v>0</v>
      </c>
      <c r="O18" s="4">
        <f t="shared" si="3"/>
        <v>0</v>
      </c>
      <c r="P18" s="4">
        <f t="shared" si="4"/>
        <v>100000</v>
      </c>
      <c r="Q18" s="4"/>
      <c r="R18" s="4"/>
      <c r="S18" s="4">
        <f t="shared" si="11"/>
        <v>0</v>
      </c>
      <c r="T18" s="4">
        <f t="shared" si="5"/>
        <v>0</v>
      </c>
      <c r="U18" s="4">
        <f t="shared" si="6"/>
        <v>0</v>
      </c>
      <c r="V18" s="4"/>
      <c r="W18" s="4">
        <f t="shared" si="7"/>
        <v>0</v>
      </c>
      <c r="X18" s="4"/>
      <c r="Y18" s="4"/>
      <c r="Z18" s="4"/>
      <c r="AA18" s="4"/>
      <c r="AB18" s="3" t="s">
        <v>584</v>
      </c>
      <c r="AC18" s="3">
        <v>810000</v>
      </c>
      <c r="AD18" s="16"/>
      <c r="AE18" s="16"/>
      <c r="AF18" s="16"/>
      <c r="AG18" s="16"/>
      <c r="AH18" s="16"/>
      <c r="AI18" s="18"/>
    </row>
    <row r="19" spans="1:50" s="5" customFormat="1" ht="30" customHeight="1">
      <c r="A19" s="3">
        <f t="shared" si="8"/>
        <v>15</v>
      </c>
      <c r="B19" s="19">
        <v>20041</v>
      </c>
      <c r="C19" s="3" t="s">
        <v>640</v>
      </c>
      <c r="D19" s="4">
        <v>100000</v>
      </c>
      <c r="E19" s="4">
        <v>100000</v>
      </c>
      <c r="F19" s="4">
        <f t="shared" si="0"/>
        <v>0</v>
      </c>
      <c r="G19" s="4">
        <v>100000</v>
      </c>
      <c r="H19" s="4">
        <v>0</v>
      </c>
      <c r="I19" s="4"/>
      <c r="J19" s="4">
        <v>0</v>
      </c>
      <c r="K19" s="4">
        <f>SUM(I19:J19)</f>
        <v>0</v>
      </c>
      <c r="L19" s="4">
        <f t="shared" si="2"/>
        <v>0</v>
      </c>
      <c r="M19" s="4">
        <f t="shared" si="9"/>
        <v>100000</v>
      </c>
      <c r="N19" s="4">
        <f t="shared" si="10"/>
        <v>0</v>
      </c>
      <c r="O19" s="4">
        <f>D19-L19-M19-N19</f>
        <v>0</v>
      </c>
      <c r="P19" s="4">
        <f t="shared" si="4"/>
        <v>100000</v>
      </c>
      <c r="Q19" s="4"/>
      <c r="R19" s="4"/>
      <c r="S19" s="4">
        <f t="shared" si="11"/>
        <v>0</v>
      </c>
      <c r="T19" s="4">
        <f t="shared" si="5"/>
        <v>0</v>
      </c>
      <c r="U19" s="4">
        <f t="shared" si="6"/>
        <v>0</v>
      </c>
      <c r="V19" s="4">
        <v>0</v>
      </c>
      <c r="W19" s="4">
        <f>U19-V19-Z19-AA19</f>
        <v>0</v>
      </c>
      <c r="X19" s="4"/>
      <c r="Y19" s="4"/>
      <c r="Z19" s="4"/>
      <c r="AA19" s="4"/>
      <c r="AB19" s="3" t="s">
        <v>641</v>
      </c>
      <c r="AC19" s="3">
        <v>810000</v>
      </c>
      <c r="AD19" s="16"/>
      <c r="AE19" s="16"/>
      <c r="AF19" s="16"/>
      <c r="AG19" s="16"/>
      <c r="AH19" s="16"/>
      <c r="AI19" s="18"/>
    </row>
    <row r="20" spans="1:50" s="5" customFormat="1" ht="45.6" customHeight="1">
      <c r="A20" s="3">
        <f t="shared" si="8"/>
        <v>16</v>
      </c>
      <c r="B20" s="19">
        <v>20042</v>
      </c>
      <c r="C20" s="3" t="s">
        <v>642</v>
      </c>
      <c r="D20" s="4">
        <v>1300000</v>
      </c>
      <c r="E20" s="4">
        <v>1300000</v>
      </c>
      <c r="F20" s="4">
        <f t="shared" si="0"/>
        <v>0</v>
      </c>
      <c r="G20" s="4">
        <v>650000</v>
      </c>
      <c r="H20" s="4">
        <v>328</v>
      </c>
      <c r="I20" s="4"/>
      <c r="J20" s="4">
        <v>348398</v>
      </c>
      <c r="K20" s="4">
        <f>SUM(I20:J20)</f>
        <v>348398</v>
      </c>
      <c r="L20" s="4">
        <f t="shared" si="2"/>
        <v>348726</v>
      </c>
      <c r="M20" s="4">
        <f t="shared" si="9"/>
        <v>301274</v>
      </c>
      <c r="N20" s="4">
        <v>300000</v>
      </c>
      <c r="O20" s="4">
        <f>D20-L20-M20-N20</f>
        <v>350000</v>
      </c>
      <c r="P20" s="4">
        <f t="shared" si="4"/>
        <v>301274</v>
      </c>
      <c r="Q20" s="4"/>
      <c r="R20" s="4"/>
      <c r="S20" s="4">
        <f t="shared" si="11"/>
        <v>0</v>
      </c>
      <c r="T20" s="4">
        <f t="shared" si="5"/>
        <v>0</v>
      </c>
      <c r="U20" s="4">
        <f t="shared" si="6"/>
        <v>300000</v>
      </c>
      <c r="V20" s="4">
        <v>0</v>
      </c>
      <c r="W20" s="4">
        <f>U20-V20-Z20-AA20</f>
        <v>300000</v>
      </c>
      <c r="X20" s="4"/>
      <c r="Y20" s="4"/>
      <c r="Z20" s="4"/>
      <c r="AA20" s="4"/>
      <c r="AB20" s="3" t="s">
        <v>790</v>
      </c>
      <c r="AC20" s="3">
        <v>810000</v>
      </c>
      <c r="AD20" s="16"/>
      <c r="AE20" s="16"/>
      <c r="AF20" s="16"/>
      <c r="AG20" s="16"/>
      <c r="AH20" s="16"/>
      <c r="AI20" s="18"/>
    </row>
    <row r="21" spans="1:50" s="5" customFormat="1" ht="49.95" customHeight="1">
      <c r="A21" s="3">
        <f t="shared" si="8"/>
        <v>17</v>
      </c>
      <c r="B21" s="19">
        <v>20043</v>
      </c>
      <c r="C21" s="3" t="s">
        <v>643</v>
      </c>
      <c r="D21" s="4">
        <v>1300000</v>
      </c>
      <c r="E21" s="4">
        <v>1300000</v>
      </c>
      <c r="F21" s="4">
        <f t="shared" si="0"/>
        <v>0</v>
      </c>
      <c r="G21" s="4">
        <v>800000</v>
      </c>
      <c r="H21" s="4">
        <v>386</v>
      </c>
      <c r="I21" s="4"/>
      <c r="J21" s="4">
        <v>267326</v>
      </c>
      <c r="K21" s="4">
        <f>SUM(I21:J21)</f>
        <v>267326</v>
      </c>
      <c r="L21" s="4">
        <f t="shared" si="2"/>
        <v>267712</v>
      </c>
      <c r="M21" s="4">
        <f t="shared" si="9"/>
        <v>532288</v>
      </c>
      <c r="N21" s="4">
        <f t="shared" si="10"/>
        <v>0</v>
      </c>
      <c r="O21" s="4">
        <f>D21-L21-M21-N21</f>
        <v>500000</v>
      </c>
      <c r="P21" s="4">
        <f t="shared" si="4"/>
        <v>532288</v>
      </c>
      <c r="Q21" s="4"/>
      <c r="R21" s="4"/>
      <c r="S21" s="4">
        <f t="shared" si="11"/>
        <v>0</v>
      </c>
      <c r="T21" s="4">
        <f t="shared" si="5"/>
        <v>0</v>
      </c>
      <c r="U21" s="4">
        <f t="shared" si="6"/>
        <v>0</v>
      </c>
      <c r="V21" s="4">
        <v>0</v>
      </c>
      <c r="W21" s="4">
        <f>U21-V21-Z21-AA21</f>
        <v>0</v>
      </c>
      <c r="X21" s="4"/>
      <c r="Y21" s="4"/>
      <c r="Z21" s="4"/>
      <c r="AA21" s="4"/>
      <c r="AB21" s="3" t="s">
        <v>790</v>
      </c>
      <c r="AC21" s="3">
        <v>810000</v>
      </c>
      <c r="AD21" s="16"/>
      <c r="AE21" s="16"/>
      <c r="AF21" s="16"/>
      <c r="AG21" s="16"/>
      <c r="AH21" s="16"/>
      <c r="AI21" s="18"/>
    </row>
    <row r="22" spans="1:50" s="5" customFormat="1" ht="96" customHeight="1">
      <c r="A22" s="3">
        <f t="shared" si="8"/>
        <v>18</v>
      </c>
      <c r="B22" s="19">
        <v>20044</v>
      </c>
      <c r="C22" s="3" t="s">
        <v>110</v>
      </c>
      <c r="D22" s="4">
        <f>1784000+166000-474000</f>
        <v>1476000</v>
      </c>
      <c r="E22" s="4">
        <v>776000</v>
      </c>
      <c r="F22" s="4">
        <f t="shared" si="0"/>
        <v>700000</v>
      </c>
      <c r="G22" s="4">
        <v>776000</v>
      </c>
      <c r="H22" s="4">
        <v>2997.3</v>
      </c>
      <c r="I22" s="4"/>
      <c r="J22" s="4">
        <v>662030.69999999995</v>
      </c>
      <c r="K22" s="4">
        <f>SUM(I22:J22)</f>
        <v>662030.69999999995</v>
      </c>
      <c r="L22" s="4">
        <f>H22+K22</f>
        <v>665028</v>
      </c>
      <c r="M22" s="4">
        <f t="shared" si="9"/>
        <v>110972</v>
      </c>
      <c r="N22" s="4">
        <f>1008000+166000-474000</f>
        <v>700000</v>
      </c>
      <c r="O22" s="4">
        <f>D22-L22-M22-N22</f>
        <v>0</v>
      </c>
      <c r="P22" s="4">
        <f>G22-L22</f>
        <v>110972</v>
      </c>
      <c r="Q22" s="4"/>
      <c r="R22" s="4"/>
      <c r="S22" s="4">
        <f>SUM(Q22:R22)</f>
        <v>0</v>
      </c>
      <c r="T22" s="4">
        <f>P22-M22+S22</f>
        <v>0</v>
      </c>
      <c r="U22" s="4">
        <f>N22-T22</f>
        <v>700000</v>
      </c>
      <c r="V22" s="4"/>
      <c r="W22" s="4">
        <f>U22-V22-Z22-AA22</f>
        <v>622000</v>
      </c>
      <c r="X22" s="4"/>
      <c r="Y22" s="4"/>
      <c r="Z22" s="4"/>
      <c r="AA22" s="4">
        <f>26000+52000</f>
        <v>78000</v>
      </c>
      <c r="AB22" s="3" t="s">
        <v>797</v>
      </c>
      <c r="AC22" s="3">
        <v>810000</v>
      </c>
      <c r="AD22" s="16"/>
      <c r="AE22" s="16"/>
      <c r="AF22" s="16"/>
      <c r="AG22" s="16"/>
      <c r="AH22" s="16"/>
      <c r="AI22" s="18"/>
    </row>
    <row r="23" spans="1:50" s="48" customFormat="1" ht="30" customHeight="1">
      <c r="A23" s="20">
        <f>A22</f>
        <v>18</v>
      </c>
      <c r="B23" s="20"/>
      <c r="C23" s="20" t="s">
        <v>529</v>
      </c>
      <c r="D23" s="50">
        <f>SUM(D5:D22)</f>
        <v>46089720</v>
      </c>
      <c r="E23" s="50">
        <f t="shared" ref="E23:AA23" si="12">SUM(E5:E22)</f>
        <v>45477720</v>
      </c>
      <c r="F23" s="50">
        <f t="shared" si="12"/>
        <v>612000</v>
      </c>
      <c r="G23" s="50">
        <f t="shared" si="12"/>
        <v>18947720</v>
      </c>
      <c r="H23" s="50">
        <f t="shared" si="12"/>
        <v>12464526.189999999</v>
      </c>
      <c r="I23" s="50">
        <f t="shared" si="12"/>
        <v>0</v>
      </c>
      <c r="J23" s="50">
        <f t="shared" si="12"/>
        <v>2819019.6500000004</v>
      </c>
      <c r="K23" s="50">
        <f t="shared" si="12"/>
        <v>2819019.6500000004</v>
      </c>
      <c r="L23" s="50">
        <f t="shared" si="12"/>
        <v>15283545.84</v>
      </c>
      <c r="M23" s="50">
        <f t="shared" si="12"/>
        <v>2991337.1599999997</v>
      </c>
      <c r="N23" s="50">
        <f t="shared" si="12"/>
        <v>3600000</v>
      </c>
      <c r="O23" s="50">
        <f t="shared" si="12"/>
        <v>24214837</v>
      </c>
      <c r="P23" s="50">
        <f t="shared" si="12"/>
        <v>3664174.1599999997</v>
      </c>
      <c r="Q23" s="50">
        <f t="shared" si="12"/>
        <v>210000</v>
      </c>
      <c r="R23" s="50">
        <f t="shared" si="12"/>
        <v>0</v>
      </c>
      <c r="S23" s="50">
        <f t="shared" si="12"/>
        <v>210000</v>
      </c>
      <c r="T23" s="50">
        <f t="shared" si="12"/>
        <v>882837</v>
      </c>
      <c r="U23" s="50">
        <f t="shared" si="12"/>
        <v>2717163</v>
      </c>
      <c r="V23" s="50">
        <f t="shared" si="12"/>
        <v>0</v>
      </c>
      <c r="W23" s="50">
        <f t="shared" si="12"/>
        <v>2562000</v>
      </c>
      <c r="X23" s="50">
        <f t="shared" si="12"/>
        <v>0</v>
      </c>
      <c r="Y23" s="50">
        <f t="shared" si="12"/>
        <v>0</v>
      </c>
      <c r="Z23" s="50">
        <f t="shared" si="12"/>
        <v>0</v>
      </c>
      <c r="AA23" s="50">
        <f t="shared" si="12"/>
        <v>155163</v>
      </c>
      <c r="AB23" s="20"/>
      <c r="AC23" s="20"/>
      <c r="AD23" s="16"/>
      <c r="AE23" s="16"/>
      <c r="AF23" s="16"/>
      <c r="AG23" s="16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</row>
    <row r="24" spans="1:50" s="369" customFormat="1">
      <c r="A24" s="10"/>
      <c r="B24" s="10"/>
      <c r="C24" s="14"/>
      <c r="D24" s="11"/>
      <c r="E24" s="11"/>
      <c r="F24" s="11"/>
      <c r="G24" s="11"/>
      <c r="H24" s="11"/>
      <c r="I24" s="11"/>
      <c r="J24" s="11"/>
      <c r="K24" s="11"/>
      <c r="L24" s="398">
        <f>H23+K23</f>
        <v>15283545.84</v>
      </c>
      <c r="M24" s="11"/>
      <c r="N24" s="11"/>
      <c r="O24" s="11"/>
      <c r="P24" s="398">
        <f>G23-L23</f>
        <v>3664174.16</v>
      </c>
      <c r="Q24" s="11"/>
      <c r="R24" s="11"/>
      <c r="S24" s="11"/>
      <c r="T24" s="398">
        <f>P24+S23-M23</f>
        <v>882837.00000000047</v>
      </c>
      <c r="U24" s="11"/>
      <c r="V24" s="11"/>
      <c r="W24" s="11"/>
      <c r="X24" s="11"/>
      <c r="Y24" s="11"/>
      <c r="Z24" s="11"/>
      <c r="AA24" s="11"/>
      <c r="AB24" s="14"/>
      <c r="AC24" s="10"/>
      <c r="AD24" s="16"/>
      <c r="AE24" s="16"/>
      <c r="AF24" s="16"/>
      <c r="AG24" s="16"/>
      <c r="AH24" s="16"/>
      <c r="AI24" s="16"/>
    </row>
    <row r="25" spans="1:50" s="369" customFormat="1">
      <c r="A25" s="10"/>
      <c r="B25" s="10"/>
      <c r="C25" s="14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"/>
      <c r="AC25" s="10"/>
      <c r="AD25" s="16"/>
      <c r="AE25" s="16"/>
      <c r="AF25" s="16"/>
      <c r="AG25" s="16"/>
      <c r="AH25" s="16"/>
      <c r="AI25" s="16"/>
    </row>
    <row r="26" spans="1:50" s="369" customFormat="1">
      <c r="A26" s="10"/>
      <c r="B26" s="10"/>
      <c r="C26" s="14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4"/>
      <c r="AC26" s="10"/>
      <c r="AD26" s="16"/>
      <c r="AE26" s="16"/>
      <c r="AF26" s="16"/>
      <c r="AG26" s="16"/>
      <c r="AH26" s="16"/>
      <c r="AI26" s="16"/>
    </row>
  </sheetData>
  <sheetProtection formatCells="0" formatColumns="0" formatRows="0" insertColumns="0" insertRows="0" insertHyperlinks="0" deleteColumns="0" deleteRows="0" sort="0" autoFilter="0" pivotTables="0"/>
  <conditionalFormatting sqref="A1:AC2">
    <cfRule type="cellIs" dxfId="390" priority="1" operator="equal">
      <formula>0</formula>
    </cfRule>
  </conditionalFormatting>
  <conditionalFormatting sqref="AB4">
    <cfRule type="cellIs" dxfId="389" priority="4" operator="equal">
      <formula>0</formula>
    </cfRule>
  </conditionalFormatting>
  <conditionalFormatting sqref="AJ1:XFD2">
    <cfRule type="cellIs" dxfId="388" priority="5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45"/>
  <sheetViews>
    <sheetView showZeros="0" rightToLeft="1" zoomScaleNormal="100" workbookViewId="0">
      <pane xSplit="3" ySplit="4" topLeftCell="L14" activePane="bottomRight" state="frozen"/>
      <selection activeCell="S45" sqref="S45"/>
      <selection pane="topRight" activeCell="S45" sqref="S45"/>
      <selection pane="bottomLeft" activeCell="S45" sqref="S45"/>
      <selection pane="bottomRight" activeCell="L23" sqref="L23"/>
    </sheetView>
  </sheetViews>
  <sheetFormatPr defaultColWidth="7.6640625" defaultRowHeight="13.8"/>
  <cols>
    <col min="1" max="1" width="3.5546875" style="10" customWidth="1"/>
    <col min="2" max="2" width="5.5546875" style="10" customWidth="1"/>
    <col min="3" max="3" width="21.33203125" style="14" customWidth="1"/>
    <col min="4" max="4" width="10.109375" style="11" customWidth="1"/>
    <col min="5" max="5" width="10.33203125" style="11" customWidth="1"/>
    <col min="6" max="6" width="8.88671875" style="11" customWidth="1"/>
    <col min="7" max="7" width="10.109375" style="11" customWidth="1"/>
    <col min="8" max="8" width="10.6640625" style="11" customWidth="1"/>
    <col min="9" max="9" width="8.88671875" style="11" customWidth="1"/>
    <col min="10" max="10" width="9.5546875" style="11" customWidth="1"/>
    <col min="11" max="11" width="8.88671875" style="11" customWidth="1"/>
    <col min="12" max="12" width="10" style="11" customWidth="1"/>
    <col min="13" max="13" width="9.6640625" style="11" customWidth="1"/>
    <col min="14" max="14" width="8.88671875" style="11" bestFit="1" customWidth="1"/>
    <col min="15" max="15" width="9.88671875" style="11" customWidth="1"/>
    <col min="16" max="16" width="10.6640625" style="11" customWidth="1"/>
    <col min="17" max="17" width="9.44140625" style="11" customWidth="1"/>
    <col min="18" max="19" width="13.33203125" style="11" customWidth="1"/>
    <col min="20" max="20" width="9" style="11" customWidth="1"/>
    <col min="21" max="21" width="8.88671875" style="10" bestFit="1" customWidth="1"/>
    <col min="22" max="22" width="8.88671875" style="10" hidden="1" customWidth="1"/>
    <col min="23" max="23" width="8.88671875" style="10" customWidth="1"/>
    <col min="24" max="26" width="13.33203125" style="10" hidden="1" customWidth="1"/>
    <col min="27" max="27" width="9.5546875" style="10" customWidth="1"/>
    <col min="28" max="28" width="31" style="14" customWidth="1"/>
    <col min="29" max="29" width="6.88671875" style="10" customWidth="1"/>
    <col min="30" max="31" width="27.6640625" style="16" customWidth="1"/>
    <col min="32" max="32" width="12.44140625" style="16" customWidth="1"/>
    <col min="33" max="33" width="27.6640625" style="16" customWidth="1"/>
    <col min="34" max="34" width="12.44140625" style="16" customWidth="1"/>
    <col min="35" max="35" width="16.88671875" style="16" customWidth="1"/>
    <col min="36" max="36" width="20.109375" style="16" customWidth="1"/>
    <col min="37" max="38" width="10.33203125" style="16" customWidth="1"/>
    <col min="39" max="39" width="20.109375" style="16" customWidth="1"/>
    <col min="40" max="40" width="12.44140625" style="16" customWidth="1"/>
    <col min="41" max="41" width="21.88671875" style="16" customWidth="1"/>
    <col min="42" max="47" width="10.44140625" style="16" customWidth="1"/>
    <col min="48" max="16384" width="7.6640625" style="10"/>
  </cols>
  <sheetData>
    <row r="1" spans="1:47" s="501" customFormat="1" ht="13.2" customHeight="1">
      <c r="A1" s="496"/>
      <c r="B1" s="496"/>
      <c r="C1" s="497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8"/>
      <c r="Y1" s="498"/>
      <c r="Z1" s="498"/>
      <c r="AA1" s="499"/>
      <c r="AB1" s="500"/>
      <c r="AC1" s="499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</row>
    <row r="2" spans="1:47" s="501" customFormat="1" ht="18">
      <c r="A2" s="496" t="s">
        <v>744</v>
      </c>
      <c r="B2" s="496"/>
      <c r="C2" s="497"/>
      <c r="D2" s="496"/>
      <c r="E2" s="502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503"/>
      <c r="Y2" s="503"/>
      <c r="Z2" s="503"/>
      <c r="AA2" s="503"/>
      <c r="AB2" s="503"/>
      <c r="AC2" s="503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</row>
    <row r="3" spans="1:47" ht="20.399999999999999" customHeight="1">
      <c r="W3" s="896" t="s">
        <v>79</v>
      </c>
      <c r="X3" s="896"/>
      <c r="Y3" s="896"/>
      <c r="Z3" s="896"/>
      <c r="AA3" s="896"/>
      <c r="AB3" s="896"/>
    </row>
    <row r="4" spans="1:47" s="16" customFormat="1" ht="86.25" customHeight="1">
      <c r="A4" s="130" t="s">
        <v>0</v>
      </c>
      <c r="B4" s="13" t="s">
        <v>1</v>
      </c>
      <c r="C4" s="13" t="s">
        <v>2</v>
      </c>
      <c r="D4" s="13" t="s">
        <v>3</v>
      </c>
      <c r="E4" s="13" t="s">
        <v>4</v>
      </c>
      <c r="F4" s="13" t="s">
        <v>5</v>
      </c>
      <c r="G4" s="13" t="s">
        <v>6</v>
      </c>
      <c r="H4" s="13" t="s">
        <v>7</v>
      </c>
      <c r="I4" s="13" t="s">
        <v>9</v>
      </c>
      <c r="J4" s="13" t="s">
        <v>125</v>
      </c>
      <c r="K4" s="13" t="s">
        <v>10</v>
      </c>
      <c r="L4" s="13" t="s">
        <v>11</v>
      </c>
      <c r="M4" s="13" t="s">
        <v>917</v>
      </c>
      <c r="N4" s="13" t="s">
        <v>918</v>
      </c>
      <c r="O4" s="2" t="s">
        <v>919</v>
      </c>
      <c r="P4" s="2" t="s">
        <v>12</v>
      </c>
      <c r="Q4" s="2" t="s">
        <v>920</v>
      </c>
      <c r="R4" s="2" t="s">
        <v>921</v>
      </c>
      <c r="S4" s="2" t="s">
        <v>922</v>
      </c>
      <c r="T4" s="2" t="s">
        <v>923</v>
      </c>
      <c r="U4" s="2" t="s">
        <v>924</v>
      </c>
      <c r="V4" s="13" t="s">
        <v>13</v>
      </c>
      <c r="W4" s="13" t="s">
        <v>14</v>
      </c>
      <c r="X4" s="13" t="s">
        <v>15</v>
      </c>
      <c r="Y4" s="13" t="s">
        <v>214</v>
      </c>
      <c r="Z4" s="13" t="s">
        <v>502</v>
      </c>
      <c r="AA4" s="13" t="s">
        <v>75</v>
      </c>
      <c r="AB4" s="504" t="s">
        <v>242</v>
      </c>
      <c r="AC4" s="13" t="s">
        <v>16</v>
      </c>
    </row>
    <row r="5" spans="1:47" s="5" customFormat="1" ht="67.95" customHeight="1">
      <c r="A5" s="3">
        <v>1</v>
      </c>
      <c r="B5" s="19">
        <v>1776</v>
      </c>
      <c r="C5" s="3" t="s">
        <v>48</v>
      </c>
      <c r="D5" s="4">
        <f>5056000-50000-9000</f>
        <v>4997000</v>
      </c>
      <c r="E5" s="4">
        <v>3347000</v>
      </c>
      <c r="F5" s="4">
        <f t="shared" ref="F5:F16" si="0">D5-E5</f>
        <v>1650000</v>
      </c>
      <c r="G5" s="4">
        <v>3297000</v>
      </c>
      <c r="H5" s="4">
        <v>3079137</v>
      </c>
      <c r="I5" s="4"/>
      <c r="J5" s="4">
        <f>16656+135250</f>
        <v>151906</v>
      </c>
      <c r="K5" s="4">
        <f t="shared" ref="K5:K16" si="1">I5+J5</f>
        <v>151906</v>
      </c>
      <c r="L5" s="4">
        <f t="shared" ref="L5:L16" si="2">H5+K5</f>
        <v>3231043</v>
      </c>
      <c r="M5" s="4">
        <f>P5+S5-60000</f>
        <v>5957</v>
      </c>
      <c r="N5" s="4">
        <f>1709000-9000-100000-400000-500000+60000</f>
        <v>760000</v>
      </c>
      <c r="O5" s="4">
        <f>D5-M5-N5-L5</f>
        <v>1000000</v>
      </c>
      <c r="P5" s="4">
        <f>G5-L5</f>
        <v>65957</v>
      </c>
      <c r="Q5" s="355"/>
      <c r="R5" s="4"/>
      <c r="S5" s="4">
        <f>SUM(Q5:R5)</f>
        <v>0</v>
      </c>
      <c r="T5" s="4">
        <f t="shared" ref="T5:T16" si="3">P5-M5+S5</f>
        <v>60000</v>
      </c>
      <c r="U5" s="4">
        <f t="shared" ref="U5:U16" si="4">N5-T5</f>
        <v>700000</v>
      </c>
      <c r="V5" s="4"/>
      <c r="W5" s="4">
        <f t="shared" ref="W5:W16" si="5">U5-V5-Z5-AA5</f>
        <v>700000</v>
      </c>
      <c r="X5" s="4"/>
      <c r="Y5" s="4"/>
      <c r="Z5" s="4"/>
      <c r="AA5" s="274"/>
      <c r="AB5" s="19" t="s">
        <v>1320</v>
      </c>
      <c r="AC5" s="3">
        <v>810000</v>
      </c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s="5" customFormat="1" ht="65.400000000000006" customHeight="1">
      <c r="A6" s="3">
        <f t="shared" ref="A6:A16" si="6">A5+1</f>
        <v>2</v>
      </c>
      <c r="B6" s="19">
        <v>1930</v>
      </c>
      <c r="C6" s="3" t="s">
        <v>110</v>
      </c>
      <c r="D6" s="4">
        <v>1676000</v>
      </c>
      <c r="E6" s="4">
        <v>1676000</v>
      </c>
      <c r="F6" s="4">
        <f t="shared" si="0"/>
        <v>0</v>
      </c>
      <c r="G6" s="4">
        <v>1676000</v>
      </c>
      <c r="H6" s="4">
        <v>1669608</v>
      </c>
      <c r="I6" s="4"/>
      <c r="J6" s="4">
        <v>5978</v>
      </c>
      <c r="K6" s="4">
        <f t="shared" si="1"/>
        <v>5978</v>
      </c>
      <c r="L6" s="4">
        <f t="shared" si="2"/>
        <v>1675586</v>
      </c>
      <c r="M6" s="4">
        <f t="shared" ref="M6:M16" si="7">P6+S6</f>
        <v>414</v>
      </c>
      <c r="N6" s="4"/>
      <c r="O6" s="4">
        <f t="shared" ref="O6:O16" si="8">D6-M6-N6-L6</f>
        <v>0</v>
      </c>
      <c r="P6" s="4">
        <f t="shared" ref="P6:P16" si="9">G6-L6</f>
        <v>414</v>
      </c>
      <c r="Q6" s="355"/>
      <c r="R6" s="4"/>
      <c r="S6" s="4">
        <f t="shared" ref="S6:S16" si="10">SUM(Q6:R6)</f>
        <v>0</v>
      </c>
      <c r="T6" s="4">
        <f t="shared" si="3"/>
        <v>0</v>
      </c>
      <c r="U6" s="4">
        <f t="shared" si="4"/>
        <v>0</v>
      </c>
      <c r="V6" s="4"/>
      <c r="W6" s="4">
        <f t="shared" si="5"/>
        <v>0</v>
      </c>
      <c r="X6" s="4"/>
      <c r="Y6" s="4"/>
      <c r="Z6" s="4"/>
      <c r="AA6" s="274"/>
      <c r="AB6" s="3" t="s">
        <v>1331</v>
      </c>
      <c r="AC6" s="3">
        <v>810000</v>
      </c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s="5" customFormat="1" ht="27.6">
      <c r="A7" s="3">
        <f t="shared" si="6"/>
        <v>3</v>
      </c>
      <c r="B7" s="19">
        <v>2090</v>
      </c>
      <c r="C7" s="3" t="s">
        <v>276</v>
      </c>
      <c r="D7" s="4">
        <f>350000-7945</f>
        <v>342055</v>
      </c>
      <c r="E7" s="4">
        <v>350000</v>
      </c>
      <c r="F7" s="4">
        <f t="shared" si="0"/>
        <v>-7945</v>
      </c>
      <c r="G7" s="4">
        <v>350000</v>
      </c>
      <c r="H7" s="4">
        <v>342055</v>
      </c>
      <c r="I7" s="4"/>
      <c r="J7" s="4"/>
      <c r="K7" s="4">
        <f t="shared" si="1"/>
        <v>0</v>
      </c>
      <c r="L7" s="4">
        <f t="shared" si="2"/>
        <v>342055</v>
      </c>
      <c r="M7" s="4">
        <f>P7+S7-7945</f>
        <v>0</v>
      </c>
      <c r="N7" s="4"/>
      <c r="O7" s="4">
        <f t="shared" si="8"/>
        <v>0</v>
      </c>
      <c r="P7" s="4">
        <f t="shared" si="9"/>
        <v>7945</v>
      </c>
      <c r="Q7" s="355"/>
      <c r="R7" s="4"/>
      <c r="S7" s="4">
        <f t="shared" si="10"/>
        <v>0</v>
      </c>
      <c r="T7" s="4">
        <f t="shared" si="3"/>
        <v>7945</v>
      </c>
      <c r="U7" s="4">
        <f t="shared" si="4"/>
        <v>-7945</v>
      </c>
      <c r="V7" s="4"/>
      <c r="W7" s="4">
        <f t="shared" si="5"/>
        <v>-7945</v>
      </c>
      <c r="X7" s="4"/>
      <c r="Y7" s="4"/>
      <c r="Z7" s="4"/>
      <c r="AA7" s="274"/>
      <c r="AB7" s="3" t="s">
        <v>1463</v>
      </c>
      <c r="AC7" s="3">
        <v>810000</v>
      </c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</row>
    <row r="8" spans="1:47" s="5" customFormat="1" ht="41.4">
      <c r="A8" s="3">
        <f t="shared" si="6"/>
        <v>4</v>
      </c>
      <c r="B8" s="19">
        <v>2092</v>
      </c>
      <c r="C8" s="3" t="s">
        <v>333</v>
      </c>
      <c r="D8" s="4">
        <f>4050720-782837</f>
        <v>3267883</v>
      </c>
      <c r="E8" s="4">
        <v>4050720</v>
      </c>
      <c r="F8" s="4">
        <f t="shared" si="0"/>
        <v>-782837</v>
      </c>
      <c r="G8" s="4">
        <v>4050720</v>
      </c>
      <c r="H8" s="4">
        <v>3267883</v>
      </c>
      <c r="I8" s="4"/>
      <c r="J8" s="4"/>
      <c r="K8" s="4">
        <f t="shared" si="1"/>
        <v>0</v>
      </c>
      <c r="L8" s="4">
        <f t="shared" si="2"/>
        <v>3267883</v>
      </c>
      <c r="M8" s="4">
        <f>P8+S8-782837</f>
        <v>0</v>
      </c>
      <c r="N8" s="4"/>
      <c r="O8" s="4">
        <f t="shared" si="8"/>
        <v>0</v>
      </c>
      <c r="P8" s="4">
        <f t="shared" si="9"/>
        <v>782837</v>
      </c>
      <c r="Q8" s="355"/>
      <c r="R8" s="4"/>
      <c r="S8" s="4">
        <f t="shared" si="10"/>
        <v>0</v>
      </c>
      <c r="T8" s="4">
        <f t="shared" si="3"/>
        <v>782837</v>
      </c>
      <c r="U8" s="4">
        <f t="shared" si="4"/>
        <v>-782837</v>
      </c>
      <c r="V8" s="4"/>
      <c r="W8" s="4">
        <f t="shared" si="5"/>
        <v>0</v>
      </c>
      <c r="X8" s="4"/>
      <c r="Y8" s="4"/>
      <c r="Z8" s="4"/>
      <c r="AA8" s="274">
        <v>-782837</v>
      </c>
      <c r="AB8" s="3" t="s">
        <v>745</v>
      </c>
      <c r="AC8" s="3">
        <v>810000</v>
      </c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</row>
    <row r="9" spans="1:47" s="5" customFormat="1" ht="41.4">
      <c r="A9" s="3">
        <f t="shared" si="6"/>
        <v>5</v>
      </c>
      <c r="B9" s="19">
        <v>2135</v>
      </c>
      <c r="C9" s="3" t="s">
        <v>377</v>
      </c>
      <c r="D9" s="4">
        <f>23000000</f>
        <v>23000000</v>
      </c>
      <c r="E9" s="4">
        <v>23000000</v>
      </c>
      <c r="F9" s="4">
        <f t="shared" si="0"/>
        <v>0</v>
      </c>
      <c r="G9" s="4">
        <v>1000000</v>
      </c>
      <c r="H9" s="4">
        <v>996845</v>
      </c>
      <c r="I9" s="4"/>
      <c r="J9" s="4"/>
      <c r="K9" s="4">
        <f t="shared" si="1"/>
        <v>0</v>
      </c>
      <c r="L9" s="4">
        <f t="shared" si="2"/>
        <v>996845</v>
      </c>
      <c r="M9" s="4">
        <f>P9+S9-3155</f>
        <v>0</v>
      </c>
      <c r="N9" s="4">
        <f>17*50000-850000</f>
        <v>0</v>
      </c>
      <c r="O9" s="4">
        <f t="shared" si="8"/>
        <v>22003155</v>
      </c>
      <c r="P9" s="4">
        <f t="shared" si="9"/>
        <v>3155</v>
      </c>
      <c r="Q9" s="355"/>
      <c r="R9" s="4"/>
      <c r="S9" s="4">
        <f t="shared" si="10"/>
        <v>0</v>
      </c>
      <c r="T9" s="4">
        <f t="shared" si="3"/>
        <v>3155</v>
      </c>
      <c r="U9" s="4">
        <f t="shared" si="4"/>
        <v>-3155</v>
      </c>
      <c r="V9" s="4"/>
      <c r="W9" s="4">
        <f t="shared" si="5"/>
        <v>-3155</v>
      </c>
      <c r="X9" s="4"/>
      <c r="Y9" s="4"/>
      <c r="Z9" s="4"/>
      <c r="AA9" s="274"/>
      <c r="AB9" s="3" t="s">
        <v>1523</v>
      </c>
      <c r="AC9" s="3">
        <v>810000</v>
      </c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</row>
    <row r="10" spans="1:47" s="5" customFormat="1" ht="27.6">
      <c r="A10" s="3">
        <f t="shared" si="6"/>
        <v>6</v>
      </c>
      <c r="B10" s="19">
        <v>2179</v>
      </c>
      <c r="C10" s="3" t="s">
        <v>462</v>
      </c>
      <c r="D10" s="4">
        <f>390000-100000</f>
        <v>290000</v>
      </c>
      <c r="E10" s="4">
        <v>390000</v>
      </c>
      <c r="F10" s="4">
        <f t="shared" si="0"/>
        <v>-100000</v>
      </c>
      <c r="G10" s="4">
        <v>390000</v>
      </c>
      <c r="H10" s="4">
        <v>286987</v>
      </c>
      <c r="I10" s="4"/>
      <c r="J10" s="4"/>
      <c r="K10" s="4">
        <f t="shared" si="1"/>
        <v>0</v>
      </c>
      <c r="L10" s="4">
        <f t="shared" si="2"/>
        <v>286987</v>
      </c>
      <c r="M10" s="4">
        <f t="shared" si="7"/>
        <v>3013</v>
      </c>
      <c r="N10" s="4"/>
      <c r="O10" s="4">
        <f t="shared" si="8"/>
        <v>0</v>
      </c>
      <c r="P10" s="4">
        <f t="shared" si="9"/>
        <v>103013</v>
      </c>
      <c r="Q10" s="355">
        <v>-100000</v>
      </c>
      <c r="R10" s="4"/>
      <c r="S10" s="4">
        <f t="shared" si="10"/>
        <v>-100000</v>
      </c>
      <c r="T10" s="4">
        <f t="shared" si="3"/>
        <v>0</v>
      </c>
      <c r="U10" s="4">
        <f t="shared" si="4"/>
        <v>0</v>
      </c>
      <c r="V10" s="4"/>
      <c r="W10" s="4">
        <f t="shared" si="5"/>
        <v>0</v>
      </c>
      <c r="X10" s="4"/>
      <c r="Y10" s="4"/>
      <c r="Z10" s="4"/>
      <c r="AA10" s="274"/>
      <c r="AB10" s="3" t="s">
        <v>1332</v>
      </c>
      <c r="AC10" s="3">
        <v>810000</v>
      </c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</row>
    <row r="11" spans="1:47" s="5" customFormat="1" ht="40.200000000000003" customHeight="1">
      <c r="A11" s="3">
        <f t="shared" si="6"/>
        <v>7</v>
      </c>
      <c r="B11" s="19">
        <v>2217</v>
      </c>
      <c r="C11" s="3" t="s">
        <v>723</v>
      </c>
      <c r="D11" s="4">
        <f>1990000-1231</f>
        <v>1988769</v>
      </c>
      <c r="E11" s="4">
        <v>1990000</v>
      </c>
      <c r="F11" s="4">
        <f t="shared" si="0"/>
        <v>-1231</v>
      </c>
      <c r="G11" s="4">
        <v>1990000</v>
      </c>
      <c r="H11" s="4">
        <v>1988769</v>
      </c>
      <c r="I11" s="4"/>
      <c r="J11" s="4"/>
      <c r="K11" s="4">
        <f t="shared" si="1"/>
        <v>0</v>
      </c>
      <c r="L11" s="4">
        <f t="shared" si="2"/>
        <v>1988769</v>
      </c>
      <c r="M11" s="4">
        <f>P11+S11-1231</f>
        <v>0</v>
      </c>
      <c r="N11" s="4"/>
      <c r="O11" s="4">
        <f t="shared" si="8"/>
        <v>0</v>
      </c>
      <c r="P11" s="4">
        <f t="shared" si="9"/>
        <v>1231</v>
      </c>
      <c r="Q11" s="355"/>
      <c r="R11" s="4"/>
      <c r="S11" s="4">
        <f t="shared" si="10"/>
        <v>0</v>
      </c>
      <c r="T11" s="4">
        <f t="shared" si="3"/>
        <v>1231</v>
      </c>
      <c r="U11" s="4">
        <f t="shared" si="4"/>
        <v>-1231</v>
      </c>
      <c r="V11" s="4"/>
      <c r="W11" s="4">
        <f t="shared" si="5"/>
        <v>-1231</v>
      </c>
      <c r="X11" s="4"/>
      <c r="Y11" s="4"/>
      <c r="Z11" s="4"/>
      <c r="AA11" s="274"/>
      <c r="AB11" s="3" t="s">
        <v>1464</v>
      </c>
      <c r="AC11" s="3">
        <v>810000</v>
      </c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</row>
    <row r="12" spans="1:47" s="5" customFormat="1" ht="30.6" customHeight="1">
      <c r="A12" s="3">
        <f t="shared" si="6"/>
        <v>8</v>
      </c>
      <c r="B12" s="19">
        <v>2219</v>
      </c>
      <c r="C12" s="3" t="s">
        <v>465</v>
      </c>
      <c r="D12" s="4">
        <v>440000</v>
      </c>
      <c r="E12" s="4">
        <v>440000</v>
      </c>
      <c r="F12" s="4">
        <f t="shared" si="0"/>
        <v>0</v>
      </c>
      <c r="G12" s="4">
        <v>440000</v>
      </c>
      <c r="H12" s="4">
        <v>296769</v>
      </c>
      <c r="I12" s="4"/>
      <c r="J12" s="4"/>
      <c r="K12" s="4">
        <f t="shared" si="1"/>
        <v>0</v>
      </c>
      <c r="L12" s="4">
        <f t="shared" si="2"/>
        <v>296769</v>
      </c>
      <c r="M12" s="4">
        <f>P12+S12-140000</f>
        <v>3231</v>
      </c>
      <c r="N12" s="4">
        <f>150000-10000</f>
        <v>140000</v>
      </c>
      <c r="O12" s="4">
        <f t="shared" si="8"/>
        <v>0</v>
      </c>
      <c r="P12" s="4">
        <f t="shared" si="9"/>
        <v>143231</v>
      </c>
      <c r="Q12" s="355"/>
      <c r="R12" s="4"/>
      <c r="S12" s="4">
        <f t="shared" si="10"/>
        <v>0</v>
      </c>
      <c r="T12" s="4">
        <f t="shared" si="3"/>
        <v>140000</v>
      </c>
      <c r="U12" s="4">
        <f t="shared" si="4"/>
        <v>0</v>
      </c>
      <c r="V12" s="4"/>
      <c r="W12" s="4">
        <f t="shared" si="5"/>
        <v>0</v>
      </c>
      <c r="X12" s="4"/>
      <c r="Y12" s="4"/>
      <c r="Z12" s="4"/>
      <c r="AA12" s="274"/>
      <c r="AB12" s="3" t="s">
        <v>1308</v>
      </c>
      <c r="AC12" s="3">
        <v>810000</v>
      </c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</row>
    <row r="13" spans="1:47" s="5" customFormat="1" ht="27.6">
      <c r="A13" s="3">
        <f t="shared" si="6"/>
        <v>9</v>
      </c>
      <c r="B13" s="19">
        <v>2227</v>
      </c>
      <c r="C13" s="3" t="s">
        <v>569</v>
      </c>
      <c r="D13" s="4">
        <v>100000</v>
      </c>
      <c r="E13" s="4">
        <v>100000</v>
      </c>
      <c r="F13" s="4">
        <f t="shared" si="0"/>
        <v>0</v>
      </c>
      <c r="G13" s="4">
        <v>100000</v>
      </c>
      <c r="H13" s="4">
        <v>0</v>
      </c>
      <c r="I13" s="4"/>
      <c r="J13" s="4">
        <v>0</v>
      </c>
      <c r="K13" s="4">
        <f t="shared" si="1"/>
        <v>0</v>
      </c>
      <c r="L13" s="4">
        <f t="shared" si="2"/>
        <v>0</v>
      </c>
      <c r="M13" s="4">
        <f>P13+S13-100000</f>
        <v>0</v>
      </c>
      <c r="N13" s="4"/>
      <c r="O13" s="4">
        <f t="shared" si="8"/>
        <v>100000</v>
      </c>
      <c r="P13" s="4">
        <f t="shared" si="9"/>
        <v>100000</v>
      </c>
      <c r="Q13" s="355"/>
      <c r="R13" s="4"/>
      <c r="S13" s="4">
        <f t="shared" si="10"/>
        <v>0</v>
      </c>
      <c r="T13" s="4">
        <f t="shared" si="3"/>
        <v>100000</v>
      </c>
      <c r="U13" s="4">
        <f t="shared" si="4"/>
        <v>-100000</v>
      </c>
      <c r="V13" s="4"/>
      <c r="W13" s="4">
        <f t="shared" si="5"/>
        <v>0</v>
      </c>
      <c r="X13" s="4"/>
      <c r="Y13" s="4"/>
      <c r="Z13" s="4"/>
      <c r="AA13" s="274">
        <v>-100000</v>
      </c>
      <c r="AB13" s="3" t="s">
        <v>1333</v>
      </c>
      <c r="AC13" s="3">
        <v>810000</v>
      </c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</row>
    <row r="14" spans="1:47" s="5" customFormat="1" ht="39.6" customHeight="1">
      <c r="A14" s="3">
        <f t="shared" si="6"/>
        <v>10</v>
      </c>
      <c r="B14" s="19">
        <v>20042</v>
      </c>
      <c r="C14" s="3" t="s">
        <v>642</v>
      </c>
      <c r="D14" s="4">
        <v>1300000</v>
      </c>
      <c r="E14" s="4">
        <v>1300000</v>
      </c>
      <c r="F14" s="4">
        <f t="shared" si="0"/>
        <v>0</v>
      </c>
      <c r="G14" s="4">
        <v>950000</v>
      </c>
      <c r="H14" s="4">
        <v>790305</v>
      </c>
      <c r="I14" s="4"/>
      <c r="J14" s="4">
        <f>1216+77725</f>
        <v>78941</v>
      </c>
      <c r="K14" s="4">
        <f t="shared" si="1"/>
        <v>78941</v>
      </c>
      <c r="L14" s="4">
        <f t="shared" si="2"/>
        <v>869246</v>
      </c>
      <c r="M14" s="4">
        <f>P14+S14-80000</f>
        <v>754</v>
      </c>
      <c r="N14" s="4">
        <f>308700+1300+40000+80000-100000</f>
        <v>330000</v>
      </c>
      <c r="O14" s="4">
        <f t="shared" si="8"/>
        <v>100000</v>
      </c>
      <c r="P14" s="4">
        <f t="shared" si="9"/>
        <v>80754</v>
      </c>
      <c r="Q14" s="355"/>
      <c r="R14" s="4"/>
      <c r="S14" s="4">
        <f t="shared" si="10"/>
        <v>0</v>
      </c>
      <c r="T14" s="4">
        <f t="shared" si="3"/>
        <v>80000</v>
      </c>
      <c r="U14" s="4">
        <f t="shared" si="4"/>
        <v>250000</v>
      </c>
      <c r="V14" s="4"/>
      <c r="W14" s="4">
        <f t="shared" si="5"/>
        <v>250000</v>
      </c>
      <c r="X14" s="4"/>
      <c r="Y14" s="4"/>
      <c r="Z14" s="4"/>
      <c r="AA14" s="274"/>
      <c r="AB14" s="3" t="s">
        <v>1334</v>
      </c>
      <c r="AC14" s="3">
        <v>810000</v>
      </c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</row>
    <row r="15" spans="1:47" s="5" customFormat="1" ht="36" customHeight="1">
      <c r="A15" s="3">
        <f t="shared" si="6"/>
        <v>11</v>
      </c>
      <c r="B15" s="19">
        <v>20043</v>
      </c>
      <c r="C15" s="3" t="s">
        <v>643</v>
      </c>
      <c r="D15" s="4">
        <v>800000</v>
      </c>
      <c r="E15" s="4">
        <v>1300000</v>
      </c>
      <c r="F15" s="4">
        <f t="shared" si="0"/>
        <v>-500000</v>
      </c>
      <c r="G15" s="4">
        <v>800000</v>
      </c>
      <c r="H15" s="4">
        <v>532407</v>
      </c>
      <c r="I15" s="4"/>
      <c r="J15" s="4"/>
      <c r="K15" s="4">
        <f t="shared" si="1"/>
        <v>0</v>
      </c>
      <c r="L15" s="4">
        <f t="shared" si="2"/>
        <v>532407</v>
      </c>
      <c r="M15" s="4">
        <f>P15+S15-250000-15000</f>
        <v>2593</v>
      </c>
      <c r="N15" s="4">
        <f>250000+15000-150000</f>
        <v>115000</v>
      </c>
      <c r="O15" s="4">
        <f t="shared" si="8"/>
        <v>150000</v>
      </c>
      <c r="P15" s="4">
        <f t="shared" si="9"/>
        <v>267593</v>
      </c>
      <c r="Q15" s="355"/>
      <c r="R15" s="120"/>
      <c r="S15" s="4">
        <f t="shared" si="10"/>
        <v>0</v>
      </c>
      <c r="T15" s="4">
        <f t="shared" si="3"/>
        <v>265000</v>
      </c>
      <c r="U15" s="4">
        <f t="shared" si="4"/>
        <v>-150000</v>
      </c>
      <c r="V15" s="4"/>
      <c r="W15" s="4">
        <f t="shared" si="5"/>
        <v>-150000</v>
      </c>
      <c r="X15" s="4"/>
      <c r="Y15" s="4"/>
      <c r="Z15" s="4"/>
      <c r="AA15" s="274"/>
      <c r="AB15" s="3" t="s">
        <v>1453</v>
      </c>
      <c r="AC15" s="3">
        <v>810000</v>
      </c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</row>
    <row r="16" spans="1:47" s="5" customFormat="1" ht="67.95" customHeight="1">
      <c r="A16" s="3">
        <f t="shared" si="6"/>
        <v>12</v>
      </c>
      <c r="B16" s="19">
        <v>20044</v>
      </c>
      <c r="C16" s="3" t="s">
        <v>110</v>
      </c>
      <c r="D16" s="4">
        <f>2926000-78000</f>
        <v>2848000</v>
      </c>
      <c r="E16" s="4">
        <v>1476000</v>
      </c>
      <c r="F16" s="4">
        <f t="shared" si="0"/>
        <v>1372000</v>
      </c>
      <c r="G16" s="4">
        <v>1398000</v>
      </c>
      <c r="H16" s="4">
        <v>1377007</v>
      </c>
      <c r="I16" s="4"/>
      <c r="J16" s="4">
        <v>17269</v>
      </c>
      <c r="K16" s="4">
        <f t="shared" si="1"/>
        <v>17269</v>
      </c>
      <c r="L16" s="4">
        <f t="shared" si="2"/>
        <v>1394276</v>
      </c>
      <c r="M16" s="4">
        <f t="shared" si="7"/>
        <v>3724</v>
      </c>
      <c r="N16" s="4">
        <f>1450000-450000-200000-100000</f>
        <v>700000</v>
      </c>
      <c r="O16" s="4">
        <f t="shared" si="8"/>
        <v>750000</v>
      </c>
      <c r="P16" s="4">
        <f t="shared" si="9"/>
        <v>3724</v>
      </c>
      <c r="Q16" s="4"/>
      <c r="R16" s="4"/>
      <c r="S16" s="4">
        <f t="shared" si="10"/>
        <v>0</v>
      </c>
      <c r="T16" s="4">
        <f t="shared" si="3"/>
        <v>0</v>
      </c>
      <c r="U16" s="4">
        <f t="shared" si="4"/>
        <v>700000</v>
      </c>
      <c r="V16" s="4"/>
      <c r="W16" s="4">
        <f t="shared" si="5"/>
        <v>700000</v>
      </c>
      <c r="X16" s="4"/>
      <c r="Y16" s="4"/>
      <c r="Z16" s="4"/>
      <c r="AA16" s="274"/>
      <c r="AB16" s="3" t="s">
        <v>1454</v>
      </c>
      <c r="AC16" s="3">
        <v>810000</v>
      </c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</row>
    <row r="17" spans="1:56" s="48" customFormat="1" ht="25.2" customHeight="1">
      <c r="A17" s="249">
        <f>COUNT(A5:A16)</f>
        <v>12</v>
      </c>
      <c r="B17" s="20"/>
      <c r="C17" s="219" t="s">
        <v>747</v>
      </c>
      <c r="D17" s="249">
        <f t="shared" ref="D17:AA17" si="11">SUM(D5:D16)</f>
        <v>41049707</v>
      </c>
      <c r="E17" s="249">
        <f t="shared" si="11"/>
        <v>39419720</v>
      </c>
      <c r="F17" s="249">
        <f t="shared" si="11"/>
        <v>1629987</v>
      </c>
      <c r="G17" s="249">
        <f t="shared" si="11"/>
        <v>16441720</v>
      </c>
      <c r="H17" s="249">
        <f t="shared" si="11"/>
        <v>14627772</v>
      </c>
      <c r="I17" s="249">
        <f t="shared" si="11"/>
        <v>0</v>
      </c>
      <c r="J17" s="249">
        <f t="shared" si="11"/>
        <v>254094</v>
      </c>
      <c r="K17" s="249">
        <f t="shared" si="11"/>
        <v>254094</v>
      </c>
      <c r="L17" s="249">
        <f t="shared" si="11"/>
        <v>14881866</v>
      </c>
      <c r="M17" s="249">
        <f t="shared" si="11"/>
        <v>19686</v>
      </c>
      <c r="N17" s="249">
        <f t="shared" si="11"/>
        <v>2045000</v>
      </c>
      <c r="O17" s="249">
        <f t="shared" si="11"/>
        <v>24103155</v>
      </c>
      <c r="P17" s="249">
        <f t="shared" si="11"/>
        <v>1559854</v>
      </c>
      <c r="Q17" s="249">
        <f t="shared" si="11"/>
        <v>-100000</v>
      </c>
      <c r="R17" s="249">
        <f t="shared" si="11"/>
        <v>0</v>
      </c>
      <c r="S17" s="249">
        <f t="shared" si="11"/>
        <v>-100000</v>
      </c>
      <c r="T17" s="249">
        <f t="shared" si="11"/>
        <v>1440168</v>
      </c>
      <c r="U17" s="249">
        <f t="shared" si="11"/>
        <v>604832</v>
      </c>
      <c r="V17" s="249">
        <f t="shared" si="11"/>
        <v>0</v>
      </c>
      <c r="W17" s="249">
        <f t="shared" si="11"/>
        <v>1487669</v>
      </c>
      <c r="X17" s="249">
        <f t="shared" si="11"/>
        <v>0</v>
      </c>
      <c r="Y17" s="249">
        <f t="shared" si="11"/>
        <v>0</v>
      </c>
      <c r="Z17" s="249">
        <f t="shared" si="11"/>
        <v>0</v>
      </c>
      <c r="AA17" s="249">
        <f t="shared" si="11"/>
        <v>-882837</v>
      </c>
      <c r="AB17" s="20"/>
      <c r="AC17" s="20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245"/>
      <c r="AQ17" s="245"/>
      <c r="AR17" s="245"/>
      <c r="AS17" s="245"/>
      <c r="AT17" s="245"/>
      <c r="AU17" s="245"/>
      <c r="AV17" s="359"/>
      <c r="AW17" s="359"/>
      <c r="AX17" s="359"/>
      <c r="AY17" s="359"/>
      <c r="AZ17" s="359"/>
      <c r="BA17" s="359"/>
      <c r="BB17" s="359"/>
      <c r="BC17" s="359"/>
      <c r="BD17" s="359"/>
    </row>
    <row r="18" spans="1:56" s="48" customFormat="1" ht="25.2" customHeight="1">
      <c r="A18" s="426"/>
      <c r="B18" s="426"/>
      <c r="C18" s="427"/>
      <c r="D18" s="4">
        <f>SUM(L17:O17)</f>
        <v>41049707</v>
      </c>
      <c r="E18" s="132"/>
      <c r="F18" s="132">
        <f>D17-E17</f>
        <v>1629987</v>
      </c>
      <c r="G18" s="132"/>
      <c r="H18" s="132"/>
      <c r="I18" s="132"/>
      <c r="J18" s="132"/>
      <c r="K18" s="132"/>
      <c r="L18" s="348">
        <f>H17+K17</f>
        <v>14881866</v>
      </c>
      <c r="M18" s="132"/>
      <c r="N18" s="132"/>
      <c r="O18" s="132"/>
      <c r="P18" s="348">
        <f>G17-L18</f>
        <v>1559854</v>
      </c>
      <c r="Q18" s="132"/>
      <c r="R18" s="132"/>
      <c r="S18" s="132"/>
      <c r="T18" s="348">
        <f>P18+S17-M17</f>
        <v>1440168</v>
      </c>
      <c r="U18" s="348">
        <f>N17-T18</f>
        <v>604832</v>
      </c>
      <c r="V18" s="428"/>
      <c r="W18" s="428"/>
      <c r="X18" s="428"/>
      <c r="Y18" s="428"/>
      <c r="Z18" s="428"/>
      <c r="AA18" s="428"/>
      <c r="AB18" s="426"/>
      <c r="AC18" s="42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245"/>
      <c r="AQ18" s="245"/>
      <c r="AR18" s="245"/>
      <c r="AS18" s="245"/>
      <c r="AT18" s="245"/>
      <c r="AU18" s="245"/>
      <c r="AV18" s="359"/>
      <c r="AW18" s="359"/>
      <c r="AX18" s="359"/>
      <c r="AY18" s="359"/>
      <c r="AZ18" s="359"/>
      <c r="BA18" s="359"/>
      <c r="BB18" s="359"/>
      <c r="BC18" s="359"/>
      <c r="BD18" s="359"/>
    </row>
    <row r="19" spans="1:56" s="48" customFormat="1" ht="25.2" customHeight="1">
      <c r="A19" s="426"/>
      <c r="B19" s="426"/>
      <c r="C19" s="427"/>
      <c r="D19" s="4">
        <f>D17-D18</f>
        <v>0</v>
      </c>
      <c r="E19" s="132"/>
      <c r="F19" s="132"/>
      <c r="G19" s="132"/>
      <c r="H19" s="132"/>
      <c r="I19" s="132"/>
      <c r="J19" s="132"/>
      <c r="K19" s="132"/>
      <c r="L19" s="348">
        <f>L17-L18</f>
        <v>0</v>
      </c>
      <c r="M19" s="132"/>
      <c r="N19" s="132"/>
      <c r="O19" s="132"/>
      <c r="P19" s="348">
        <f>P17-P18</f>
        <v>0</v>
      </c>
      <c r="Q19" s="132"/>
      <c r="R19" s="132"/>
      <c r="S19" s="132"/>
      <c r="T19" s="348">
        <f>T17-T18</f>
        <v>0</v>
      </c>
      <c r="U19" s="348">
        <f>U17-U18</f>
        <v>0</v>
      </c>
      <c r="V19" s="428"/>
      <c r="W19" s="428"/>
      <c r="X19" s="428"/>
      <c r="Y19" s="428"/>
      <c r="Z19" s="428"/>
      <c r="AA19" s="428"/>
      <c r="AB19" s="426"/>
      <c r="AC19" s="42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245"/>
      <c r="AQ19" s="245"/>
      <c r="AR19" s="245"/>
      <c r="AS19" s="245"/>
      <c r="AT19" s="245"/>
      <c r="AU19" s="245"/>
      <c r="AV19" s="359"/>
      <c r="AW19" s="359"/>
      <c r="AX19" s="359"/>
      <c r="AY19" s="359"/>
      <c r="AZ19" s="359"/>
      <c r="BA19" s="359"/>
      <c r="BB19" s="359"/>
      <c r="BC19" s="359"/>
      <c r="BD19" s="359"/>
    </row>
    <row r="21" spans="1:56" s="745" customFormat="1" ht="15.6">
      <c r="A21" s="429"/>
      <c r="C21" s="746"/>
      <c r="D21" s="747"/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AB21" s="74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748"/>
      <c r="AQ21" s="748"/>
      <c r="AR21" s="748"/>
      <c r="AS21" s="748"/>
      <c r="AT21" s="748"/>
      <c r="AU21" s="748"/>
    </row>
    <row r="22" spans="1:56" ht="15.6">
      <c r="A22" s="429"/>
    </row>
    <row r="23" spans="1:56" ht="15.6">
      <c r="A23" s="429"/>
      <c r="J23" s="505"/>
    </row>
    <row r="24" spans="1:56" ht="15.6">
      <c r="A24" s="429"/>
      <c r="U24" s="11"/>
      <c r="V24" s="11"/>
      <c r="W24" s="11"/>
      <c r="X24" s="11"/>
      <c r="Y24" s="11"/>
      <c r="Z24" s="11"/>
      <c r="AA24" s="11"/>
    </row>
    <row r="25" spans="1:56">
      <c r="U25" s="11"/>
      <c r="V25" s="11"/>
      <c r="W25" s="11"/>
      <c r="X25" s="11"/>
      <c r="Y25" s="11"/>
      <c r="Z25" s="11"/>
      <c r="AA25" s="11"/>
    </row>
    <row r="26" spans="1:56">
      <c r="U26" s="11"/>
      <c r="V26" s="11"/>
      <c r="W26" s="11"/>
      <c r="X26" s="11"/>
      <c r="Y26" s="11"/>
      <c r="Z26" s="11"/>
      <c r="AA26" s="11"/>
    </row>
    <row r="27" spans="1:56">
      <c r="U27" s="11"/>
      <c r="V27" s="11"/>
      <c r="W27" s="11"/>
      <c r="X27" s="11"/>
      <c r="Y27" s="11"/>
      <c r="Z27" s="11"/>
      <c r="AA27" s="11"/>
    </row>
    <row r="28" spans="1:56">
      <c r="U28" s="11"/>
      <c r="V28" s="11"/>
      <c r="W28" s="11"/>
      <c r="X28" s="11"/>
      <c r="Y28" s="11"/>
      <c r="Z28" s="11"/>
      <c r="AA28" s="11"/>
    </row>
    <row r="30" spans="1:56">
      <c r="N30" s="506"/>
      <c r="R30" s="506"/>
    </row>
    <row r="31" spans="1:56" ht="13.95" hidden="1" customHeight="1">
      <c r="C31" s="739" t="s">
        <v>1319</v>
      </c>
    </row>
    <row r="32" spans="1:56" ht="13.95" hidden="1" customHeight="1"/>
    <row r="33" spans="2:3" ht="13.95" hidden="1" customHeight="1">
      <c r="B33" s="10" t="s">
        <v>1305</v>
      </c>
      <c r="C33" s="14" t="s">
        <v>1306</v>
      </c>
    </row>
    <row r="34" spans="2:3" ht="13.95" hidden="1" customHeight="1">
      <c r="C34" s="744" t="s">
        <v>1307</v>
      </c>
    </row>
    <row r="129" spans="1:1">
      <c r="A129" s="10">
        <f>COUNT(A5:A128)</f>
        <v>13</v>
      </c>
    </row>
    <row r="132" spans="1:1">
      <c r="A132" s="10">
        <f>A129+1</f>
        <v>14</v>
      </c>
    </row>
    <row r="135" spans="1:1" ht="37.950000000000003" customHeight="1"/>
    <row r="138" spans="1:1" ht="70.95" customHeight="1"/>
    <row r="141" spans="1:1" ht="72" customHeight="1"/>
    <row r="143" spans="1:1" ht="43.95" customHeight="1"/>
    <row r="145" ht="30" customHeight="1"/>
  </sheetData>
  <sheetProtection formatCells="0" formatColumns="0" formatRows="0" insertColumns="0" insertRows="0" insertHyperlinks="0" deleteColumns="0" deleteRows="0" sort="0" autoFilter="0" pivotTables="0"/>
  <mergeCells count="1">
    <mergeCell ref="W3:AB3"/>
  </mergeCells>
  <conditionalFormatting sqref="A1:AC2">
    <cfRule type="cellIs" dxfId="387" priority="1" operator="equal">
      <formula>0</formula>
    </cfRule>
  </conditionalFormatting>
  <conditionalFormatting sqref="AB4">
    <cfRule type="cellIs" dxfId="386" priority="2" operator="equal">
      <formula>0</formula>
    </cfRule>
  </conditionalFormatting>
  <conditionalFormatting sqref="AV1:XFD2">
    <cfRule type="cellIs" dxfId="385" priority="3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0"/>
  <sheetViews>
    <sheetView rightToLeft="1" zoomScaleNormal="100" workbookViewId="0">
      <selection activeCell="T10" sqref="T10"/>
    </sheetView>
  </sheetViews>
  <sheetFormatPr defaultColWidth="9.109375" defaultRowHeight="13.8"/>
  <cols>
    <col min="1" max="2" width="4.109375" style="71" customWidth="1"/>
    <col min="3" max="3" width="34.6640625" style="71" customWidth="1"/>
    <col min="4" max="4" width="10.6640625" style="71" customWidth="1"/>
    <col min="5" max="5" width="12.109375" style="71" customWidth="1"/>
    <col min="6" max="6" width="9" style="71" customWidth="1"/>
    <col min="7" max="7" width="13" style="71" customWidth="1"/>
    <col min="8" max="8" width="0" style="71" hidden="1" customWidth="1"/>
    <col min="9" max="9" width="12.33203125" style="71" customWidth="1"/>
    <col min="10" max="10" width="13.33203125" style="71" customWidth="1"/>
    <col min="11" max="11" width="7.88671875" style="71" customWidth="1"/>
    <col min="12" max="14" width="9.109375" style="71" customWidth="1"/>
    <col min="15" max="18" width="9.109375" style="71"/>
    <col min="19" max="19" width="9.109375" style="71" customWidth="1"/>
    <col min="20" max="16384" width="9.109375" style="71"/>
  </cols>
  <sheetData>
    <row r="2" spans="1:17" s="81" customFormat="1" ht="18">
      <c r="A2" s="79" t="s">
        <v>160</v>
      </c>
      <c r="B2" s="79"/>
      <c r="C2" s="80" t="s">
        <v>1014</v>
      </c>
      <c r="D2" s="79"/>
      <c r="E2" s="79"/>
      <c r="F2" s="79"/>
      <c r="G2" s="79"/>
      <c r="I2" s="79"/>
      <c r="J2" s="79"/>
    </row>
    <row r="3" spans="1:17" ht="15.6">
      <c r="A3" s="73"/>
      <c r="B3" s="73"/>
      <c r="C3" s="74"/>
      <c r="D3" s="73"/>
      <c r="E3" s="73"/>
      <c r="F3" s="73"/>
      <c r="G3" s="73"/>
      <c r="I3" s="73"/>
      <c r="J3" s="73"/>
    </row>
    <row r="4" spans="1:17" ht="15.6">
      <c r="C4" s="73" t="s">
        <v>1015</v>
      </c>
      <c r="D4" s="73"/>
      <c r="E4" s="73"/>
      <c r="F4" s="73"/>
      <c r="G4" s="73"/>
      <c r="I4" s="73"/>
      <c r="J4" s="73"/>
    </row>
    <row r="5" spans="1:17" ht="15.6">
      <c r="C5" s="73" t="s">
        <v>1092</v>
      </c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</row>
    <row r="6" spans="1:17" ht="15.6"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</row>
    <row r="7" spans="1:17" ht="15.6">
      <c r="C7" s="73" t="s">
        <v>161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</row>
    <row r="8" spans="1:17" ht="15.6"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</row>
    <row r="9" spans="1:17" ht="15.6">
      <c r="B9" s="76" t="s">
        <v>129</v>
      </c>
      <c r="C9" s="73" t="s">
        <v>13</v>
      </c>
      <c r="D9" s="82">
        <v>258902</v>
      </c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</row>
    <row r="10" spans="1:17" ht="15.6">
      <c r="B10" s="76" t="s">
        <v>129</v>
      </c>
      <c r="C10" s="73" t="s">
        <v>14</v>
      </c>
      <c r="D10" s="82">
        <v>110000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</row>
    <row r="11" spans="1:17" ht="15.6" hidden="1">
      <c r="B11" s="76" t="s">
        <v>129</v>
      </c>
      <c r="C11" s="73" t="s">
        <v>162</v>
      </c>
      <c r="D11" s="82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</row>
    <row r="12" spans="1:17" ht="15.6">
      <c r="B12" s="76" t="s">
        <v>129</v>
      </c>
      <c r="C12" s="73" t="s">
        <v>241</v>
      </c>
      <c r="D12" s="82">
        <v>866</v>
      </c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</row>
    <row r="13" spans="1:17" ht="15.6" hidden="1">
      <c r="B13" s="76" t="s">
        <v>129</v>
      </c>
      <c r="C13" s="73" t="s">
        <v>502</v>
      </c>
      <c r="D13" s="82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</row>
    <row r="14" spans="1:17" ht="17.399999999999999">
      <c r="B14" s="76" t="s">
        <v>129</v>
      </c>
      <c r="C14" s="73" t="s">
        <v>163</v>
      </c>
      <c r="D14" s="83">
        <v>96402</v>
      </c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</row>
    <row r="15" spans="1:17" ht="17.399999999999999">
      <c r="C15" s="75" t="s">
        <v>84</v>
      </c>
      <c r="D15" s="84">
        <f>SUM(D9:D14)</f>
        <v>466170</v>
      </c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1:17" ht="11.4" hidden="1" customHeight="1">
      <c r="C16" s="75"/>
      <c r="D16" s="84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</row>
    <row r="17" spans="1:17" ht="15.6" hidden="1"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17.399999999999999">
      <c r="C18" s="75"/>
      <c r="D18" s="84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</row>
    <row r="19" spans="1:17" ht="15.6">
      <c r="B19" s="73"/>
      <c r="C19" s="73" t="s">
        <v>1093</v>
      </c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</row>
    <row r="20" spans="1:17" ht="15.6"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</row>
    <row r="21" spans="1:17" ht="46.8">
      <c r="C21" s="85" t="s">
        <v>164</v>
      </c>
      <c r="D21" s="86" t="s">
        <v>13</v>
      </c>
      <c r="E21" s="86" t="s">
        <v>14</v>
      </c>
      <c r="F21" s="86" t="s">
        <v>15</v>
      </c>
      <c r="G21" s="86" t="s">
        <v>241</v>
      </c>
      <c r="H21" s="86" t="s">
        <v>502</v>
      </c>
      <c r="I21" s="86" t="s">
        <v>165</v>
      </c>
      <c r="J21" s="86" t="s">
        <v>84</v>
      </c>
      <c r="K21" s="73"/>
      <c r="L21" s="73"/>
      <c r="M21" s="73"/>
      <c r="N21" s="73"/>
      <c r="O21" s="73"/>
      <c r="P21" s="73"/>
      <c r="Q21" s="73"/>
    </row>
    <row r="22" spans="1:17" ht="31.5" customHeight="1">
      <c r="C22" s="87" t="s">
        <v>1245</v>
      </c>
      <c r="D22" s="88">
        <f>D9</f>
        <v>258902</v>
      </c>
      <c r="E22" s="88">
        <f>D10</f>
        <v>110000</v>
      </c>
      <c r="F22" s="88">
        <f>D11</f>
        <v>0</v>
      </c>
      <c r="G22" s="88">
        <f>D12</f>
        <v>866</v>
      </c>
      <c r="H22" s="88">
        <f>D13</f>
        <v>0</v>
      </c>
      <c r="I22" s="88">
        <f>D14</f>
        <v>96402</v>
      </c>
      <c r="J22" s="88">
        <f>SUM(D22:I22)</f>
        <v>466170</v>
      </c>
      <c r="K22" s="73"/>
      <c r="L22" s="73"/>
      <c r="M22" s="73"/>
      <c r="N22" s="73"/>
      <c r="O22" s="73"/>
      <c r="P22" s="73"/>
      <c r="Q22" s="73"/>
    </row>
    <row r="23" spans="1:17" ht="31.5" customHeight="1">
      <c r="C23" s="87" t="s">
        <v>1586</v>
      </c>
      <c r="D23" s="88">
        <f>'ריכוז אגפים 2023'!AM16/1000</f>
        <v>250796.18900000001</v>
      </c>
      <c r="E23" s="88">
        <f>'ריכוז אגפים 2023'!AN16/1000</f>
        <v>95644.304000000004</v>
      </c>
      <c r="F23" s="88">
        <f>'ריכוז אגפים 2023'!AO16/1000</f>
        <v>0</v>
      </c>
      <c r="G23" s="88">
        <f>'ריכוז אגפים 2023'!AP16/1000</f>
        <v>866</v>
      </c>
      <c r="H23" s="88">
        <f>'ריכוז אגפים 2023'!AQ16/1000</f>
        <v>0</v>
      </c>
      <c r="I23" s="88">
        <f>'ריכוז אגפים 2023'!AR16/1000</f>
        <v>55423.478999999999</v>
      </c>
      <c r="J23" s="88">
        <f>SUM(D23:I23)</f>
        <v>402729.97200000001</v>
      </c>
      <c r="K23" s="73"/>
      <c r="L23" s="73"/>
      <c r="M23" s="73"/>
      <c r="N23" s="73"/>
      <c r="O23" s="73"/>
      <c r="P23" s="73"/>
      <c r="Q23" s="73"/>
    </row>
    <row r="24" spans="1:17" ht="31.5" customHeight="1">
      <c r="C24" s="87" t="s">
        <v>166</v>
      </c>
      <c r="D24" s="88">
        <f t="shared" ref="D24:J24" si="0">D23/D22*100</f>
        <v>96.869158600551557</v>
      </c>
      <c r="E24" s="88">
        <f t="shared" si="0"/>
        <v>86.949367272727272</v>
      </c>
      <c r="F24" s="88"/>
      <c r="G24" s="88">
        <f t="shared" si="0"/>
        <v>100</v>
      </c>
      <c r="H24" s="88" t="e">
        <f t="shared" si="0"/>
        <v>#DIV/0!</v>
      </c>
      <c r="I24" s="88">
        <f t="shared" si="0"/>
        <v>57.492042696209623</v>
      </c>
      <c r="J24" s="88">
        <f t="shared" si="0"/>
        <v>86.391224660531563</v>
      </c>
      <c r="K24" s="73"/>
      <c r="L24" s="73"/>
      <c r="M24" s="73"/>
      <c r="N24" s="73"/>
      <c r="O24" s="73"/>
      <c r="P24" s="73"/>
      <c r="Q24" s="73"/>
    </row>
    <row r="25" spans="1:17" ht="31.5" customHeight="1">
      <c r="C25" s="89" t="s">
        <v>1650</v>
      </c>
      <c r="D25" s="88">
        <f>'עדכוני תקציב 2023'!AP138/1000</f>
        <v>71450.804000000004</v>
      </c>
      <c r="E25" s="88">
        <f>'עדכוני תקציב 2023'!AQ138/1000</f>
        <v>28726.25</v>
      </c>
      <c r="F25" s="88">
        <f>'עדכוני תקציב 2023'!AR138/1000</f>
        <v>770</v>
      </c>
      <c r="G25" s="88">
        <f>'עדכוני תקציב 2023'!AS138/1000</f>
        <v>0</v>
      </c>
      <c r="H25" s="88">
        <f>'עדכוני תקציב 2023'!AT138/1000</f>
        <v>0</v>
      </c>
      <c r="I25" s="88">
        <f>'עדכוני תקציב 2023'!AU138/1000</f>
        <v>30603.09</v>
      </c>
      <c r="J25" s="88">
        <f>SUM(D25:I25)</f>
        <v>131550.144</v>
      </c>
      <c r="K25" s="73"/>
      <c r="L25" s="73"/>
      <c r="M25" s="73"/>
      <c r="N25" s="73"/>
      <c r="O25" s="73"/>
      <c r="P25" s="73"/>
      <c r="Q25" s="73"/>
    </row>
    <row r="26" spans="1:17" ht="31.5" customHeight="1">
      <c r="C26" s="87" t="s">
        <v>167</v>
      </c>
      <c r="D26" s="88">
        <f t="shared" ref="D26:J26" si="1">D23+D25</f>
        <v>322246.99300000002</v>
      </c>
      <c r="E26" s="88">
        <f t="shared" si="1"/>
        <v>124370.554</v>
      </c>
      <c r="F26" s="88">
        <f t="shared" si="1"/>
        <v>770</v>
      </c>
      <c r="G26" s="88">
        <f t="shared" si="1"/>
        <v>866</v>
      </c>
      <c r="H26" s="88">
        <f t="shared" si="1"/>
        <v>0</v>
      </c>
      <c r="I26" s="88">
        <f t="shared" si="1"/>
        <v>86026.569000000003</v>
      </c>
      <c r="J26" s="88">
        <f t="shared" si="1"/>
        <v>534280.11600000004</v>
      </c>
      <c r="K26" s="73"/>
      <c r="L26" s="73"/>
      <c r="M26" s="73"/>
      <c r="N26" s="73"/>
      <c r="O26" s="73"/>
      <c r="P26" s="73"/>
      <c r="Q26" s="73"/>
    </row>
    <row r="27" spans="1:17" ht="31.5" customHeight="1">
      <c r="C27" s="87" t="s">
        <v>166</v>
      </c>
      <c r="D27" s="88">
        <f t="shared" ref="D27:J27" si="2">D26/D22*100</f>
        <v>124.46678395686399</v>
      </c>
      <c r="E27" s="88">
        <f t="shared" si="2"/>
        <v>113.06414000000001</v>
      </c>
      <c r="F27" s="88" t="e">
        <f t="shared" si="2"/>
        <v>#DIV/0!</v>
      </c>
      <c r="G27" s="88">
        <f t="shared" si="2"/>
        <v>100</v>
      </c>
      <c r="H27" s="88" t="e">
        <f t="shared" si="2"/>
        <v>#DIV/0!</v>
      </c>
      <c r="I27" s="88">
        <f t="shared" si="2"/>
        <v>89.237328063733116</v>
      </c>
      <c r="J27" s="88">
        <f t="shared" si="2"/>
        <v>114.61057468305556</v>
      </c>
      <c r="K27" s="73"/>
      <c r="M27" s="73"/>
      <c r="N27" s="73"/>
      <c r="O27" s="73"/>
      <c r="P27" s="73"/>
      <c r="Q27" s="73"/>
    </row>
    <row r="28" spans="1:17" ht="15.6"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</row>
    <row r="29" spans="1:17" s="870" customFormat="1" ht="15.6">
      <c r="B29" s="295" t="s">
        <v>183</v>
      </c>
      <c r="C29" s="295" t="s">
        <v>1587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</row>
    <row r="30" spans="1:17" ht="15.6">
      <c r="B30" s="155"/>
      <c r="C30" s="155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</row>
    <row r="31" spans="1:17" ht="15.6">
      <c r="C31" s="155" t="s">
        <v>1628</v>
      </c>
      <c r="D31" s="155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</row>
    <row r="32" spans="1:17" ht="15.6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</row>
    <row r="33" spans="1:17" ht="15.6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</row>
    <row r="34" spans="1:17" ht="15.6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</row>
    <row r="35" spans="1:17" ht="15.6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</row>
    <row r="36" spans="1:17" ht="15.6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</row>
    <row r="37" spans="1:17" ht="15.6">
      <c r="A37" s="73"/>
      <c r="B37" s="73"/>
      <c r="C37" s="76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</row>
    <row r="38" spans="1:17" ht="15.6">
      <c r="A38" s="73"/>
      <c r="B38" s="73"/>
      <c r="C38" s="76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</row>
    <row r="39" spans="1:17" ht="15.6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</row>
    <row r="40" spans="1:17" ht="15.6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</row>
    <row r="41" spans="1:17" ht="15.6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</row>
    <row r="42" spans="1:17" ht="15.6">
      <c r="A42" s="78"/>
      <c r="B42" s="78"/>
      <c r="C42" s="78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</row>
    <row r="43" spans="1:17" ht="15.6">
      <c r="A43" s="78"/>
      <c r="B43" s="78"/>
      <c r="C43" s="78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</row>
    <row r="44" spans="1:17" ht="15.6">
      <c r="A44" s="78"/>
      <c r="B44" s="78"/>
      <c r="C44" s="78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</row>
    <row r="45" spans="1:17" ht="15.6">
      <c r="A45" s="78"/>
      <c r="B45" s="78"/>
      <c r="C45" s="78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</row>
    <row r="46" spans="1:17" ht="15.6">
      <c r="A46" s="78"/>
      <c r="B46" s="78"/>
      <c r="C46" s="78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</row>
    <row r="47" spans="1:17" ht="15.6">
      <c r="A47" s="78"/>
      <c r="B47" s="78"/>
      <c r="C47" s="78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</row>
    <row r="48" spans="1:17" ht="15.6">
      <c r="A48" s="78"/>
      <c r="B48" s="78"/>
      <c r="C48" s="7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</row>
    <row r="49" spans="4:17" ht="15.6"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</row>
    <row r="50" spans="4:17" ht="15.6"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7"/>
  <sheetViews>
    <sheetView showZeros="0" rightToLeft="1" workbookViewId="0">
      <selection activeCell="T10" sqref="T10"/>
    </sheetView>
  </sheetViews>
  <sheetFormatPr defaultColWidth="9.109375" defaultRowHeight="13.8"/>
  <cols>
    <col min="1" max="2" width="4.109375" style="176" customWidth="1"/>
    <col min="3" max="3" width="7.664062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989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1274</v>
      </c>
      <c r="D5" s="175"/>
      <c r="E5" s="175"/>
      <c r="F5" s="179">
        <f>'תקציב אגף ספורט 2024'!U16</f>
        <v>4437041</v>
      </c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1639</v>
      </c>
      <c r="D7" s="175"/>
      <c r="F7" s="179">
        <f>'תקציב אגף ספורט 2024'!A16</f>
        <v>11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D11" s="186" t="s">
        <v>220</v>
      </c>
      <c r="E11" s="187" t="s">
        <v>221</v>
      </c>
      <c r="F11" s="188" t="s">
        <v>222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D12" s="182" t="s">
        <v>13</v>
      </c>
      <c r="E12" s="283">
        <f>'תקציב אגף ספורט 2024'!V16</f>
        <v>3000000</v>
      </c>
      <c r="F12" s="190">
        <f>E12/$E$14</f>
        <v>0.67612627424447957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82" t="s">
        <v>14</v>
      </c>
      <c r="E13" s="189">
        <f>'תקציב אגף ספורט 2024'!W16</f>
        <v>1437041</v>
      </c>
      <c r="F13" s="190">
        <f>E13/$E$14</f>
        <v>0.32387372575552043</v>
      </c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6.2" thickBot="1">
      <c r="C14" s="178"/>
      <c r="D14" s="184" t="s">
        <v>84</v>
      </c>
      <c r="E14" s="247">
        <f>SUM(E12:E13)</f>
        <v>4437041</v>
      </c>
      <c r="F14" s="248">
        <f>SUM(F12:F13)</f>
        <v>1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B15" s="178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B16" s="178"/>
      <c r="C16" s="175"/>
      <c r="D16" s="175"/>
      <c r="F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B17" s="178" t="s">
        <v>129</v>
      </c>
      <c r="C17" s="175" t="s">
        <v>1544</v>
      </c>
      <c r="D17" s="175"/>
      <c r="F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5.6">
      <c r="B18" s="178"/>
      <c r="C18" s="175" t="s">
        <v>688</v>
      </c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20" spans="1:17" ht="15.6">
      <c r="A20" s="175"/>
      <c r="B20" s="178" t="s">
        <v>129</v>
      </c>
      <c r="C20" s="175" t="s">
        <v>1598</v>
      </c>
      <c r="E20" s="175"/>
      <c r="F20" s="175"/>
      <c r="G20" s="175"/>
      <c r="H20" s="175"/>
      <c r="I20" s="175"/>
      <c r="J20" s="175"/>
      <c r="K20" s="175"/>
      <c r="L20" s="175"/>
    </row>
    <row r="21" spans="1:17" ht="15.6">
      <c r="C21" s="175" t="s">
        <v>1599</v>
      </c>
    </row>
    <row r="22" spans="1:17" s="240" customFormat="1" ht="15.6">
      <c r="C22" s="242"/>
      <c r="D22" s="735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</row>
    <row r="23" spans="1:17" s="240" customFormat="1" ht="15.6">
      <c r="C23" s="242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</row>
    <row r="24" spans="1:17" s="240" customFormat="1" ht="15.6">
      <c r="A24" s="239"/>
      <c r="B24" s="239"/>
      <c r="C24" s="239"/>
      <c r="D24" s="281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17" s="240" customFormat="1" ht="15.6">
      <c r="C25" s="242"/>
      <c r="D25" s="408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5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3.6640625" style="475" customWidth="1"/>
    <col min="2" max="2" width="5.6640625" style="424" customWidth="1"/>
    <col min="3" max="3" width="18.33203125" style="424" customWidth="1"/>
    <col min="4" max="5" width="10.6640625" style="423" customWidth="1"/>
    <col min="6" max="6" width="9.6640625" style="423" customWidth="1"/>
    <col min="7" max="8" width="10.109375" style="423" hidden="1" customWidth="1"/>
    <col min="9" max="11" width="9.6640625" style="423" hidden="1" customWidth="1"/>
    <col min="12" max="12" width="10.6640625" style="423" customWidth="1"/>
    <col min="13" max="13" width="8.44140625" style="423" customWidth="1"/>
    <col min="14" max="14" width="9.6640625" style="423" customWidth="1"/>
    <col min="15" max="15" width="8.88671875" style="423" customWidth="1"/>
    <col min="16" max="18" width="9.6640625" style="423" hidden="1" customWidth="1"/>
    <col min="19" max="19" width="8.88671875" style="423" hidden="1" customWidth="1"/>
    <col min="20" max="20" width="9" style="423" customWidth="1"/>
    <col min="21" max="21" width="8.5546875" style="424" customWidth="1"/>
    <col min="22" max="22" width="8.44140625" style="424" customWidth="1"/>
    <col min="23" max="23" width="9.6640625" style="424" customWidth="1"/>
    <col min="24" max="26" width="8.5546875" style="424" hidden="1" customWidth="1"/>
    <col min="27" max="27" width="6.88671875" style="424" hidden="1" customWidth="1"/>
    <col min="28" max="28" width="34.44140625" style="475" customWidth="1"/>
    <col min="29" max="29" width="7.88671875" style="424" hidden="1" customWidth="1"/>
    <col min="30" max="31" width="22" style="510" customWidth="1"/>
    <col min="32" max="32" width="10.6640625" style="510" customWidth="1"/>
    <col min="33" max="33" width="22" style="510" customWidth="1"/>
    <col min="34" max="34" width="10.6640625" style="510" customWidth="1"/>
    <col min="35" max="35" width="18.33203125" style="510" customWidth="1"/>
    <col min="36" max="36" width="20.5546875" style="510" customWidth="1"/>
    <col min="37" max="37" width="11.6640625" style="510" customWidth="1"/>
    <col min="38" max="38" width="22.6640625" style="510" customWidth="1"/>
    <col min="39" max="39" width="9.6640625" style="509" customWidth="1"/>
    <col min="40" max="42" width="10.6640625" style="509" customWidth="1"/>
    <col min="43" max="43" width="11.6640625" style="509" customWidth="1"/>
    <col min="44" max="44" width="10.6640625" style="509" customWidth="1"/>
    <col min="45" max="47" width="10.6640625" style="511" customWidth="1"/>
    <col min="48" max="16384" width="9.109375" style="424"/>
  </cols>
  <sheetData>
    <row r="1" spans="1:60" s="509" customFormat="1" ht="18">
      <c r="A1" s="507"/>
      <c r="B1" s="507"/>
      <c r="C1" s="507"/>
      <c r="D1" s="508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10"/>
      <c r="AE1" s="510"/>
      <c r="AF1" s="510"/>
      <c r="AG1" s="510"/>
      <c r="AH1" s="510"/>
      <c r="AI1" s="510"/>
      <c r="AJ1" s="510"/>
      <c r="AK1" s="510"/>
      <c r="AL1" s="510"/>
      <c r="AS1" s="511"/>
      <c r="AT1" s="511"/>
      <c r="AU1" s="511"/>
    </row>
    <row r="2" spans="1:60" s="509" customFormat="1" ht="18">
      <c r="A2" s="507" t="s">
        <v>989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10"/>
      <c r="AE2" s="510"/>
      <c r="AF2" s="510"/>
      <c r="AG2" s="510"/>
      <c r="AH2" s="510"/>
      <c r="AI2" s="510"/>
      <c r="AJ2" s="510"/>
      <c r="AK2" s="510"/>
      <c r="AL2" s="510"/>
      <c r="AS2" s="511"/>
      <c r="AT2" s="511"/>
      <c r="AU2" s="511"/>
    </row>
    <row r="3" spans="1:60" ht="20.399999999999999" customHeight="1">
      <c r="V3" s="507"/>
      <c r="W3" s="507"/>
      <c r="X3" s="507"/>
      <c r="Y3" s="507"/>
      <c r="Z3" s="507"/>
      <c r="AA3" s="507"/>
    </row>
    <row r="4" spans="1:60" s="511" customFormat="1" ht="75" customHeight="1">
      <c r="A4" s="130" t="s">
        <v>0</v>
      </c>
      <c r="B4" s="420" t="s">
        <v>413</v>
      </c>
      <c r="C4" s="420" t="s">
        <v>2</v>
      </c>
      <c r="D4" s="420" t="s">
        <v>80</v>
      </c>
      <c r="E4" s="420" t="s">
        <v>4</v>
      </c>
      <c r="F4" s="420" t="s">
        <v>5</v>
      </c>
      <c r="G4" s="420" t="s">
        <v>6</v>
      </c>
      <c r="H4" s="420" t="s">
        <v>7</v>
      </c>
      <c r="I4" s="420" t="s">
        <v>9</v>
      </c>
      <c r="J4" s="420" t="s">
        <v>125</v>
      </c>
      <c r="K4" s="420" t="s">
        <v>10</v>
      </c>
      <c r="L4" s="420" t="s">
        <v>11</v>
      </c>
      <c r="M4" s="420" t="s">
        <v>917</v>
      </c>
      <c r="N4" s="42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420" t="s">
        <v>13</v>
      </c>
      <c r="W4" s="420" t="s">
        <v>14</v>
      </c>
      <c r="X4" s="420" t="s">
        <v>15</v>
      </c>
      <c r="Y4" s="420" t="s">
        <v>214</v>
      </c>
      <c r="Z4" s="420" t="s">
        <v>502</v>
      </c>
      <c r="AA4" s="420" t="s">
        <v>75</v>
      </c>
      <c r="AB4" s="420" t="s">
        <v>242</v>
      </c>
      <c r="AC4" s="420" t="s">
        <v>16</v>
      </c>
      <c r="AD4" s="510"/>
      <c r="AE4" s="510"/>
      <c r="AF4" s="510"/>
      <c r="AG4" s="510"/>
      <c r="AH4" s="510"/>
      <c r="AI4" s="510"/>
      <c r="AJ4" s="510"/>
      <c r="AK4" s="510"/>
      <c r="AL4" s="510"/>
      <c r="AM4" s="509"/>
      <c r="AN4" s="509"/>
      <c r="AO4" s="509"/>
      <c r="AP4" s="509"/>
      <c r="AQ4" s="509"/>
      <c r="AR4" s="509"/>
    </row>
    <row r="5" spans="1:60" s="452" customFormat="1" ht="27.6">
      <c r="A5" s="455">
        <v>1</v>
      </c>
      <c r="B5" s="448">
        <v>1582</v>
      </c>
      <c r="C5" s="448" t="s">
        <v>47</v>
      </c>
      <c r="D5" s="449">
        <f>2055000</f>
        <v>2055000</v>
      </c>
      <c r="E5" s="449">
        <v>2055000</v>
      </c>
      <c r="F5" s="449">
        <f>+D5-E5</f>
        <v>0</v>
      </c>
      <c r="G5" s="449">
        <v>1234000</v>
      </c>
      <c r="H5" s="449">
        <v>1233918</v>
      </c>
      <c r="I5" s="449">
        <v>0</v>
      </c>
      <c r="J5" s="449"/>
      <c r="K5" s="449">
        <f t="shared" ref="K5:K12" si="0">I5+J5</f>
        <v>0</v>
      </c>
      <c r="L5" s="449">
        <f t="shared" ref="L5:L12" si="1">H5+K5</f>
        <v>1233918</v>
      </c>
      <c r="M5" s="449">
        <f t="shared" ref="M5:M9" si="2">P5+S5</f>
        <v>82</v>
      </c>
      <c r="N5" s="449">
        <f>470000-470000</f>
        <v>0</v>
      </c>
      <c r="O5" s="449">
        <f t="shared" ref="O5:O12" si="3">D5-L5-M5-N5</f>
        <v>821000</v>
      </c>
      <c r="P5" s="449">
        <f t="shared" ref="P5:P12" si="4">G5-L5</f>
        <v>82</v>
      </c>
      <c r="Q5" s="482"/>
      <c r="R5" s="449"/>
      <c r="S5" s="449">
        <f t="shared" ref="S5:S12" si="5">SUM(Q5:R5)</f>
        <v>0</v>
      </c>
      <c r="T5" s="449">
        <f t="shared" ref="T5:T12" si="6">P5-M5+S5</f>
        <v>0</v>
      </c>
      <c r="U5" s="449">
        <f t="shared" ref="U5:U12" si="7">N5-T5</f>
        <v>0</v>
      </c>
      <c r="V5" s="449"/>
      <c r="W5" s="449">
        <f t="shared" ref="W5:W12" si="8">U5-V5-Z5-AA5</f>
        <v>0</v>
      </c>
      <c r="X5" s="449"/>
      <c r="Y5" s="449"/>
      <c r="Z5" s="449"/>
      <c r="AA5" s="448"/>
      <c r="AB5" s="484" t="s">
        <v>1611</v>
      </c>
      <c r="AC5" s="448">
        <v>829000</v>
      </c>
      <c r="AD5" s="510"/>
      <c r="AE5" s="510"/>
      <c r="AF5" s="510"/>
      <c r="AG5" s="510"/>
      <c r="AH5" s="510"/>
      <c r="AI5" s="510"/>
      <c r="AJ5" s="510"/>
      <c r="AK5" s="510"/>
      <c r="AL5" s="510"/>
      <c r="AM5" s="509"/>
      <c r="AN5" s="509"/>
      <c r="AO5" s="509"/>
      <c r="AP5" s="509"/>
      <c r="AQ5" s="509"/>
      <c r="AR5" s="509"/>
      <c r="AS5" s="511"/>
      <c r="AT5" s="511"/>
      <c r="AU5" s="511"/>
    </row>
    <row r="6" spans="1:60" s="452" customFormat="1" ht="45" customHeight="1">
      <c r="A6" s="455">
        <f>1+A5</f>
        <v>2</v>
      </c>
      <c r="B6" s="448">
        <v>1678</v>
      </c>
      <c r="C6" s="448" t="s">
        <v>335</v>
      </c>
      <c r="D6" s="449">
        <f>2285000+280000</f>
        <v>2565000</v>
      </c>
      <c r="E6" s="449">
        <v>2285000</v>
      </c>
      <c r="F6" s="449">
        <f>+D6-E6</f>
        <v>280000</v>
      </c>
      <c r="G6" s="449">
        <v>2285000</v>
      </c>
      <c r="H6" s="449">
        <v>2284551</v>
      </c>
      <c r="I6" s="449">
        <v>0</v>
      </c>
      <c r="J6" s="449"/>
      <c r="K6" s="449">
        <f t="shared" si="0"/>
        <v>0</v>
      </c>
      <c r="L6" s="449">
        <f t="shared" si="1"/>
        <v>2284551</v>
      </c>
      <c r="M6" s="449">
        <f t="shared" si="2"/>
        <v>449</v>
      </c>
      <c r="N6" s="449">
        <v>280000</v>
      </c>
      <c r="O6" s="449">
        <f t="shared" si="3"/>
        <v>0</v>
      </c>
      <c r="P6" s="449">
        <f t="shared" si="4"/>
        <v>449</v>
      </c>
      <c r="Q6" s="482"/>
      <c r="R6" s="449"/>
      <c r="S6" s="449">
        <f t="shared" si="5"/>
        <v>0</v>
      </c>
      <c r="T6" s="449">
        <f t="shared" si="6"/>
        <v>0</v>
      </c>
      <c r="U6" s="449">
        <f t="shared" si="7"/>
        <v>280000</v>
      </c>
      <c r="V6" s="449"/>
      <c r="W6" s="449">
        <f t="shared" si="8"/>
        <v>280000</v>
      </c>
      <c r="X6" s="449"/>
      <c r="Y6" s="449"/>
      <c r="Z6" s="449"/>
      <c r="AA6" s="448"/>
      <c r="AB6" s="448" t="s">
        <v>336</v>
      </c>
      <c r="AC6" s="448">
        <v>829000</v>
      </c>
      <c r="AD6" s="510"/>
      <c r="AE6" s="510"/>
      <c r="AF6" s="510"/>
      <c r="AG6" s="510"/>
      <c r="AH6" s="510"/>
      <c r="AI6" s="510"/>
      <c r="AJ6" s="510"/>
      <c r="AK6" s="510"/>
      <c r="AL6" s="510"/>
      <c r="AM6" s="509"/>
      <c r="AN6" s="509"/>
      <c r="AO6" s="509"/>
      <c r="AP6" s="509"/>
      <c r="AQ6" s="509"/>
      <c r="AR6" s="509"/>
      <c r="AS6" s="511"/>
      <c r="AT6" s="511"/>
      <c r="AU6" s="511"/>
    </row>
    <row r="7" spans="1:60" s="452" customFormat="1" ht="45" customHeight="1">
      <c r="A7" s="455">
        <f t="shared" ref="A7:A15" si="9">1+A6</f>
        <v>3</v>
      </c>
      <c r="B7" s="486">
        <v>2004</v>
      </c>
      <c r="C7" s="448" t="s">
        <v>127</v>
      </c>
      <c r="D7" s="449">
        <f>1425000+70000+90000</f>
        <v>1585000</v>
      </c>
      <c r="E7" s="449">
        <v>1425000</v>
      </c>
      <c r="F7" s="449">
        <f>+D7-E7</f>
        <v>160000</v>
      </c>
      <c r="G7" s="449">
        <v>1335000</v>
      </c>
      <c r="H7" s="449">
        <v>1310871</v>
      </c>
      <c r="I7" s="449">
        <v>0</v>
      </c>
      <c r="J7" s="449">
        <v>47441</v>
      </c>
      <c r="K7" s="449">
        <f t="shared" si="0"/>
        <v>47441</v>
      </c>
      <c r="L7" s="449">
        <f t="shared" si="1"/>
        <v>1358312</v>
      </c>
      <c r="M7" s="449">
        <f>P7+S7-65000</f>
        <v>1688</v>
      </c>
      <c r="N7" s="449">
        <f>160000+65000</f>
        <v>225000</v>
      </c>
      <c r="O7" s="449">
        <f t="shared" si="3"/>
        <v>0</v>
      </c>
      <c r="P7" s="449">
        <f t="shared" si="4"/>
        <v>-23312</v>
      </c>
      <c r="Q7" s="449">
        <v>90000</v>
      </c>
      <c r="R7" s="449"/>
      <c r="S7" s="449">
        <f t="shared" si="5"/>
        <v>90000</v>
      </c>
      <c r="T7" s="449">
        <f t="shared" si="6"/>
        <v>65000</v>
      </c>
      <c r="U7" s="449">
        <f t="shared" si="7"/>
        <v>160000</v>
      </c>
      <c r="V7" s="449"/>
      <c r="W7" s="449">
        <f t="shared" si="8"/>
        <v>160000</v>
      </c>
      <c r="X7" s="449"/>
      <c r="Y7" s="449"/>
      <c r="Z7" s="449"/>
      <c r="AA7" s="448"/>
      <c r="AB7" s="448" t="s">
        <v>1398</v>
      </c>
      <c r="AC7" s="448">
        <v>829000</v>
      </c>
      <c r="AD7" s="510"/>
      <c r="AE7" s="510"/>
      <c r="AF7" s="510"/>
      <c r="AG7" s="510"/>
      <c r="AH7" s="510"/>
      <c r="AI7" s="510"/>
      <c r="AJ7" s="510"/>
      <c r="AK7" s="510"/>
      <c r="AL7" s="510"/>
      <c r="AM7" s="509"/>
      <c r="AN7" s="509"/>
      <c r="AO7" s="509"/>
      <c r="AP7" s="509"/>
      <c r="AQ7" s="509"/>
      <c r="AR7" s="509"/>
      <c r="AS7" s="511"/>
      <c r="AT7" s="511"/>
      <c r="AU7" s="511"/>
    </row>
    <row r="8" spans="1:60" s="452" customFormat="1" ht="41.4">
      <c r="A8" s="455">
        <f t="shared" si="9"/>
        <v>4</v>
      </c>
      <c r="B8" s="486">
        <v>2060</v>
      </c>
      <c r="C8" s="448" t="s">
        <v>334</v>
      </c>
      <c r="D8" s="449">
        <f>2871000+230000</f>
        <v>3101000</v>
      </c>
      <c r="E8" s="449">
        <v>2871000</v>
      </c>
      <c r="F8" s="449">
        <f>+D8-E8</f>
        <v>230000</v>
      </c>
      <c r="G8" s="449">
        <v>2871000</v>
      </c>
      <c r="H8" s="449">
        <v>2853091</v>
      </c>
      <c r="I8" s="449">
        <v>0</v>
      </c>
      <c r="J8" s="449"/>
      <c r="K8" s="449">
        <f t="shared" si="0"/>
        <v>0</v>
      </c>
      <c r="L8" s="449">
        <f t="shared" si="1"/>
        <v>2853091</v>
      </c>
      <c r="M8" s="449">
        <f>P8+S8-15000</f>
        <v>2909</v>
      </c>
      <c r="N8" s="449">
        <f>230000-80000+15000</f>
        <v>165000</v>
      </c>
      <c r="O8" s="449">
        <f t="shared" si="3"/>
        <v>80000</v>
      </c>
      <c r="P8" s="449">
        <f t="shared" si="4"/>
        <v>17909</v>
      </c>
      <c r="Q8" s="482"/>
      <c r="R8" s="449"/>
      <c r="S8" s="449">
        <f t="shared" si="5"/>
        <v>0</v>
      </c>
      <c r="T8" s="449">
        <f t="shared" si="6"/>
        <v>15000</v>
      </c>
      <c r="U8" s="449">
        <f t="shared" si="7"/>
        <v>150000</v>
      </c>
      <c r="V8" s="449"/>
      <c r="W8" s="449">
        <f t="shared" si="8"/>
        <v>150000</v>
      </c>
      <c r="X8" s="449"/>
      <c r="Y8" s="449"/>
      <c r="Z8" s="449"/>
      <c r="AA8" s="448"/>
      <c r="AB8" s="448" t="s">
        <v>1399</v>
      </c>
      <c r="AC8" s="448">
        <v>829000</v>
      </c>
      <c r="AD8" s="510"/>
      <c r="AE8" s="510"/>
      <c r="AF8" s="510"/>
      <c r="AG8" s="510"/>
      <c r="AH8" s="510"/>
      <c r="AI8" s="510"/>
      <c r="AJ8" s="510"/>
      <c r="AK8" s="510"/>
      <c r="AL8" s="510"/>
      <c r="AM8" s="509"/>
      <c r="AN8" s="509"/>
      <c r="AO8" s="509"/>
      <c r="AP8" s="509"/>
      <c r="AQ8" s="509"/>
      <c r="AR8" s="509"/>
      <c r="AS8" s="511"/>
      <c r="AT8" s="511"/>
      <c r="AU8" s="511"/>
    </row>
    <row r="9" spans="1:60" s="452" customFormat="1" ht="55.2">
      <c r="A9" s="455">
        <f t="shared" si="9"/>
        <v>5</v>
      </c>
      <c r="B9" s="455">
        <v>20033</v>
      </c>
      <c r="C9" s="448" t="s">
        <v>749</v>
      </c>
      <c r="D9" s="449">
        <f>1485000+330000+30000</f>
        <v>1845000</v>
      </c>
      <c r="E9" s="449">
        <v>1485000</v>
      </c>
      <c r="F9" s="449">
        <f>D9-E9</f>
        <v>360000</v>
      </c>
      <c r="G9" s="449">
        <v>1485000</v>
      </c>
      <c r="H9" s="449">
        <v>1484993</v>
      </c>
      <c r="I9" s="449">
        <v>0</v>
      </c>
      <c r="J9" s="449">
        <v>0</v>
      </c>
      <c r="K9" s="449">
        <f t="shared" si="0"/>
        <v>0</v>
      </c>
      <c r="L9" s="449">
        <f t="shared" si="1"/>
        <v>1484993</v>
      </c>
      <c r="M9" s="449">
        <f t="shared" si="2"/>
        <v>7</v>
      </c>
      <c r="N9" s="449">
        <f>93000+37000+100000+100000+30000</f>
        <v>360000</v>
      </c>
      <c r="O9" s="449">
        <f t="shared" si="3"/>
        <v>0</v>
      </c>
      <c r="P9" s="449">
        <f t="shared" si="4"/>
        <v>7</v>
      </c>
      <c r="Q9" s="482"/>
      <c r="R9" s="449"/>
      <c r="S9" s="449">
        <f t="shared" si="5"/>
        <v>0</v>
      </c>
      <c r="T9" s="449">
        <f t="shared" si="6"/>
        <v>0</v>
      </c>
      <c r="U9" s="449">
        <f t="shared" si="7"/>
        <v>360000</v>
      </c>
      <c r="V9" s="449"/>
      <c r="W9" s="449">
        <f t="shared" si="8"/>
        <v>360000</v>
      </c>
      <c r="X9" s="449"/>
      <c r="Y9" s="449"/>
      <c r="Z9" s="449"/>
      <c r="AA9" s="448"/>
      <c r="AB9" s="448" t="s">
        <v>991</v>
      </c>
      <c r="AC9" s="448">
        <v>829000</v>
      </c>
      <c r="AD9" s="510"/>
      <c r="AE9" s="510"/>
      <c r="AF9" s="510"/>
      <c r="AG9" s="510"/>
      <c r="AH9" s="510"/>
      <c r="AI9" s="510"/>
      <c r="AJ9" s="510"/>
      <c r="AK9" s="510"/>
      <c r="AL9" s="510"/>
      <c r="AM9" s="509"/>
      <c r="AN9" s="509"/>
      <c r="AO9" s="509"/>
      <c r="AP9" s="509"/>
      <c r="AQ9" s="509"/>
      <c r="AR9" s="509"/>
      <c r="AS9" s="511"/>
      <c r="AT9" s="511"/>
      <c r="AU9" s="511"/>
    </row>
    <row r="10" spans="1:60" s="452" customFormat="1" ht="45" customHeight="1">
      <c r="A10" s="455">
        <f t="shared" si="9"/>
        <v>6</v>
      </c>
      <c r="B10" s="455">
        <v>20045</v>
      </c>
      <c r="C10" s="455" t="s">
        <v>1378</v>
      </c>
      <c r="D10" s="449">
        <f>962000+62866+149000</f>
        <v>1173866</v>
      </c>
      <c r="E10" s="449">
        <v>962000</v>
      </c>
      <c r="F10" s="449"/>
      <c r="G10" s="449">
        <v>812000</v>
      </c>
      <c r="H10" s="449">
        <v>633664</v>
      </c>
      <c r="I10" s="449">
        <v>0</v>
      </c>
      <c r="J10" s="449"/>
      <c r="K10" s="449">
        <f t="shared" si="0"/>
        <v>0</v>
      </c>
      <c r="L10" s="449">
        <f t="shared" si="1"/>
        <v>633664</v>
      </c>
      <c r="M10" s="449">
        <f>P10+S10-170000-5000</f>
        <v>3336</v>
      </c>
      <c r="N10" s="449">
        <f>149000+170000+1000+62866+5000</f>
        <v>387866</v>
      </c>
      <c r="O10" s="449">
        <f t="shared" si="3"/>
        <v>149000</v>
      </c>
      <c r="P10" s="449">
        <f t="shared" si="4"/>
        <v>178336</v>
      </c>
      <c r="Q10" s="482"/>
      <c r="R10" s="449"/>
      <c r="S10" s="449">
        <f t="shared" si="5"/>
        <v>0</v>
      </c>
      <c r="T10" s="449">
        <f t="shared" si="6"/>
        <v>175000</v>
      </c>
      <c r="U10" s="449">
        <f t="shared" si="7"/>
        <v>212866</v>
      </c>
      <c r="V10" s="449"/>
      <c r="W10" s="449">
        <f t="shared" si="8"/>
        <v>212866</v>
      </c>
      <c r="X10" s="449"/>
      <c r="Y10" s="449"/>
      <c r="Z10" s="449"/>
      <c r="AA10" s="448"/>
      <c r="AB10" s="448" t="s">
        <v>1403</v>
      </c>
      <c r="AC10" s="448">
        <v>829000</v>
      </c>
      <c r="AD10" s="510"/>
      <c r="AE10" s="510"/>
      <c r="AF10" s="510"/>
      <c r="AG10" s="510"/>
      <c r="AH10" s="510"/>
      <c r="AI10" s="510"/>
      <c r="AJ10" s="510"/>
      <c r="AK10" s="510"/>
      <c r="AL10" s="510"/>
      <c r="AM10" s="509"/>
      <c r="AN10" s="509"/>
      <c r="AO10" s="509"/>
      <c r="AP10" s="509"/>
      <c r="AQ10" s="509"/>
      <c r="AR10" s="509"/>
      <c r="AS10" s="511"/>
      <c r="AT10" s="511"/>
      <c r="AU10" s="511"/>
    </row>
    <row r="11" spans="1:60" s="452" customFormat="1" ht="45" customHeight="1">
      <c r="A11" s="455">
        <f t="shared" si="9"/>
        <v>7</v>
      </c>
      <c r="B11" s="455">
        <v>20046</v>
      </c>
      <c r="C11" s="448" t="s">
        <v>644</v>
      </c>
      <c r="D11" s="449">
        <v>475000</v>
      </c>
      <c r="E11" s="449">
        <v>475000</v>
      </c>
      <c r="F11" s="449"/>
      <c r="G11" s="449">
        <v>475000</v>
      </c>
      <c r="H11" s="449">
        <v>458836</v>
      </c>
      <c r="I11" s="449">
        <v>0</v>
      </c>
      <c r="J11" s="449"/>
      <c r="K11" s="449">
        <f t="shared" si="0"/>
        <v>0</v>
      </c>
      <c r="L11" s="449">
        <f t="shared" si="1"/>
        <v>458836</v>
      </c>
      <c r="M11" s="449">
        <f>P11+S11-15968-196</f>
        <v>0</v>
      </c>
      <c r="N11" s="449">
        <v>0</v>
      </c>
      <c r="O11" s="449">
        <f t="shared" si="3"/>
        <v>16164</v>
      </c>
      <c r="P11" s="449">
        <f t="shared" si="4"/>
        <v>16164</v>
      </c>
      <c r="Q11" s="482"/>
      <c r="R11" s="449"/>
      <c r="S11" s="449">
        <f t="shared" si="5"/>
        <v>0</v>
      </c>
      <c r="T11" s="449">
        <f t="shared" si="6"/>
        <v>16164</v>
      </c>
      <c r="U11" s="449">
        <f t="shared" si="7"/>
        <v>-16164</v>
      </c>
      <c r="V11" s="449"/>
      <c r="W11" s="449">
        <f t="shared" si="8"/>
        <v>-16164</v>
      </c>
      <c r="X11" s="449"/>
      <c r="Y11" s="449"/>
      <c r="Z11" s="449"/>
      <c r="AA11" s="448"/>
      <c r="AB11" s="448" t="s">
        <v>1404</v>
      </c>
      <c r="AC11" s="448">
        <v>829000</v>
      </c>
      <c r="AD11" s="510"/>
      <c r="AE11" s="510"/>
      <c r="AF11" s="510"/>
      <c r="AG11" s="510"/>
      <c r="AH11" s="510"/>
      <c r="AI11" s="510"/>
      <c r="AJ11" s="510"/>
      <c r="AK11" s="510"/>
      <c r="AL11" s="510"/>
      <c r="AM11" s="509"/>
      <c r="AN11" s="509"/>
      <c r="AO11" s="509"/>
      <c r="AP11" s="509"/>
      <c r="AQ11" s="509"/>
      <c r="AR11" s="509"/>
      <c r="AS11" s="511"/>
      <c r="AT11" s="511"/>
      <c r="AU11" s="511"/>
    </row>
    <row r="12" spans="1:60" s="452" customFormat="1" ht="45" customHeight="1">
      <c r="A12" s="455">
        <f t="shared" si="9"/>
        <v>8</v>
      </c>
      <c r="B12" s="455">
        <v>20099</v>
      </c>
      <c r="C12" s="448" t="s">
        <v>944</v>
      </c>
      <c r="D12" s="449">
        <f>580000-62866+1200+5</f>
        <v>518339</v>
      </c>
      <c r="E12" s="449">
        <v>580000</v>
      </c>
      <c r="F12" s="449"/>
      <c r="G12" s="449">
        <v>580000</v>
      </c>
      <c r="H12" s="449">
        <v>512133</v>
      </c>
      <c r="I12" s="449">
        <v>0</v>
      </c>
      <c r="J12" s="449">
        <v>6206</v>
      </c>
      <c r="K12" s="449">
        <f t="shared" si="0"/>
        <v>6206</v>
      </c>
      <c r="L12" s="449">
        <f t="shared" si="1"/>
        <v>518339</v>
      </c>
      <c r="M12" s="449">
        <f>P12+S12-67866+6205</f>
        <v>0</v>
      </c>
      <c r="N12" s="449">
        <f>5000+1200-6200</f>
        <v>0</v>
      </c>
      <c r="O12" s="449">
        <f t="shared" si="3"/>
        <v>0</v>
      </c>
      <c r="P12" s="449">
        <f t="shared" si="4"/>
        <v>61661</v>
      </c>
      <c r="Q12" s="482"/>
      <c r="R12" s="449"/>
      <c r="S12" s="449">
        <f t="shared" si="5"/>
        <v>0</v>
      </c>
      <c r="T12" s="449">
        <f t="shared" si="6"/>
        <v>61661</v>
      </c>
      <c r="U12" s="449">
        <f t="shared" si="7"/>
        <v>-61661</v>
      </c>
      <c r="V12" s="449"/>
      <c r="W12" s="449">
        <f t="shared" si="8"/>
        <v>-61661</v>
      </c>
      <c r="X12" s="449"/>
      <c r="Y12" s="449"/>
      <c r="Z12" s="449"/>
      <c r="AA12" s="449">
        <f>235540-235540</f>
        <v>0</v>
      </c>
      <c r="AB12" s="448" t="s">
        <v>1600</v>
      </c>
      <c r="AC12" s="448">
        <v>829000</v>
      </c>
      <c r="AD12" s="510"/>
      <c r="AE12" s="510"/>
      <c r="AF12" s="510"/>
      <c r="AG12" s="510"/>
      <c r="AH12" s="510"/>
      <c r="AI12" s="510"/>
      <c r="AJ12" s="510"/>
      <c r="AK12" s="510"/>
      <c r="AL12" s="510"/>
      <c r="AM12" s="509"/>
      <c r="AN12" s="509"/>
      <c r="AO12" s="509"/>
      <c r="AP12" s="509"/>
      <c r="AQ12" s="509"/>
      <c r="AR12" s="509"/>
      <c r="AS12" s="511"/>
      <c r="AT12" s="511"/>
      <c r="AU12" s="511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</row>
    <row r="13" spans="1:60" s="452" customFormat="1" ht="45" customHeight="1">
      <c r="A13" s="455">
        <f t="shared" si="9"/>
        <v>9</v>
      </c>
      <c r="B13" s="455">
        <v>20124</v>
      </c>
      <c r="C13" s="135" t="s">
        <v>992</v>
      </c>
      <c r="D13" s="120">
        <f>2560000+1500000*2</f>
        <v>5560000</v>
      </c>
      <c r="E13" s="120"/>
      <c r="F13" s="120">
        <f>D13-E13</f>
        <v>5560000</v>
      </c>
      <c r="G13" s="120">
        <v>0</v>
      </c>
      <c r="H13" s="120"/>
      <c r="I13" s="120"/>
      <c r="J13" s="120"/>
      <c r="K13" s="120">
        <f>I13+J13</f>
        <v>0</v>
      </c>
      <c r="L13" s="120">
        <f>H13+K13</f>
        <v>0</v>
      </c>
      <c r="M13" s="120">
        <f>P13+S13</f>
        <v>0</v>
      </c>
      <c r="N13" s="120">
        <f>5560000-2560000</f>
        <v>3000000</v>
      </c>
      <c r="O13" s="120">
        <f>D13-L13-M13-N13</f>
        <v>2560000</v>
      </c>
      <c r="P13" s="120">
        <f>G13-L13</f>
        <v>0</v>
      </c>
      <c r="Q13" s="120"/>
      <c r="R13" s="120"/>
      <c r="S13" s="120">
        <f>SUM(Q13:R13)</f>
        <v>0</v>
      </c>
      <c r="T13" s="120">
        <f>P13-M13+S13</f>
        <v>0</v>
      </c>
      <c r="U13" s="120">
        <f>N13-T13</f>
        <v>3000000</v>
      </c>
      <c r="V13" s="120">
        <f>U13-W13-Z13-AA13</f>
        <v>3000000</v>
      </c>
      <c r="W13" s="120"/>
      <c r="X13" s="120"/>
      <c r="Y13" s="120"/>
      <c r="Z13" s="120"/>
      <c r="AA13" s="120"/>
      <c r="AB13" s="448" t="s">
        <v>1525</v>
      </c>
      <c r="AC13" s="448">
        <v>829000</v>
      </c>
      <c r="AD13" s="510"/>
      <c r="AE13" s="510"/>
      <c r="AF13" s="510"/>
      <c r="AG13" s="510"/>
      <c r="AH13" s="510"/>
      <c r="AI13" s="510"/>
      <c r="AJ13" s="510"/>
      <c r="AK13" s="510"/>
      <c r="AL13" s="510"/>
      <c r="AM13" s="509"/>
      <c r="AN13" s="465"/>
      <c r="AO13" s="465"/>
      <c r="AP13" s="465"/>
      <c r="AQ13" s="465"/>
      <c r="AR13" s="465"/>
      <c r="AS13" s="465"/>
      <c r="AT13" s="465"/>
      <c r="AU13" s="465"/>
      <c r="AV13" s="272"/>
      <c r="AW13" s="272"/>
      <c r="AX13" s="272"/>
      <c r="AY13" s="272"/>
      <c r="AZ13" s="272"/>
      <c r="BA13" s="272"/>
      <c r="BB13" s="272"/>
      <c r="BC13" s="272"/>
      <c r="BD13" s="272"/>
    </row>
    <row r="14" spans="1:60" s="452" customFormat="1" ht="45" customHeight="1">
      <c r="A14" s="455">
        <f t="shared" si="9"/>
        <v>10</v>
      </c>
      <c r="B14" s="455">
        <v>20125</v>
      </c>
      <c r="C14" s="135" t="s">
        <v>993</v>
      </c>
      <c r="D14" s="120">
        <v>202000</v>
      </c>
      <c r="E14" s="120"/>
      <c r="F14" s="120">
        <f>D14-E14</f>
        <v>202000</v>
      </c>
      <c r="G14" s="120">
        <v>0</v>
      </c>
      <c r="H14" s="120"/>
      <c r="I14" s="120"/>
      <c r="J14" s="120"/>
      <c r="K14" s="120">
        <f>I14+J14</f>
        <v>0</v>
      </c>
      <c r="L14" s="120">
        <f>H14+K14</f>
        <v>0</v>
      </c>
      <c r="M14" s="120">
        <f>P14+S14</f>
        <v>0</v>
      </c>
      <c r="N14" s="120">
        <v>202000</v>
      </c>
      <c r="O14" s="120">
        <f>D14-L14-M14-N14</f>
        <v>0</v>
      </c>
      <c r="P14" s="120">
        <f>G14-L14</f>
        <v>0</v>
      </c>
      <c r="Q14" s="120"/>
      <c r="R14" s="120"/>
      <c r="S14" s="120">
        <f>SUM(Q14:R14)</f>
        <v>0</v>
      </c>
      <c r="T14" s="120">
        <f>P14-M14+S14</f>
        <v>0</v>
      </c>
      <c r="U14" s="120">
        <f>N14-T14</f>
        <v>202000</v>
      </c>
      <c r="V14" s="120">
        <f>U14-W14-Z14-AA14</f>
        <v>0</v>
      </c>
      <c r="W14" s="120">
        <v>202000</v>
      </c>
      <c r="X14" s="120"/>
      <c r="Y14" s="120"/>
      <c r="Z14" s="120"/>
      <c r="AA14" s="120"/>
      <c r="AB14" s="448" t="s">
        <v>1604</v>
      </c>
      <c r="AC14" s="448">
        <v>829000</v>
      </c>
      <c r="AD14" s="510"/>
      <c r="AE14" s="510"/>
      <c r="AF14" s="510"/>
      <c r="AG14" s="510"/>
      <c r="AH14" s="510"/>
      <c r="AI14" s="510"/>
      <c r="AJ14" s="510"/>
      <c r="AK14" s="510"/>
      <c r="AL14" s="510"/>
      <c r="AM14" s="509"/>
      <c r="AN14" s="465"/>
      <c r="AO14" s="465"/>
      <c r="AP14" s="465"/>
      <c r="AQ14" s="465"/>
      <c r="AR14" s="465"/>
      <c r="AS14" s="465"/>
      <c r="AT14" s="465"/>
      <c r="AU14" s="465"/>
      <c r="AV14" s="272"/>
      <c r="AW14" s="272"/>
      <c r="AX14" s="272"/>
      <c r="AY14" s="272"/>
      <c r="AZ14" s="272"/>
      <c r="BA14" s="272"/>
      <c r="BB14" s="272"/>
      <c r="BC14" s="272"/>
      <c r="BD14" s="272"/>
    </row>
    <row r="15" spans="1:60" s="452" customFormat="1" ht="45" customHeight="1">
      <c r="A15" s="455">
        <f t="shared" si="9"/>
        <v>11</v>
      </c>
      <c r="B15" s="455">
        <v>20126</v>
      </c>
      <c r="C15" s="135" t="s">
        <v>1344</v>
      </c>
      <c r="D15" s="120">
        <f>112000+38000</f>
        <v>150000</v>
      </c>
      <c r="E15" s="120"/>
      <c r="F15" s="120">
        <f>D15-E15</f>
        <v>150000</v>
      </c>
      <c r="G15" s="120">
        <v>0</v>
      </c>
      <c r="H15" s="120"/>
      <c r="I15" s="120"/>
      <c r="J15" s="120"/>
      <c r="K15" s="120">
        <f>I15+J15</f>
        <v>0</v>
      </c>
      <c r="L15" s="120">
        <f>H15+K15</f>
        <v>0</v>
      </c>
      <c r="M15" s="120">
        <f>P15+S15</f>
        <v>0</v>
      </c>
      <c r="N15" s="120">
        <f>112000+38000</f>
        <v>150000</v>
      </c>
      <c r="O15" s="120">
        <f>D15-L15-M15-N15</f>
        <v>0</v>
      </c>
      <c r="P15" s="120">
        <f>G15-L15</f>
        <v>0</v>
      </c>
      <c r="Q15" s="120"/>
      <c r="R15" s="120"/>
      <c r="S15" s="120">
        <f>SUM(Q15:R15)</f>
        <v>0</v>
      </c>
      <c r="T15" s="120">
        <f>P15-M15+S15</f>
        <v>0</v>
      </c>
      <c r="U15" s="120">
        <f>N15-T15</f>
        <v>150000</v>
      </c>
      <c r="V15" s="120">
        <f>U15-W15-Z15-AA15</f>
        <v>0</v>
      </c>
      <c r="W15" s="120">
        <v>150000</v>
      </c>
      <c r="X15" s="120"/>
      <c r="Y15" s="120"/>
      <c r="Z15" s="120"/>
      <c r="AA15" s="120"/>
      <c r="AB15" s="448" t="s">
        <v>1345</v>
      </c>
      <c r="AC15" s="448">
        <v>829000</v>
      </c>
      <c r="AD15" s="510"/>
      <c r="AE15" s="510"/>
      <c r="AF15" s="510"/>
      <c r="AG15" s="510"/>
      <c r="AH15" s="510"/>
      <c r="AI15" s="510"/>
      <c r="AJ15" s="510"/>
      <c r="AK15" s="510"/>
      <c r="AL15" s="510"/>
      <c r="AM15" s="509"/>
      <c r="AN15" s="465"/>
      <c r="AO15" s="465"/>
      <c r="AP15" s="465"/>
      <c r="AQ15" s="465"/>
      <c r="AR15" s="465"/>
      <c r="AS15" s="465"/>
      <c r="AT15" s="465"/>
      <c r="AU15" s="465"/>
      <c r="AV15" s="272"/>
      <c r="AW15" s="272"/>
      <c r="AX15" s="272"/>
      <c r="AY15" s="272"/>
      <c r="AZ15" s="272"/>
      <c r="BA15" s="272"/>
      <c r="BB15" s="272"/>
      <c r="BC15" s="272"/>
      <c r="BD15" s="272"/>
    </row>
    <row r="16" spans="1:60" s="518" customFormat="1" ht="45" customHeight="1">
      <c r="A16" s="516">
        <f>COUNT(A5:A15)</f>
        <v>11</v>
      </c>
      <c r="B16" s="515"/>
      <c r="C16" s="515" t="s">
        <v>994</v>
      </c>
      <c r="D16" s="516">
        <f t="shared" ref="D16:AA16" si="10">SUM(D5:D15)</f>
        <v>19230205</v>
      </c>
      <c r="E16" s="516">
        <f t="shared" si="10"/>
        <v>12138000</v>
      </c>
      <c r="F16" s="516">
        <f t="shared" si="10"/>
        <v>6942000</v>
      </c>
      <c r="G16" s="516">
        <f t="shared" si="10"/>
        <v>11077000</v>
      </c>
      <c r="H16" s="516">
        <f t="shared" si="10"/>
        <v>10772057</v>
      </c>
      <c r="I16" s="516">
        <f t="shared" si="10"/>
        <v>0</v>
      </c>
      <c r="J16" s="516">
        <f t="shared" si="10"/>
        <v>53647</v>
      </c>
      <c r="K16" s="516">
        <f t="shared" si="10"/>
        <v>53647</v>
      </c>
      <c r="L16" s="516">
        <f t="shared" si="10"/>
        <v>10825704</v>
      </c>
      <c r="M16" s="516">
        <f t="shared" si="10"/>
        <v>8471</v>
      </c>
      <c r="N16" s="516">
        <f t="shared" si="10"/>
        <v>4769866</v>
      </c>
      <c r="O16" s="516">
        <f t="shared" si="10"/>
        <v>3626164</v>
      </c>
      <c r="P16" s="516">
        <f t="shared" si="10"/>
        <v>251296</v>
      </c>
      <c r="Q16" s="516">
        <f t="shared" si="10"/>
        <v>90000</v>
      </c>
      <c r="R16" s="516">
        <f t="shared" si="10"/>
        <v>0</v>
      </c>
      <c r="S16" s="516">
        <f t="shared" si="10"/>
        <v>90000</v>
      </c>
      <c r="T16" s="516">
        <f t="shared" si="10"/>
        <v>332825</v>
      </c>
      <c r="U16" s="516">
        <f t="shared" si="10"/>
        <v>4437041</v>
      </c>
      <c r="V16" s="516">
        <f t="shared" si="10"/>
        <v>3000000</v>
      </c>
      <c r="W16" s="516">
        <f t="shared" si="10"/>
        <v>1437041</v>
      </c>
      <c r="X16" s="516">
        <f t="shared" si="10"/>
        <v>0</v>
      </c>
      <c r="Y16" s="516">
        <f t="shared" si="10"/>
        <v>0</v>
      </c>
      <c r="Z16" s="516">
        <f t="shared" si="10"/>
        <v>0</v>
      </c>
      <c r="AA16" s="516">
        <f t="shared" si="10"/>
        <v>0</v>
      </c>
      <c r="AB16" s="515"/>
      <c r="AC16" s="515"/>
      <c r="AD16" s="510"/>
      <c r="AE16" s="510"/>
      <c r="AF16" s="510"/>
      <c r="AG16" s="510"/>
      <c r="AH16" s="510"/>
      <c r="AI16" s="510"/>
      <c r="AJ16" s="510"/>
      <c r="AK16" s="510"/>
      <c r="AL16" s="510"/>
      <c r="AM16" s="509"/>
      <c r="AN16" s="517"/>
      <c r="AO16" s="517"/>
      <c r="AP16" s="517"/>
      <c r="AQ16" s="517"/>
      <c r="AR16" s="517"/>
      <c r="AS16" s="511"/>
      <c r="AT16" s="511"/>
      <c r="AU16" s="511"/>
    </row>
    <row r="17" spans="1:47" s="518" customFormat="1" ht="30" hidden="1" customHeight="1">
      <c r="A17" s="564"/>
      <c r="B17" s="564"/>
      <c r="C17" s="564"/>
      <c r="D17" s="492">
        <f>SUM(L16:O16)</f>
        <v>19230205</v>
      </c>
      <c r="E17" s="467"/>
      <c r="F17" s="492">
        <f>D16-E16</f>
        <v>7092205</v>
      </c>
      <c r="G17" s="493"/>
      <c r="H17" s="493"/>
      <c r="I17" s="493"/>
      <c r="J17" s="493"/>
      <c r="K17" s="493"/>
      <c r="L17" s="492">
        <f>H16+K16</f>
        <v>10825704</v>
      </c>
      <c r="M17" s="493"/>
      <c r="N17" s="493"/>
      <c r="O17" s="493"/>
      <c r="P17" s="492">
        <f>G16-L17</f>
        <v>251296</v>
      </c>
      <c r="Q17" s="493"/>
      <c r="R17" s="493"/>
      <c r="S17" s="493"/>
      <c r="T17" s="492">
        <f>P17+S16-M16</f>
        <v>332825</v>
      </c>
      <c r="U17" s="492">
        <f>N16-T17</f>
        <v>4437041</v>
      </c>
      <c r="V17" s="565"/>
      <c r="W17" s="565"/>
      <c r="X17" s="564"/>
      <c r="Y17" s="564"/>
      <c r="Z17" s="564"/>
      <c r="AA17" s="564"/>
      <c r="AB17" s="564"/>
      <c r="AC17" s="564"/>
      <c r="AD17" s="510"/>
      <c r="AE17" s="510"/>
      <c r="AF17" s="510"/>
      <c r="AG17" s="510"/>
      <c r="AH17" s="510"/>
      <c r="AI17" s="510"/>
      <c r="AJ17" s="510"/>
      <c r="AK17" s="510"/>
      <c r="AL17" s="510"/>
      <c r="AM17" s="509"/>
      <c r="AN17" s="517"/>
      <c r="AO17" s="517"/>
      <c r="AP17" s="517"/>
      <c r="AQ17" s="517"/>
      <c r="AR17" s="517"/>
      <c r="AS17" s="511"/>
      <c r="AT17" s="511"/>
      <c r="AU17" s="511"/>
    </row>
    <row r="18" spans="1:47" s="518" customFormat="1" ht="30" hidden="1" customHeight="1">
      <c r="A18" s="564"/>
      <c r="B18" s="564"/>
      <c r="C18" s="564"/>
      <c r="D18" s="492">
        <f>D16-D17</f>
        <v>0</v>
      </c>
      <c r="E18" s="467"/>
      <c r="F18" s="493"/>
      <c r="G18" s="493"/>
      <c r="H18" s="493"/>
      <c r="I18" s="493"/>
      <c r="J18" s="493"/>
      <c r="K18" s="493"/>
      <c r="L18" s="492">
        <f>L16-L17</f>
        <v>0</v>
      </c>
      <c r="M18" s="493"/>
      <c r="N18" s="493"/>
      <c r="O18" s="493"/>
      <c r="P18" s="492">
        <f>P16-P17</f>
        <v>0</v>
      </c>
      <c r="Q18" s="493"/>
      <c r="R18" s="493"/>
      <c r="S18" s="493"/>
      <c r="T18" s="492">
        <f>T16-T17</f>
        <v>0</v>
      </c>
      <c r="U18" s="492">
        <f>U16-U17</f>
        <v>0</v>
      </c>
      <c r="V18" s="565"/>
      <c r="W18" s="565"/>
      <c r="X18" s="564"/>
      <c r="Y18" s="564"/>
      <c r="Z18" s="564"/>
      <c r="AA18" s="564"/>
      <c r="AB18" s="564"/>
      <c r="AC18" s="564"/>
      <c r="AD18" s="510"/>
      <c r="AE18" s="510"/>
      <c r="AF18" s="510"/>
      <c r="AG18" s="510"/>
      <c r="AH18" s="510"/>
      <c r="AI18" s="510"/>
      <c r="AJ18" s="510"/>
      <c r="AK18" s="510"/>
      <c r="AL18" s="510"/>
      <c r="AM18" s="509"/>
      <c r="AN18" s="517"/>
      <c r="AO18" s="517"/>
      <c r="AP18" s="517"/>
      <c r="AQ18" s="517"/>
      <c r="AR18" s="517"/>
      <c r="AS18" s="511"/>
      <c r="AT18" s="511"/>
      <c r="AU18" s="511"/>
    </row>
    <row r="19" spans="1:47" hidden="1"/>
    <row r="129" spans="1:1">
      <c r="A129" s="475">
        <f>COUNT(A5:A128)</f>
        <v>12</v>
      </c>
    </row>
    <row r="132" spans="1:1">
      <c r="A132" s="475">
        <f>A129+1</f>
        <v>13</v>
      </c>
    </row>
    <row r="135" spans="1:1" ht="37.950000000000003" customHeight="1"/>
    <row r="138" spans="1:1" ht="70.95" customHeight="1"/>
    <row r="141" spans="1:1" ht="72" customHeight="1"/>
    <row r="143" spans="1:1" ht="43.95" customHeight="1"/>
    <row r="145" ht="30" customHeight="1"/>
  </sheetData>
  <sheetProtection formatCells="0" formatColumns="0" formatRows="0" insertColumns="0" insertRows="0" insertHyperlinks="0" deleteColumns="0" deleteRows="0" sort="0" autoFilter="0" pivotTables="0"/>
  <conditionalFormatting sqref="A1:A2 AV1:XFD2 AN1:AR12 AN16:AR1048576">
    <cfRule type="cellIs" dxfId="384" priority="66" operator="equal">
      <formula>0</formula>
    </cfRule>
  </conditionalFormatting>
  <conditionalFormatting sqref="AQ1:AQ2">
    <cfRule type="cellIs" dxfId="383" priority="65" operator="equal">
      <formula>0</formula>
    </cfRule>
  </conditionalFormatting>
  <conditionalFormatting sqref="AN16:AR19 AN1:AR3 AN12:AR12">
    <cfRule type="cellIs" dxfId="382" priority="64" operator="equal">
      <formula>0</formula>
    </cfRule>
  </conditionalFormatting>
  <conditionalFormatting sqref="AE1:AL1048576">
    <cfRule type="cellIs" dxfId="381" priority="4" operator="equal">
      <formula>0</formula>
    </cfRule>
  </conditionalFormatting>
  <conditionalFormatting sqref="AM1:AM1048576">
    <cfRule type="cellIs" dxfId="380" priority="3" operator="equal">
      <formula>0</formula>
    </cfRule>
  </conditionalFormatting>
  <conditionalFormatting sqref="AM1:AM1048576">
    <cfRule type="cellIs" dxfId="379" priority="2" operator="equal">
      <formula>0</formula>
    </cfRule>
  </conditionalFormatting>
  <conditionalFormatting sqref="AD1:AD1048576">
    <cfRule type="cellIs" dxfId="378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145"/>
  <sheetViews>
    <sheetView showZeros="0" rightToLeft="1" zoomScaleNormal="100" workbookViewId="0">
      <pane xSplit="3" ySplit="4" topLeftCell="D11" activePane="bottomRight" state="frozen"/>
      <selection activeCell="S45" sqref="S45"/>
      <selection pane="topRight" activeCell="S45" sqref="S45"/>
      <selection pane="bottomLeft" activeCell="S45" sqref="S45"/>
      <selection pane="bottomRight" activeCell="AC19" sqref="AC19"/>
    </sheetView>
  </sheetViews>
  <sheetFormatPr defaultColWidth="9.109375" defaultRowHeight="13.8"/>
  <cols>
    <col min="1" max="1" width="3.6640625" style="475" customWidth="1"/>
    <col min="2" max="2" width="5.6640625" style="424" customWidth="1"/>
    <col min="3" max="3" width="18.33203125" style="424" customWidth="1"/>
    <col min="4" max="4" width="10.6640625" style="423" customWidth="1"/>
    <col min="5" max="5" width="10.6640625" style="423" hidden="1" customWidth="1"/>
    <col min="6" max="6" width="9.6640625" style="423" hidden="1" customWidth="1"/>
    <col min="7" max="8" width="10.109375" style="423" hidden="1" customWidth="1"/>
    <col min="9" max="11" width="9.6640625" style="423" hidden="1" customWidth="1"/>
    <col min="12" max="12" width="10.6640625" style="423" customWidth="1"/>
    <col min="13" max="13" width="8.44140625" style="423" customWidth="1"/>
    <col min="14" max="14" width="9.6640625" style="423" customWidth="1"/>
    <col min="15" max="15" width="8" style="423" customWidth="1"/>
    <col min="16" max="19" width="9.6640625" style="423" hidden="1" customWidth="1"/>
    <col min="20" max="20" width="9" style="423" customWidth="1"/>
    <col min="21" max="21" width="8.5546875" style="424" customWidth="1"/>
    <col min="22" max="22" width="8.44140625" style="424" customWidth="1"/>
    <col min="23" max="23" width="9.6640625" style="424" customWidth="1"/>
    <col min="24" max="26" width="8.5546875" style="424" hidden="1" customWidth="1"/>
    <col min="27" max="27" width="6.88671875" style="424" hidden="1" customWidth="1"/>
    <col min="28" max="28" width="34.44140625" style="475" customWidth="1"/>
    <col min="29" max="29" width="7.88671875" style="424" customWidth="1"/>
    <col min="30" max="31" width="22" style="510" customWidth="1"/>
    <col min="32" max="32" width="10.6640625" style="510" customWidth="1"/>
    <col min="33" max="33" width="22" style="510" customWidth="1"/>
    <col min="34" max="34" width="10.6640625" style="510" customWidth="1"/>
    <col min="35" max="35" width="18.33203125" style="510" customWidth="1"/>
    <col min="36" max="36" width="20.5546875" style="510" customWidth="1"/>
    <col min="37" max="37" width="11.6640625" style="510" customWidth="1"/>
    <col min="38" max="38" width="22.6640625" style="510" customWidth="1"/>
    <col min="39" max="39" width="9.6640625" style="509" customWidth="1"/>
    <col min="40" max="42" width="10.6640625" style="509" customWidth="1"/>
    <col min="43" max="43" width="11.6640625" style="509" customWidth="1"/>
    <col min="44" max="44" width="10.6640625" style="509" customWidth="1"/>
    <col min="45" max="47" width="10.6640625" style="511" customWidth="1"/>
    <col min="48" max="16384" width="9.109375" style="424"/>
  </cols>
  <sheetData>
    <row r="1" spans="1:60" s="509" customFormat="1" ht="18">
      <c r="A1" s="507"/>
      <c r="B1" s="507"/>
      <c r="C1" s="507"/>
      <c r="D1" s="508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10"/>
      <c r="AE1" s="510"/>
      <c r="AF1" s="510"/>
      <c r="AG1" s="510"/>
      <c r="AH1" s="510"/>
      <c r="AI1" s="510"/>
      <c r="AJ1" s="510"/>
      <c r="AK1" s="510"/>
      <c r="AL1" s="510"/>
      <c r="AS1" s="511"/>
      <c r="AT1" s="511"/>
      <c r="AU1" s="511"/>
    </row>
    <row r="2" spans="1:60" s="509" customFormat="1" ht="18">
      <c r="A2" s="507" t="s">
        <v>989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10"/>
      <c r="AE2" s="510"/>
      <c r="AF2" s="510"/>
      <c r="AG2" s="510"/>
      <c r="AH2" s="510"/>
      <c r="AI2" s="510"/>
      <c r="AJ2" s="510"/>
      <c r="AK2" s="510"/>
      <c r="AL2" s="510"/>
      <c r="AS2" s="511"/>
      <c r="AT2" s="511"/>
      <c r="AU2" s="511"/>
    </row>
    <row r="3" spans="1:60" ht="20.399999999999999" customHeight="1">
      <c r="V3" s="895" t="s">
        <v>79</v>
      </c>
      <c r="W3" s="895"/>
      <c r="X3" s="895"/>
      <c r="Y3" s="895"/>
      <c r="Z3" s="895"/>
      <c r="AA3" s="895"/>
    </row>
    <row r="4" spans="1:60" s="511" customFormat="1" ht="75" customHeight="1">
      <c r="A4" s="130" t="s">
        <v>0</v>
      </c>
      <c r="B4" s="420" t="s">
        <v>413</v>
      </c>
      <c r="C4" s="420" t="s">
        <v>2</v>
      </c>
      <c r="D4" s="420" t="s">
        <v>80</v>
      </c>
      <c r="E4" s="420" t="s">
        <v>4</v>
      </c>
      <c r="F4" s="420" t="s">
        <v>5</v>
      </c>
      <c r="G4" s="420" t="s">
        <v>6</v>
      </c>
      <c r="H4" s="420" t="s">
        <v>7</v>
      </c>
      <c r="I4" s="420" t="s">
        <v>9</v>
      </c>
      <c r="J4" s="420" t="s">
        <v>125</v>
      </c>
      <c r="K4" s="420" t="s">
        <v>10</v>
      </c>
      <c r="L4" s="420" t="s">
        <v>11</v>
      </c>
      <c r="M4" s="420" t="s">
        <v>917</v>
      </c>
      <c r="N4" s="42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420" t="s">
        <v>13</v>
      </c>
      <c r="W4" s="420" t="s">
        <v>14</v>
      </c>
      <c r="X4" s="420" t="s">
        <v>15</v>
      </c>
      <c r="Y4" s="420" t="s">
        <v>214</v>
      </c>
      <c r="Z4" s="420" t="s">
        <v>502</v>
      </c>
      <c r="AA4" s="420" t="s">
        <v>75</v>
      </c>
      <c r="AB4" s="420" t="s">
        <v>242</v>
      </c>
      <c r="AC4" s="420" t="s">
        <v>16</v>
      </c>
      <c r="AD4" s="510"/>
      <c r="AE4" s="510"/>
      <c r="AF4" s="510"/>
      <c r="AG4" s="510"/>
      <c r="AH4" s="510"/>
      <c r="AI4" s="510"/>
      <c r="AJ4" s="510"/>
      <c r="AK4" s="510"/>
      <c r="AL4" s="510"/>
      <c r="AM4" s="509"/>
      <c r="AN4" s="509"/>
      <c r="AO4" s="509"/>
      <c r="AP4" s="509"/>
      <c r="AQ4" s="509"/>
      <c r="AR4" s="509"/>
    </row>
    <row r="5" spans="1:60" s="452" customFormat="1" ht="63" customHeight="1">
      <c r="A5" s="455">
        <v>1</v>
      </c>
      <c r="B5" s="448">
        <v>1582</v>
      </c>
      <c r="C5" s="448" t="s">
        <v>47</v>
      </c>
      <c r="D5" s="449">
        <f>2055000</f>
        <v>2055000</v>
      </c>
      <c r="E5" s="449">
        <v>2055000</v>
      </c>
      <c r="F5" s="449">
        <f>+D5-E5</f>
        <v>0</v>
      </c>
      <c r="G5" s="449">
        <v>1234000</v>
      </c>
      <c r="H5" s="449">
        <v>1233918</v>
      </c>
      <c r="I5" s="449">
        <v>0</v>
      </c>
      <c r="J5" s="449"/>
      <c r="K5" s="449">
        <f t="shared" ref="K5:K12" si="0">I5+J5</f>
        <v>0</v>
      </c>
      <c r="L5" s="449">
        <f t="shared" ref="L5:L12" si="1">H5+K5</f>
        <v>1233918</v>
      </c>
      <c r="M5" s="449">
        <f t="shared" ref="M5:M9" si="2">P5+S5</f>
        <v>82</v>
      </c>
      <c r="N5" s="449">
        <f>470000-470000</f>
        <v>0</v>
      </c>
      <c r="O5" s="449">
        <f t="shared" ref="O5:O12" si="3">D5-L5-M5-N5</f>
        <v>821000</v>
      </c>
      <c r="P5" s="449">
        <f t="shared" ref="P5:P12" si="4">G5-L5</f>
        <v>82</v>
      </c>
      <c r="Q5" s="482"/>
      <c r="R5" s="449"/>
      <c r="S5" s="449">
        <f t="shared" ref="S5:S12" si="5">SUM(Q5:R5)</f>
        <v>0</v>
      </c>
      <c r="T5" s="449">
        <f t="shared" ref="T5:T12" si="6">P5-M5+S5</f>
        <v>0</v>
      </c>
      <c r="U5" s="449">
        <f t="shared" ref="U5:U12" si="7">N5-T5</f>
        <v>0</v>
      </c>
      <c r="V5" s="449"/>
      <c r="W5" s="449">
        <f t="shared" ref="W5:W12" si="8">U5-V5-Z5-AA5</f>
        <v>0</v>
      </c>
      <c r="X5" s="449"/>
      <c r="Y5" s="449"/>
      <c r="Z5" s="449"/>
      <c r="AA5" s="448"/>
      <c r="AB5" s="484" t="s">
        <v>990</v>
      </c>
      <c r="AC5" s="448">
        <v>829000</v>
      </c>
      <c r="AD5" s="510"/>
      <c r="AE5" s="510"/>
      <c r="AF5" s="510"/>
      <c r="AG5" s="510"/>
      <c r="AH5" s="510"/>
      <c r="AI5" s="510"/>
      <c r="AJ5" s="510"/>
      <c r="AK5" s="510"/>
      <c r="AL5" s="510"/>
      <c r="AM5" s="509"/>
      <c r="AN5" s="509"/>
      <c r="AO5" s="509"/>
      <c r="AP5" s="509"/>
      <c r="AQ5" s="509"/>
      <c r="AR5" s="509"/>
      <c r="AS5" s="511"/>
      <c r="AT5" s="511"/>
      <c r="AU5" s="511"/>
    </row>
    <row r="6" spans="1:60" s="452" customFormat="1" ht="27.6">
      <c r="A6" s="455">
        <f>1+A5</f>
        <v>2</v>
      </c>
      <c r="B6" s="448">
        <v>1678</v>
      </c>
      <c r="C6" s="448" t="s">
        <v>335</v>
      </c>
      <c r="D6" s="449">
        <f>2285000+280000</f>
        <v>2565000</v>
      </c>
      <c r="E6" s="449">
        <v>2285000</v>
      </c>
      <c r="F6" s="449">
        <f>+D6-E6</f>
        <v>280000</v>
      </c>
      <c r="G6" s="449">
        <v>2285000</v>
      </c>
      <c r="H6" s="449">
        <v>2284551</v>
      </c>
      <c r="I6" s="449">
        <v>0</v>
      </c>
      <c r="J6" s="449"/>
      <c r="K6" s="449">
        <f t="shared" si="0"/>
        <v>0</v>
      </c>
      <c r="L6" s="449">
        <f t="shared" si="1"/>
        <v>2284551</v>
      </c>
      <c r="M6" s="449">
        <f t="shared" si="2"/>
        <v>449</v>
      </c>
      <c r="N6" s="449">
        <v>280000</v>
      </c>
      <c r="O6" s="449">
        <f t="shared" si="3"/>
        <v>0</v>
      </c>
      <c r="P6" s="449">
        <f t="shared" si="4"/>
        <v>449</v>
      </c>
      <c r="Q6" s="482"/>
      <c r="R6" s="449"/>
      <c r="S6" s="449">
        <f t="shared" si="5"/>
        <v>0</v>
      </c>
      <c r="T6" s="449">
        <f t="shared" si="6"/>
        <v>0</v>
      </c>
      <c r="U6" s="449">
        <f t="shared" si="7"/>
        <v>280000</v>
      </c>
      <c r="V6" s="449"/>
      <c r="W6" s="449">
        <f t="shared" si="8"/>
        <v>280000</v>
      </c>
      <c r="X6" s="449"/>
      <c r="Y6" s="449"/>
      <c r="Z6" s="449"/>
      <c r="AA6" s="448"/>
      <c r="AB6" s="448" t="s">
        <v>336</v>
      </c>
      <c r="AC6" s="448">
        <v>829000</v>
      </c>
      <c r="AD6" s="510"/>
      <c r="AE6" s="510"/>
      <c r="AF6" s="510"/>
      <c r="AG6" s="510"/>
      <c r="AH6" s="510"/>
      <c r="AI6" s="510"/>
      <c r="AJ6" s="510"/>
      <c r="AK6" s="510"/>
      <c r="AL6" s="510"/>
      <c r="AM6" s="509"/>
      <c r="AN6" s="509"/>
      <c r="AO6" s="509"/>
      <c r="AP6" s="509"/>
      <c r="AQ6" s="509"/>
      <c r="AR6" s="509"/>
      <c r="AS6" s="511"/>
      <c r="AT6" s="511"/>
      <c r="AU6" s="511"/>
    </row>
    <row r="7" spans="1:60" s="452" customFormat="1" ht="27.6">
      <c r="A7" s="455">
        <f t="shared" ref="A7:A15" si="9">1+A6</f>
        <v>3</v>
      </c>
      <c r="B7" s="486">
        <v>2004</v>
      </c>
      <c r="C7" s="448" t="s">
        <v>127</v>
      </c>
      <c r="D7" s="449">
        <f>1425000+70000+90000</f>
        <v>1585000</v>
      </c>
      <c r="E7" s="449">
        <v>1425000</v>
      </c>
      <c r="F7" s="449">
        <f>+D7-E7</f>
        <v>160000</v>
      </c>
      <c r="G7" s="449">
        <v>1335000</v>
      </c>
      <c r="H7" s="449">
        <v>1310871</v>
      </c>
      <c r="I7" s="449">
        <v>0</v>
      </c>
      <c r="J7" s="449">
        <v>47441</v>
      </c>
      <c r="K7" s="449">
        <f t="shared" si="0"/>
        <v>47441</v>
      </c>
      <c r="L7" s="449">
        <f t="shared" si="1"/>
        <v>1358312</v>
      </c>
      <c r="M7" s="449">
        <f>P7+S7-65000</f>
        <v>1688</v>
      </c>
      <c r="N7" s="449">
        <f>160000+65000</f>
        <v>225000</v>
      </c>
      <c r="O7" s="449">
        <f t="shared" si="3"/>
        <v>0</v>
      </c>
      <c r="P7" s="449">
        <f t="shared" si="4"/>
        <v>-23312</v>
      </c>
      <c r="Q7" s="449">
        <v>90000</v>
      </c>
      <c r="R7" s="449"/>
      <c r="S7" s="449">
        <f t="shared" si="5"/>
        <v>90000</v>
      </c>
      <c r="T7" s="449">
        <f t="shared" si="6"/>
        <v>65000</v>
      </c>
      <c r="U7" s="449">
        <f t="shared" si="7"/>
        <v>160000</v>
      </c>
      <c r="V7" s="449"/>
      <c r="W7" s="449">
        <f t="shared" si="8"/>
        <v>160000</v>
      </c>
      <c r="X7" s="449"/>
      <c r="Y7" s="449"/>
      <c r="Z7" s="449"/>
      <c r="AA7" s="448"/>
      <c r="AB7" s="448" t="s">
        <v>1398</v>
      </c>
      <c r="AC7" s="448">
        <v>829000</v>
      </c>
      <c r="AD7" s="510"/>
      <c r="AE7" s="510"/>
      <c r="AF7" s="510"/>
      <c r="AG7" s="510"/>
      <c r="AH7" s="510"/>
      <c r="AI7" s="510"/>
      <c r="AJ7" s="510"/>
      <c r="AK7" s="510"/>
      <c r="AL7" s="510"/>
      <c r="AM7" s="509"/>
      <c r="AN7" s="509"/>
      <c r="AO7" s="509"/>
      <c r="AP7" s="509"/>
      <c r="AQ7" s="509"/>
      <c r="AR7" s="509"/>
      <c r="AS7" s="511"/>
      <c r="AT7" s="511"/>
      <c r="AU7" s="511"/>
    </row>
    <row r="8" spans="1:60" s="452" customFormat="1" ht="41.4">
      <c r="A8" s="455">
        <f t="shared" si="9"/>
        <v>4</v>
      </c>
      <c r="B8" s="486">
        <v>2060</v>
      </c>
      <c r="C8" s="448" t="s">
        <v>334</v>
      </c>
      <c r="D8" s="449">
        <f>2871000+230000</f>
        <v>3101000</v>
      </c>
      <c r="E8" s="449">
        <v>2871000</v>
      </c>
      <c r="F8" s="449">
        <f>+D8-E8</f>
        <v>230000</v>
      </c>
      <c r="G8" s="449">
        <v>2871000</v>
      </c>
      <c r="H8" s="449">
        <v>2853091</v>
      </c>
      <c r="I8" s="449">
        <v>0</v>
      </c>
      <c r="J8" s="449"/>
      <c r="K8" s="449">
        <f t="shared" si="0"/>
        <v>0</v>
      </c>
      <c r="L8" s="449">
        <f t="shared" si="1"/>
        <v>2853091</v>
      </c>
      <c r="M8" s="449">
        <f>P8+S8-15000</f>
        <v>2909</v>
      </c>
      <c r="N8" s="449">
        <f>230000-80000+15000</f>
        <v>165000</v>
      </c>
      <c r="O8" s="449">
        <f t="shared" si="3"/>
        <v>80000</v>
      </c>
      <c r="P8" s="449">
        <f t="shared" si="4"/>
        <v>17909</v>
      </c>
      <c r="Q8" s="482"/>
      <c r="R8" s="449"/>
      <c r="S8" s="449">
        <f t="shared" si="5"/>
        <v>0</v>
      </c>
      <c r="T8" s="449">
        <f t="shared" si="6"/>
        <v>15000</v>
      </c>
      <c r="U8" s="449">
        <f t="shared" si="7"/>
        <v>150000</v>
      </c>
      <c r="V8" s="449"/>
      <c r="W8" s="449">
        <f t="shared" si="8"/>
        <v>150000</v>
      </c>
      <c r="X8" s="449"/>
      <c r="Y8" s="449"/>
      <c r="Z8" s="449"/>
      <c r="AA8" s="448"/>
      <c r="AB8" s="448" t="s">
        <v>1399</v>
      </c>
      <c r="AC8" s="448">
        <v>829000</v>
      </c>
      <c r="AD8" s="510"/>
      <c r="AE8" s="510"/>
      <c r="AF8" s="510"/>
      <c r="AG8" s="510"/>
      <c r="AH8" s="510"/>
      <c r="AI8" s="510"/>
      <c r="AJ8" s="510"/>
      <c r="AK8" s="510"/>
      <c r="AL8" s="510"/>
      <c r="AM8" s="509"/>
      <c r="AN8" s="509"/>
      <c r="AO8" s="509"/>
      <c r="AP8" s="509"/>
      <c r="AQ8" s="509"/>
      <c r="AR8" s="509"/>
      <c r="AS8" s="511"/>
      <c r="AT8" s="511"/>
      <c r="AU8" s="511"/>
    </row>
    <row r="9" spans="1:60" s="452" customFormat="1" ht="55.2">
      <c r="A9" s="455">
        <f t="shared" si="9"/>
        <v>5</v>
      </c>
      <c r="B9" s="455">
        <v>20033</v>
      </c>
      <c r="C9" s="448" t="s">
        <v>749</v>
      </c>
      <c r="D9" s="449">
        <f>1485000+330000+30000</f>
        <v>1845000</v>
      </c>
      <c r="E9" s="449">
        <v>1485000</v>
      </c>
      <c r="F9" s="449">
        <f>D9-E9</f>
        <v>360000</v>
      </c>
      <c r="G9" s="449">
        <v>1485000</v>
      </c>
      <c r="H9" s="449">
        <v>1484993</v>
      </c>
      <c r="I9" s="449">
        <v>0</v>
      </c>
      <c r="J9" s="449">
        <v>0</v>
      </c>
      <c r="K9" s="449">
        <f t="shared" si="0"/>
        <v>0</v>
      </c>
      <c r="L9" s="449">
        <f t="shared" si="1"/>
        <v>1484993</v>
      </c>
      <c r="M9" s="449">
        <f t="shared" si="2"/>
        <v>7</v>
      </c>
      <c r="N9" s="449">
        <f>93000+37000+100000+100000+30000</f>
        <v>360000</v>
      </c>
      <c r="O9" s="449">
        <f t="shared" si="3"/>
        <v>0</v>
      </c>
      <c r="P9" s="449">
        <f t="shared" si="4"/>
        <v>7</v>
      </c>
      <c r="Q9" s="482"/>
      <c r="R9" s="449"/>
      <c r="S9" s="449">
        <f t="shared" si="5"/>
        <v>0</v>
      </c>
      <c r="T9" s="449">
        <f t="shared" si="6"/>
        <v>0</v>
      </c>
      <c r="U9" s="449">
        <f t="shared" si="7"/>
        <v>360000</v>
      </c>
      <c r="V9" s="449"/>
      <c r="W9" s="449">
        <f t="shared" si="8"/>
        <v>360000</v>
      </c>
      <c r="X9" s="449"/>
      <c r="Y9" s="449"/>
      <c r="Z9" s="449"/>
      <c r="AA9" s="448"/>
      <c r="AB9" s="448" t="s">
        <v>991</v>
      </c>
      <c r="AC9" s="448">
        <v>829000</v>
      </c>
      <c r="AD9" s="510"/>
      <c r="AE9" s="510"/>
      <c r="AF9" s="510"/>
      <c r="AG9" s="510"/>
      <c r="AH9" s="510"/>
      <c r="AI9" s="510"/>
      <c r="AJ9" s="510"/>
      <c r="AK9" s="510"/>
      <c r="AL9" s="510"/>
      <c r="AM9" s="509"/>
      <c r="AN9" s="509"/>
      <c r="AO9" s="509"/>
      <c r="AP9" s="509"/>
      <c r="AQ9" s="509"/>
      <c r="AR9" s="509"/>
      <c r="AS9" s="511"/>
      <c r="AT9" s="511"/>
      <c r="AU9" s="511"/>
    </row>
    <row r="10" spans="1:60" s="452" customFormat="1" ht="41.4">
      <c r="A10" s="455">
        <f t="shared" si="9"/>
        <v>6</v>
      </c>
      <c r="B10" s="455">
        <v>20045</v>
      </c>
      <c r="C10" s="455" t="s">
        <v>1378</v>
      </c>
      <c r="D10" s="449">
        <f>962000+62866+149000</f>
        <v>1173866</v>
      </c>
      <c r="E10" s="449">
        <v>962000</v>
      </c>
      <c r="F10" s="449"/>
      <c r="G10" s="449">
        <v>812000</v>
      </c>
      <c r="H10" s="449">
        <v>633664</v>
      </c>
      <c r="I10" s="449">
        <v>0</v>
      </c>
      <c r="J10" s="449"/>
      <c r="K10" s="449">
        <f t="shared" si="0"/>
        <v>0</v>
      </c>
      <c r="L10" s="449">
        <f t="shared" si="1"/>
        <v>633664</v>
      </c>
      <c r="M10" s="449">
        <f>P10+S10-170000-5000</f>
        <v>3336</v>
      </c>
      <c r="N10" s="449">
        <f>149000+170000+1000+62866+5000</f>
        <v>387866</v>
      </c>
      <c r="O10" s="449">
        <f t="shared" si="3"/>
        <v>149000</v>
      </c>
      <c r="P10" s="449">
        <f t="shared" si="4"/>
        <v>178336</v>
      </c>
      <c r="Q10" s="482"/>
      <c r="R10" s="449"/>
      <c r="S10" s="449">
        <f t="shared" si="5"/>
        <v>0</v>
      </c>
      <c r="T10" s="449">
        <f t="shared" si="6"/>
        <v>175000</v>
      </c>
      <c r="U10" s="449">
        <f t="shared" si="7"/>
        <v>212866</v>
      </c>
      <c r="V10" s="449"/>
      <c r="W10" s="449">
        <f t="shared" si="8"/>
        <v>212866</v>
      </c>
      <c r="X10" s="449"/>
      <c r="Y10" s="449"/>
      <c r="Z10" s="449"/>
      <c r="AA10" s="448"/>
      <c r="AB10" s="448" t="s">
        <v>1403</v>
      </c>
      <c r="AC10" s="448">
        <v>829000</v>
      </c>
      <c r="AD10" s="510"/>
      <c r="AE10" s="510"/>
      <c r="AF10" s="510"/>
      <c r="AG10" s="510"/>
      <c r="AH10" s="510"/>
      <c r="AI10" s="510"/>
      <c r="AJ10" s="510"/>
      <c r="AK10" s="510"/>
      <c r="AL10" s="510"/>
      <c r="AM10" s="509"/>
      <c r="AN10" s="509"/>
      <c r="AO10" s="509"/>
      <c r="AP10" s="509"/>
      <c r="AQ10" s="509"/>
      <c r="AR10" s="509"/>
      <c r="AS10" s="511"/>
      <c r="AT10" s="511"/>
      <c r="AU10" s="511"/>
    </row>
    <row r="11" spans="1:60" s="452" customFormat="1" ht="41.4">
      <c r="A11" s="455">
        <f t="shared" si="9"/>
        <v>7</v>
      </c>
      <c r="B11" s="455">
        <v>20046</v>
      </c>
      <c r="C11" s="448" t="s">
        <v>644</v>
      </c>
      <c r="D11" s="449">
        <v>475000</v>
      </c>
      <c r="E11" s="449">
        <v>475000</v>
      </c>
      <c r="F11" s="449"/>
      <c r="G11" s="449">
        <v>475000</v>
      </c>
      <c r="H11" s="449">
        <v>458836</v>
      </c>
      <c r="I11" s="449">
        <v>0</v>
      </c>
      <c r="J11" s="449"/>
      <c r="K11" s="449">
        <f t="shared" si="0"/>
        <v>0</v>
      </c>
      <c r="L11" s="449">
        <f t="shared" si="1"/>
        <v>458836</v>
      </c>
      <c r="M11" s="449">
        <f>P11+S11-15968-196</f>
        <v>0</v>
      </c>
      <c r="N11" s="449">
        <v>0</v>
      </c>
      <c r="O11" s="449">
        <f t="shared" si="3"/>
        <v>16164</v>
      </c>
      <c r="P11" s="449">
        <f t="shared" si="4"/>
        <v>16164</v>
      </c>
      <c r="Q11" s="482"/>
      <c r="R11" s="449"/>
      <c r="S11" s="449">
        <f t="shared" si="5"/>
        <v>0</v>
      </c>
      <c r="T11" s="449">
        <f t="shared" si="6"/>
        <v>16164</v>
      </c>
      <c r="U11" s="449">
        <f t="shared" si="7"/>
        <v>-16164</v>
      </c>
      <c r="V11" s="449"/>
      <c r="W11" s="449">
        <f t="shared" si="8"/>
        <v>-16164</v>
      </c>
      <c r="X11" s="449"/>
      <c r="Y11" s="449"/>
      <c r="Z11" s="449"/>
      <c r="AA11" s="448"/>
      <c r="AB11" s="448" t="s">
        <v>1404</v>
      </c>
      <c r="AC11" s="448">
        <v>829000</v>
      </c>
      <c r="AD11" s="510"/>
      <c r="AE11" s="510"/>
      <c r="AF11" s="510"/>
      <c r="AG11" s="510"/>
      <c r="AH11" s="510"/>
      <c r="AI11" s="510"/>
      <c r="AJ11" s="510"/>
      <c r="AK11" s="510"/>
      <c r="AL11" s="510"/>
      <c r="AM11" s="509"/>
      <c r="AN11" s="509"/>
      <c r="AO11" s="509"/>
      <c r="AP11" s="509"/>
      <c r="AQ11" s="509"/>
      <c r="AR11" s="509"/>
      <c r="AS11" s="511"/>
      <c r="AT11" s="511"/>
      <c r="AU11" s="511"/>
    </row>
    <row r="12" spans="1:60" s="452" customFormat="1" ht="41.4">
      <c r="A12" s="455">
        <f t="shared" si="9"/>
        <v>8</v>
      </c>
      <c r="B12" s="455">
        <v>20099</v>
      </c>
      <c r="C12" s="448" t="s">
        <v>944</v>
      </c>
      <c r="D12" s="449">
        <f>580000-62866+1200+5</f>
        <v>518339</v>
      </c>
      <c r="E12" s="449">
        <v>580000</v>
      </c>
      <c r="F12" s="449"/>
      <c r="G12" s="449">
        <v>580000</v>
      </c>
      <c r="H12" s="449">
        <v>512133</v>
      </c>
      <c r="I12" s="449">
        <v>0</v>
      </c>
      <c r="J12" s="449">
        <v>6206</v>
      </c>
      <c r="K12" s="449">
        <f t="shared" si="0"/>
        <v>6206</v>
      </c>
      <c r="L12" s="449">
        <f t="shared" si="1"/>
        <v>518339</v>
      </c>
      <c r="M12" s="449">
        <f>P12+S12-67866+6205</f>
        <v>0</v>
      </c>
      <c r="N12" s="449">
        <f>5000+1200-6200</f>
        <v>0</v>
      </c>
      <c r="O12" s="449">
        <f t="shared" si="3"/>
        <v>0</v>
      </c>
      <c r="P12" s="449">
        <f t="shared" si="4"/>
        <v>61661</v>
      </c>
      <c r="Q12" s="482"/>
      <c r="R12" s="449"/>
      <c r="S12" s="449">
        <f t="shared" si="5"/>
        <v>0</v>
      </c>
      <c r="T12" s="449">
        <f t="shared" si="6"/>
        <v>61661</v>
      </c>
      <c r="U12" s="449">
        <f t="shared" si="7"/>
        <v>-61661</v>
      </c>
      <c r="V12" s="449"/>
      <c r="W12" s="449">
        <f t="shared" si="8"/>
        <v>-61661</v>
      </c>
      <c r="X12" s="449"/>
      <c r="Y12" s="449"/>
      <c r="Z12" s="449"/>
      <c r="AA12" s="449">
        <f>235540-235540</f>
        <v>0</v>
      </c>
      <c r="AB12" s="448" t="s">
        <v>1400</v>
      </c>
      <c r="AC12" s="448">
        <v>829000</v>
      </c>
      <c r="AD12" s="510"/>
      <c r="AE12" s="510"/>
      <c r="AF12" s="510"/>
      <c r="AG12" s="510"/>
      <c r="AH12" s="510"/>
      <c r="AI12" s="510"/>
      <c r="AJ12" s="510"/>
      <c r="AK12" s="510"/>
      <c r="AL12" s="510"/>
      <c r="AM12" s="509"/>
      <c r="AN12" s="509"/>
      <c r="AO12" s="509"/>
      <c r="AP12" s="509"/>
      <c r="AQ12" s="509"/>
      <c r="AR12" s="509"/>
      <c r="AS12" s="511"/>
      <c r="AT12" s="511"/>
      <c r="AU12" s="511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</row>
    <row r="13" spans="1:60" s="452" customFormat="1" ht="41.4">
      <c r="A13" s="455">
        <f t="shared" si="9"/>
        <v>9</v>
      </c>
      <c r="B13" s="455">
        <v>20124</v>
      </c>
      <c r="C13" s="135" t="s">
        <v>992</v>
      </c>
      <c r="D13" s="120">
        <f>2560000+1500000*2</f>
        <v>5560000</v>
      </c>
      <c r="E13" s="120"/>
      <c r="F13" s="120">
        <f>D13-E13</f>
        <v>5560000</v>
      </c>
      <c r="G13" s="120">
        <v>0</v>
      </c>
      <c r="H13" s="120"/>
      <c r="I13" s="120"/>
      <c r="J13" s="120"/>
      <c r="K13" s="120">
        <f>I13+J13</f>
        <v>0</v>
      </c>
      <c r="L13" s="120">
        <f>H13+K13</f>
        <v>0</v>
      </c>
      <c r="M13" s="120">
        <f>P13+S13</f>
        <v>0</v>
      </c>
      <c r="N13" s="120">
        <f>5560000-2560000</f>
        <v>3000000</v>
      </c>
      <c r="O13" s="120">
        <f>D13-L13-M13-N13</f>
        <v>2560000</v>
      </c>
      <c r="P13" s="120">
        <f>G13-L13</f>
        <v>0</v>
      </c>
      <c r="Q13" s="120"/>
      <c r="R13" s="120"/>
      <c r="S13" s="120">
        <f>SUM(Q13:R13)</f>
        <v>0</v>
      </c>
      <c r="T13" s="120">
        <f>P13-M13+S13</f>
        <v>0</v>
      </c>
      <c r="U13" s="120">
        <f>N13-T13</f>
        <v>3000000</v>
      </c>
      <c r="V13" s="120">
        <f>U13-W13-Z13-AA13</f>
        <v>3000000</v>
      </c>
      <c r="W13" s="120"/>
      <c r="X13" s="120"/>
      <c r="Y13" s="120"/>
      <c r="Z13" s="120"/>
      <c r="AA13" s="120"/>
      <c r="AB13" s="448" t="s">
        <v>1525</v>
      </c>
      <c r="AC13" s="448">
        <v>829000</v>
      </c>
      <c r="AD13" s="510"/>
      <c r="AE13" s="510"/>
      <c r="AF13" s="510"/>
      <c r="AG13" s="510"/>
      <c r="AH13" s="510"/>
      <c r="AI13" s="510"/>
      <c r="AJ13" s="510"/>
      <c r="AK13" s="510"/>
      <c r="AL13" s="510"/>
      <c r="AM13" s="509"/>
      <c r="AN13" s="465"/>
      <c r="AO13" s="465"/>
      <c r="AP13" s="465"/>
      <c r="AQ13" s="465"/>
      <c r="AR13" s="465"/>
      <c r="AS13" s="465"/>
      <c r="AT13" s="465"/>
      <c r="AU13" s="465"/>
      <c r="AV13" s="272"/>
      <c r="AW13" s="272"/>
      <c r="AX13" s="272"/>
      <c r="AY13" s="272"/>
      <c r="AZ13" s="272"/>
      <c r="BA13" s="272"/>
      <c r="BB13" s="272"/>
      <c r="BC13" s="272"/>
      <c r="BD13" s="272"/>
    </row>
    <row r="14" spans="1:60" s="452" customFormat="1" ht="41.4">
      <c r="A14" s="455">
        <f t="shared" si="9"/>
        <v>10</v>
      </c>
      <c r="B14" s="455">
        <v>20125</v>
      </c>
      <c r="C14" s="135" t="s">
        <v>993</v>
      </c>
      <c r="D14" s="120">
        <v>202000</v>
      </c>
      <c r="E14" s="120"/>
      <c r="F14" s="120">
        <f>D14-E14</f>
        <v>202000</v>
      </c>
      <c r="G14" s="120">
        <v>0</v>
      </c>
      <c r="H14" s="120"/>
      <c r="I14" s="120"/>
      <c r="J14" s="120"/>
      <c r="K14" s="120">
        <f>I14+J14</f>
        <v>0</v>
      </c>
      <c r="L14" s="120">
        <f>H14+K14</f>
        <v>0</v>
      </c>
      <c r="M14" s="120">
        <f>P14+S14</f>
        <v>0</v>
      </c>
      <c r="N14" s="120">
        <v>202000</v>
      </c>
      <c r="O14" s="120">
        <f>D14-L14-M14-N14</f>
        <v>0</v>
      </c>
      <c r="P14" s="120">
        <f>G14-L14</f>
        <v>0</v>
      </c>
      <c r="Q14" s="120"/>
      <c r="R14" s="120"/>
      <c r="S14" s="120">
        <f>SUM(Q14:R14)</f>
        <v>0</v>
      </c>
      <c r="T14" s="120">
        <f>P14-M14+S14</f>
        <v>0</v>
      </c>
      <c r="U14" s="120">
        <f>N14-T14</f>
        <v>202000</v>
      </c>
      <c r="V14" s="120">
        <f>U14-W14-Z14-AA14</f>
        <v>0</v>
      </c>
      <c r="W14" s="120">
        <v>202000</v>
      </c>
      <c r="X14" s="120"/>
      <c r="Y14" s="120"/>
      <c r="Z14" s="120"/>
      <c r="AA14" s="120"/>
      <c r="AB14" s="448" t="s">
        <v>1524</v>
      </c>
      <c r="AC14" s="448">
        <v>829000</v>
      </c>
      <c r="AD14" s="510"/>
      <c r="AE14" s="510"/>
      <c r="AF14" s="510"/>
      <c r="AG14" s="510"/>
      <c r="AH14" s="510"/>
      <c r="AI14" s="510"/>
      <c r="AJ14" s="510"/>
      <c r="AK14" s="510"/>
      <c r="AL14" s="510"/>
      <c r="AM14" s="509"/>
      <c r="AN14" s="465"/>
      <c r="AO14" s="465"/>
      <c r="AP14" s="465"/>
      <c r="AQ14" s="465"/>
      <c r="AR14" s="465"/>
      <c r="AS14" s="465"/>
      <c r="AT14" s="465"/>
      <c r="AU14" s="465"/>
      <c r="AV14" s="272"/>
      <c r="AW14" s="272"/>
      <c r="AX14" s="272"/>
      <c r="AY14" s="272"/>
      <c r="AZ14" s="272"/>
      <c r="BA14" s="272"/>
      <c r="BB14" s="272"/>
      <c r="BC14" s="272"/>
      <c r="BD14" s="272"/>
    </row>
    <row r="15" spans="1:60" s="452" customFormat="1" ht="27.6">
      <c r="A15" s="455">
        <f t="shared" si="9"/>
        <v>11</v>
      </c>
      <c r="B15" s="455">
        <v>20126</v>
      </c>
      <c r="C15" s="135" t="s">
        <v>1344</v>
      </c>
      <c r="D15" s="120">
        <f>112000+38000</f>
        <v>150000</v>
      </c>
      <c r="E15" s="120"/>
      <c r="F15" s="120">
        <f>D15-E15</f>
        <v>150000</v>
      </c>
      <c r="G15" s="120">
        <v>0</v>
      </c>
      <c r="H15" s="120"/>
      <c r="I15" s="120"/>
      <c r="J15" s="120"/>
      <c r="K15" s="120">
        <f>I15+J15</f>
        <v>0</v>
      </c>
      <c r="L15" s="120">
        <f>H15+K15</f>
        <v>0</v>
      </c>
      <c r="M15" s="120">
        <f>P15+S15</f>
        <v>0</v>
      </c>
      <c r="N15" s="120">
        <f>112000+38000</f>
        <v>150000</v>
      </c>
      <c r="O15" s="120">
        <f>D15-L15-M15-N15</f>
        <v>0</v>
      </c>
      <c r="P15" s="120">
        <f>G15-L15</f>
        <v>0</v>
      </c>
      <c r="Q15" s="120"/>
      <c r="R15" s="120"/>
      <c r="S15" s="120">
        <f>SUM(Q15:R15)</f>
        <v>0</v>
      </c>
      <c r="T15" s="120">
        <f>P15-M15+S15</f>
        <v>0</v>
      </c>
      <c r="U15" s="120">
        <f>N15-T15</f>
        <v>150000</v>
      </c>
      <c r="V15" s="120">
        <f>U15-W15-Z15-AA15</f>
        <v>0</v>
      </c>
      <c r="W15" s="120">
        <v>150000</v>
      </c>
      <c r="X15" s="120"/>
      <c r="Y15" s="120"/>
      <c r="Z15" s="120"/>
      <c r="AA15" s="120"/>
      <c r="AB15" s="448" t="s">
        <v>1345</v>
      </c>
      <c r="AC15" s="448">
        <v>829000</v>
      </c>
      <c r="AD15" s="510"/>
      <c r="AE15" s="510"/>
      <c r="AF15" s="510"/>
      <c r="AG15" s="510"/>
      <c r="AH15" s="510"/>
      <c r="AI15" s="510"/>
      <c r="AJ15" s="510"/>
      <c r="AK15" s="510"/>
      <c r="AL15" s="510"/>
      <c r="AM15" s="509"/>
      <c r="AN15" s="465"/>
      <c r="AO15" s="465"/>
      <c r="AP15" s="465"/>
      <c r="AQ15" s="465"/>
      <c r="AR15" s="465"/>
      <c r="AS15" s="465"/>
      <c r="AT15" s="465"/>
      <c r="AU15" s="465"/>
      <c r="AV15" s="272"/>
      <c r="AW15" s="272"/>
      <c r="AX15" s="272"/>
      <c r="AY15" s="272"/>
      <c r="AZ15" s="272"/>
      <c r="BA15" s="272"/>
      <c r="BB15" s="272"/>
      <c r="BC15" s="272"/>
      <c r="BD15" s="272"/>
    </row>
    <row r="16" spans="1:60" s="518" customFormat="1" ht="30" customHeight="1">
      <c r="A16" s="516">
        <f>COUNT(A5:A15)</f>
        <v>11</v>
      </c>
      <c r="B16" s="515"/>
      <c r="C16" s="515" t="s">
        <v>994</v>
      </c>
      <c r="D16" s="516">
        <f t="shared" ref="D16:AA16" si="10">SUM(D5:D15)</f>
        <v>19230205</v>
      </c>
      <c r="E16" s="516">
        <f t="shared" si="10"/>
        <v>12138000</v>
      </c>
      <c r="F16" s="516">
        <f t="shared" si="10"/>
        <v>6942000</v>
      </c>
      <c r="G16" s="516">
        <f t="shared" si="10"/>
        <v>11077000</v>
      </c>
      <c r="H16" s="516">
        <f t="shared" si="10"/>
        <v>10772057</v>
      </c>
      <c r="I16" s="516">
        <f t="shared" si="10"/>
        <v>0</v>
      </c>
      <c r="J16" s="516">
        <f t="shared" si="10"/>
        <v>53647</v>
      </c>
      <c r="K16" s="516">
        <f t="shared" si="10"/>
        <v>53647</v>
      </c>
      <c r="L16" s="516">
        <f t="shared" si="10"/>
        <v>10825704</v>
      </c>
      <c r="M16" s="516">
        <f t="shared" si="10"/>
        <v>8471</v>
      </c>
      <c r="N16" s="516">
        <f t="shared" si="10"/>
        <v>4769866</v>
      </c>
      <c r="O16" s="516">
        <f t="shared" si="10"/>
        <v>3626164</v>
      </c>
      <c r="P16" s="516">
        <f t="shared" si="10"/>
        <v>251296</v>
      </c>
      <c r="Q16" s="516">
        <f t="shared" si="10"/>
        <v>90000</v>
      </c>
      <c r="R16" s="516">
        <f t="shared" si="10"/>
        <v>0</v>
      </c>
      <c r="S16" s="516">
        <f t="shared" si="10"/>
        <v>90000</v>
      </c>
      <c r="T16" s="516">
        <f t="shared" si="10"/>
        <v>332825</v>
      </c>
      <c r="U16" s="516">
        <f t="shared" si="10"/>
        <v>4437041</v>
      </c>
      <c r="V16" s="516">
        <f t="shared" si="10"/>
        <v>3000000</v>
      </c>
      <c r="W16" s="516">
        <f t="shared" si="10"/>
        <v>1437041</v>
      </c>
      <c r="X16" s="516">
        <f t="shared" si="10"/>
        <v>0</v>
      </c>
      <c r="Y16" s="516">
        <f t="shared" si="10"/>
        <v>0</v>
      </c>
      <c r="Z16" s="516">
        <f t="shared" si="10"/>
        <v>0</v>
      </c>
      <c r="AA16" s="516">
        <f t="shared" si="10"/>
        <v>0</v>
      </c>
      <c r="AB16" s="515"/>
      <c r="AC16" s="515"/>
      <c r="AD16" s="510"/>
      <c r="AE16" s="510"/>
      <c r="AF16" s="510"/>
      <c r="AG16" s="510"/>
      <c r="AH16" s="510"/>
      <c r="AI16" s="510"/>
      <c r="AJ16" s="510"/>
      <c r="AK16" s="510"/>
      <c r="AL16" s="510"/>
      <c r="AM16" s="509"/>
      <c r="AN16" s="517"/>
      <c r="AO16" s="517"/>
      <c r="AP16" s="517"/>
      <c r="AQ16" s="517"/>
      <c r="AR16" s="517"/>
      <c r="AS16" s="511"/>
      <c r="AT16" s="511"/>
      <c r="AU16" s="511"/>
    </row>
    <row r="17" spans="1:47" s="518" customFormat="1" ht="30" customHeight="1">
      <c r="A17" s="564"/>
      <c r="B17" s="564"/>
      <c r="C17" s="564"/>
      <c r="D17" s="492">
        <f>SUM(L16:O16)</f>
        <v>19230205</v>
      </c>
      <c r="E17" s="467"/>
      <c r="F17" s="492">
        <f>D16-E16</f>
        <v>7092205</v>
      </c>
      <c r="G17" s="493"/>
      <c r="H17" s="493"/>
      <c r="I17" s="493"/>
      <c r="J17" s="493"/>
      <c r="K17" s="493"/>
      <c r="L17" s="492">
        <f>H16+K16</f>
        <v>10825704</v>
      </c>
      <c r="M17" s="493"/>
      <c r="N17" s="493"/>
      <c r="O17" s="493"/>
      <c r="P17" s="492">
        <f>G16-L17</f>
        <v>251296</v>
      </c>
      <c r="Q17" s="493"/>
      <c r="R17" s="493"/>
      <c r="S17" s="493"/>
      <c r="T17" s="492">
        <f>P17+S16-M16</f>
        <v>332825</v>
      </c>
      <c r="U17" s="492">
        <f>N16-T17</f>
        <v>4437041</v>
      </c>
      <c r="V17" s="565"/>
      <c r="W17" s="565"/>
      <c r="X17" s="564"/>
      <c r="Y17" s="564"/>
      <c r="Z17" s="564"/>
      <c r="AA17" s="564"/>
      <c r="AB17" s="564"/>
      <c r="AC17" s="564"/>
      <c r="AD17" s="510"/>
      <c r="AE17" s="510"/>
      <c r="AF17" s="510"/>
      <c r="AG17" s="510"/>
      <c r="AH17" s="510"/>
      <c r="AI17" s="510"/>
      <c r="AJ17" s="510"/>
      <c r="AK17" s="510"/>
      <c r="AL17" s="510"/>
      <c r="AM17" s="509"/>
      <c r="AN17" s="517"/>
      <c r="AO17" s="517"/>
      <c r="AP17" s="517"/>
      <c r="AQ17" s="517"/>
      <c r="AR17" s="517"/>
      <c r="AS17" s="511"/>
      <c r="AT17" s="511"/>
      <c r="AU17" s="511"/>
    </row>
    <row r="18" spans="1:47" s="518" customFormat="1" ht="30" customHeight="1">
      <c r="A18" s="564"/>
      <c r="B18" s="564"/>
      <c r="C18" s="564"/>
      <c r="D18" s="492">
        <f>D16-D17</f>
        <v>0</v>
      </c>
      <c r="E18" s="467"/>
      <c r="F18" s="493"/>
      <c r="G18" s="493"/>
      <c r="H18" s="493"/>
      <c r="I18" s="493"/>
      <c r="J18" s="493"/>
      <c r="K18" s="493"/>
      <c r="L18" s="492">
        <f>L16-L17</f>
        <v>0</v>
      </c>
      <c r="M18" s="493"/>
      <c r="N18" s="493"/>
      <c r="O18" s="493"/>
      <c r="P18" s="492">
        <f>P16-P17</f>
        <v>0</v>
      </c>
      <c r="Q18" s="493"/>
      <c r="R18" s="493"/>
      <c r="S18" s="493"/>
      <c r="T18" s="492">
        <f>T16-T17</f>
        <v>0</v>
      </c>
      <c r="U18" s="492">
        <f>U16-U17</f>
        <v>0</v>
      </c>
      <c r="V18" s="565"/>
      <c r="W18" s="565"/>
      <c r="X18" s="564"/>
      <c r="Y18" s="564"/>
      <c r="Z18" s="564"/>
      <c r="AA18" s="564"/>
      <c r="AB18" s="564"/>
      <c r="AC18" s="564"/>
      <c r="AD18" s="510"/>
      <c r="AE18" s="510"/>
      <c r="AF18" s="510"/>
      <c r="AG18" s="510"/>
      <c r="AH18" s="510"/>
      <c r="AI18" s="510"/>
      <c r="AJ18" s="510"/>
      <c r="AK18" s="510"/>
      <c r="AL18" s="510"/>
      <c r="AM18" s="509"/>
      <c r="AN18" s="517"/>
      <c r="AO18" s="517"/>
      <c r="AP18" s="517"/>
      <c r="AQ18" s="517"/>
      <c r="AR18" s="517"/>
      <c r="AS18" s="511"/>
      <c r="AT18" s="511"/>
      <c r="AU18" s="511"/>
    </row>
    <row r="129" spans="1:1">
      <c r="A129" s="475">
        <f>COUNT(A5:A128)</f>
        <v>12</v>
      </c>
    </row>
    <row r="132" spans="1:1">
      <c r="A132" s="475">
        <f>A129+1</f>
        <v>13</v>
      </c>
    </row>
    <row r="135" spans="1:1" ht="37.950000000000003" customHeight="1"/>
    <row r="138" spans="1:1" ht="70.95" customHeight="1"/>
    <row r="141" spans="1:1" ht="72" customHeight="1"/>
    <row r="143" spans="1:1" ht="43.95" customHeight="1"/>
    <row r="145" ht="30" customHeight="1"/>
  </sheetData>
  <sheetProtection formatCells="0" formatColumns="0" formatRows="0" insertColumns="0" insertRows="0" insertHyperlinks="0" deleteColumns="0" deleteRows="0" sort="0" autoFilter="0" pivotTables="0"/>
  <mergeCells count="1">
    <mergeCell ref="V3:AA3"/>
  </mergeCells>
  <conditionalFormatting sqref="A1:A2 AV1:XFD2 AN1:AR12 AN16:AR1048576">
    <cfRule type="cellIs" dxfId="377" priority="7" operator="equal">
      <formula>0</formula>
    </cfRule>
  </conditionalFormatting>
  <conditionalFormatting sqref="AQ1:AQ2">
    <cfRule type="cellIs" dxfId="376" priority="6" operator="equal">
      <formula>0</formula>
    </cfRule>
  </conditionalFormatting>
  <conditionalFormatting sqref="AN16:AR19 AN1:AR3 AN12:AR12">
    <cfRule type="cellIs" dxfId="375" priority="5" operator="equal">
      <formula>0</formula>
    </cfRule>
  </conditionalFormatting>
  <conditionalFormatting sqref="AE1:AL1048576">
    <cfRule type="cellIs" dxfId="374" priority="4" operator="equal">
      <formula>0</formula>
    </cfRule>
  </conditionalFormatting>
  <conditionalFormatting sqref="AM1:AM1048576">
    <cfRule type="cellIs" dxfId="373" priority="3" operator="equal">
      <formula>0</formula>
    </cfRule>
  </conditionalFormatting>
  <conditionalFormatting sqref="AM1:AM1048576">
    <cfRule type="cellIs" dxfId="372" priority="2" operator="equal">
      <formula>0</formula>
    </cfRule>
  </conditionalFormatting>
  <conditionalFormatting sqref="AD1:AD1048576">
    <cfRule type="cellIs" dxfId="371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7"/>
  <sheetViews>
    <sheetView showZeros="0" rightToLeft="1" workbookViewId="0">
      <selection activeCell="T10" sqref="T10"/>
    </sheetView>
  </sheetViews>
  <sheetFormatPr defaultColWidth="9.109375" defaultRowHeight="13.8"/>
  <cols>
    <col min="1" max="2" width="4.109375" style="176" customWidth="1"/>
    <col min="3" max="3" width="7.664062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1010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.6" thickBot="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16.2" thickBot="1">
      <c r="A5" s="175"/>
      <c r="B5" s="178" t="s">
        <v>129</v>
      </c>
      <c r="C5" s="175" t="s">
        <v>1275</v>
      </c>
      <c r="D5" s="175"/>
      <c r="E5" s="175"/>
      <c r="F5" s="179">
        <f>'תקציב אגף תנוק 2024 '!U8</f>
        <v>926000</v>
      </c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H6" s="175"/>
      <c r="I6" s="175"/>
      <c r="J6" s="175"/>
      <c r="K6" s="175"/>
      <c r="L6" s="175"/>
    </row>
    <row r="7" spans="1:17" ht="16.2" thickBot="1">
      <c r="B7" s="178" t="s">
        <v>129</v>
      </c>
      <c r="C7" s="175" t="s">
        <v>1640</v>
      </c>
      <c r="D7" s="175"/>
      <c r="F7" s="179">
        <f>'תקציב אגף תנוק 2024 '!A8</f>
        <v>3</v>
      </c>
      <c r="I7" s="175"/>
      <c r="J7" s="175"/>
      <c r="K7" s="175"/>
      <c r="L7" s="175"/>
      <c r="M7" s="175"/>
      <c r="N7" s="175"/>
      <c r="O7" s="175"/>
      <c r="P7" s="175"/>
      <c r="Q7" s="175"/>
    </row>
    <row r="8" spans="1:17" ht="15.6">
      <c r="B8" s="178"/>
      <c r="C8" s="175"/>
      <c r="D8" s="175"/>
      <c r="E8" s="175"/>
      <c r="F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.6">
      <c r="B9" s="178" t="s">
        <v>129</v>
      </c>
      <c r="C9" s="175" t="s">
        <v>219</v>
      </c>
      <c r="D9" s="175"/>
      <c r="E9" s="175"/>
      <c r="F9" s="175"/>
      <c r="G9" s="175"/>
      <c r="H9" s="175"/>
      <c r="I9" s="175"/>
      <c r="J9" s="175"/>
      <c r="K9" s="175"/>
      <c r="L9" s="175"/>
    </row>
    <row r="10" spans="1:17" ht="16.2" thickBot="1"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D11" s="186" t="s">
        <v>220</v>
      </c>
      <c r="E11" s="187" t="s">
        <v>221</v>
      </c>
      <c r="F11" s="188" t="s">
        <v>222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 hidden="1">
      <c r="D12" s="182" t="s">
        <v>13</v>
      </c>
      <c r="E12" s="283"/>
      <c r="F12" s="190">
        <f>E12/$E$14</f>
        <v>0</v>
      </c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.6">
      <c r="C13" s="178"/>
      <c r="D13" s="182" t="s">
        <v>14</v>
      </c>
      <c r="E13" s="189">
        <f>'תקציב אגף תנוק 2024 '!W8</f>
        <v>926000</v>
      </c>
      <c r="F13" s="190">
        <f>E13/$E$14</f>
        <v>1</v>
      </c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6.2" thickBot="1">
      <c r="C14" s="178"/>
      <c r="D14" s="184" t="s">
        <v>84</v>
      </c>
      <c r="E14" s="247">
        <f>SUM(E12:E13)</f>
        <v>926000</v>
      </c>
      <c r="F14" s="248">
        <f>SUM(F12:F13)</f>
        <v>1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B15" s="178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B16" s="178"/>
      <c r="C16" s="175"/>
      <c r="D16" s="175"/>
      <c r="F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B17" s="178" t="s">
        <v>129</v>
      </c>
      <c r="C17" s="175" t="s">
        <v>1545</v>
      </c>
      <c r="D17" s="175"/>
      <c r="F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5.6">
      <c r="B18" s="178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20" spans="1:17" ht="15.6">
      <c r="A20" s="175"/>
      <c r="B20" s="178" t="s">
        <v>129</v>
      </c>
      <c r="C20" s="175" t="s">
        <v>1605</v>
      </c>
      <c r="E20" s="175"/>
      <c r="F20" s="175"/>
      <c r="G20" s="175"/>
      <c r="H20" s="175"/>
      <c r="I20" s="175"/>
      <c r="J20" s="175"/>
      <c r="K20" s="175"/>
      <c r="L20" s="175"/>
    </row>
    <row r="21" spans="1:17" ht="15.6">
      <c r="C21" s="175" t="s">
        <v>1599</v>
      </c>
    </row>
    <row r="22" spans="1:17" s="240" customFormat="1" ht="15.6">
      <c r="C22" s="242"/>
      <c r="D22" s="735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</row>
    <row r="23" spans="1:17" s="240" customFormat="1" ht="15.6">
      <c r="C23" s="242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</row>
    <row r="24" spans="1:17" s="240" customFormat="1" ht="15.6">
      <c r="A24" s="239"/>
      <c r="B24" s="239"/>
      <c r="C24" s="239"/>
      <c r="D24" s="281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17" s="240" customFormat="1" ht="15.6">
      <c r="C25" s="242"/>
      <c r="D25" s="408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6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3.6640625" style="475" customWidth="1"/>
    <col min="2" max="2" width="5.6640625" style="424" customWidth="1"/>
    <col min="3" max="3" width="18.33203125" style="424" customWidth="1"/>
    <col min="4" max="5" width="10.6640625" style="423" customWidth="1"/>
    <col min="6" max="6" width="9.6640625" style="423" customWidth="1"/>
    <col min="7" max="8" width="10.109375" style="423" hidden="1" customWidth="1"/>
    <col min="9" max="11" width="9.6640625" style="423" hidden="1" customWidth="1"/>
    <col min="12" max="12" width="10.6640625" style="423" customWidth="1"/>
    <col min="13" max="13" width="10.88671875" style="423" customWidth="1"/>
    <col min="14" max="15" width="9.6640625" style="423" customWidth="1"/>
    <col min="16" max="19" width="9.6640625" style="423" hidden="1" customWidth="1"/>
    <col min="20" max="20" width="9" style="423" customWidth="1"/>
    <col min="21" max="23" width="9.6640625" style="424" customWidth="1"/>
    <col min="24" max="27" width="8.5546875" style="424" hidden="1" customWidth="1"/>
    <col min="28" max="28" width="35.6640625" style="475" customWidth="1"/>
    <col min="29" max="29" width="7.88671875" style="424" hidden="1" customWidth="1"/>
    <col min="30" max="30" width="25.88671875" style="510" customWidth="1"/>
    <col min="31" max="31" width="22" style="510" customWidth="1"/>
    <col min="32" max="32" width="10.6640625" style="510" customWidth="1"/>
    <col min="33" max="33" width="25.88671875" style="510" customWidth="1"/>
    <col min="34" max="34" width="10.6640625" style="510" customWidth="1"/>
    <col min="35" max="35" width="23.88671875" style="510" customWidth="1"/>
    <col min="36" max="36" width="12.33203125" style="510" customWidth="1"/>
    <col min="37" max="37" width="23.88671875" style="510" customWidth="1"/>
    <col min="38" max="38" width="26.6640625" style="509" customWidth="1"/>
    <col min="39" max="39" width="24.33203125" style="509" customWidth="1"/>
    <col min="40" max="42" width="10.6640625" style="509" customWidth="1"/>
    <col min="43" max="43" width="11.6640625" style="509" customWidth="1"/>
    <col min="44" max="44" width="10.6640625" style="509" customWidth="1"/>
    <col min="45" max="47" width="10.6640625" style="511" customWidth="1"/>
    <col min="48" max="16384" width="9.109375" style="424"/>
  </cols>
  <sheetData>
    <row r="1" spans="1:60" s="509" customFormat="1" ht="18">
      <c r="A1" s="507"/>
      <c r="B1" s="507"/>
      <c r="C1" s="507"/>
      <c r="D1" s="508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10"/>
      <c r="AE1" s="510"/>
      <c r="AF1" s="510"/>
      <c r="AG1" s="510"/>
      <c r="AH1" s="510"/>
      <c r="AI1" s="510"/>
      <c r="AJ1" s="510"/>
      <c r="AK1" s="510"/>
      <c r="AS1" s="511"/>
      <c r="AT1" s="511"/>
      <c r="AU1" s="511"/>
    </row>
    <row r="2" spans="1:60" s="509" customFormat="1" ht="18">
      <c r="A2" s="507" t="s">
        <v>995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10"/>
      <c r="AE2" s="510"/>
      <c r="AF2" s="510"/>
      <c r="AG2" s="510"/>
      <c r="AH2" s="510"/>
      <c r="AI2" s="510"/>
      <c r="AJ2" s="510"/>
      <c r="AK2" s="510"/>
      <c r="AS2" s="511"/>
      <c r="AT2" s="511"/>
      <c r="AU2" s="511"/>
    </row>
    <row r="3" spans="1:60" ht="20.399999999999999" customHeight="1">
      <c r="V3" s="507"/>
      <c r="W3" s="507"/>
      <c r="X3" s="507"/>
      <c r="Y3" s="507"/>
      <c r="Z3" s="507"/>
      <c r="AA3" s="507"/>
    </row>
    <row r="4" spans="1:60" s="511" customFormat="1" ht="75" customHeight="1">
      <c r="A4" s="130" t="s">
        <v>0</v>
      </c>
      <c r="B4" s="420" t="s">
        <v>413</v>
      </c>
      <c r="C4" s="420" t="s">
        <v>2</v>
      </c>
      <c r="D4" s="420" t="s">
        <v>3</v>
      </c>
      <c r="E4" s="420" t="s">
        <v>4</v>
      </c>
      <c r="F4" s="420" t="s">
        <v>5</v>
      </c>
      <c r="G4" s="420" t="s">
        <v>6</v>
      </c>
      <c r="H4" s="420" t="s">
        <v>7</v>
      </c>
      <c r="I4" s="420" t="s">
        <v>9</v>
      </c>
      <c r="J4" s="420" t="s">
        <v>125</v>
      </c>
      <c r="K4" s="420" t="s">
        <v>10</v>
      </c>
      <c r="L4" s="420" t="s">
        <v>11</v>
      </c>
      <c r="M4" s="420" t="s">
        <v>917</v>
      </c>
      <c r="N4" s="42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420" t="s">
        <v>13</v>
      </c>
      <c r="W4" s="420" t="s">
        <v>14</v>
      </c>
      <c r="X4" s="420" t="s">
        <v>15</v>
      </c>
      <c r="Y4" s="420" t="s">
        <v>214</v>
      </c>
      <c r="Z4" s="420" t="s">
        <v>502</v>
      </c>
      <c r="AA4" s="420" t="s">
        <v>75</v>
      </c>
      <c r="AB4" s="420" t="s">
        <v>242</v>
      </c>
      <c r="AC4" s="420" t="s">
        <v>16</v>
      </c>
      <c r="AD4" s="510"/>
      <c r="AE4" s="510"/>
      <c r="AF4" s="510"/>
      <c r="AG4" s="510"/>
      <c r="AH4" s="510"/>
      <c r="AI4" s="510"/>
      <c r="AJ4" s="510"/>
      <c r="AK4" s="510"/>
      <c r="AL4" s="509"/>
      <c r="AM4" s="509"/>
      <c r="AN4" s="509"/>
      <c r="AO4" s="509"/>
      <c r="AP4" s="509"/>
      <c r="AQ4" s="509"/>
      <c r="AR4" s="509"/>
    </row>
    <row r="5" spans="1:60" s="452" customFormat="1" ht="45" customHeight="1">
      <c r="A5" s="448">
        <v>1</v>
      </c>
      <c r="B5" s="448">
        <v>1486</v>
      </c>
      <c r="C5" s="448" t="s">
        <v>371</v>
      </c>
      <c r="D5" s="449">
        <f>9590365+200000+700000+80000</f>
        <v>10570365</v>
      </c>
      <c r="E5" s="449">
        <v>9590365</v>
      </c>
      <c r="F5" s="449">
        <f>D5-E5</f>
        <v>980000</v>
      </c>
      <c r="G5" s="449">
        <v>8590365</v>
      </c>
      <c r="H5" s="449">
        <v>8126724</v>
      </c>
      <c r="I5" s="449">
        <v>0</v>
      </c>
      <c r="J5" s="449">
        <v>225877</v>
      </c>
      <c r="K5" s="449">
        <f>I5+J5</f>
        <v>225877</v>
      </c>
      <c r="L5" s="449">
        <f>H5+K5</f>
        <v>8352601</v>
      </c>
      <c r="M5" s="449">
        <f>P5+S5-300000</f>
        <v>17764</v>
      </c>
      <c r="N5" s="449">
        <f>1200000+700000-300000-600000</f>
        <v>1000000</v>
      </c>
      <c r="O5" s="449">
        <f>D5-L5-M5-N5</f>
        <v>1200000</v>
      </c>
      <c r="P5" s="449">
        <f>G5-L5</f>
        <v>237764</v>
      </c>
      <c r="Q5" s="482">
        <v>80000</v>
      </c>
      <c r="R5" s="449"/>
      <c r="S5" s="449">
        <f>SUM(Q5:R5)</f>
        <v>80000</v>
      </c>
      <c r="T5" s="449">
        <f>P5-M5+S5</f>
        <v>300000</v>
      </c>
      <c r="U5" s="449">
        <f>N5-T5</f>
        <v>700000</v>
      </c>
      <c r="V5" s="449"/>
      <c r="W5" s="449">
        <f>U5-V5-Z5-AA5</f>
        <v>700000</v>
      </c>
      <c r="X5" s="449"/>
      <c r="Y5" s="449"/>
      <c r="Z5" s="449"/>
      <c r="AA5" s="448"/>
      <c r="AB5" s="448" t="s">
        <v>1606</v>
      </c>
      <c r="AC5" s="448">
        <v>930000</v>
      </c>
      <c r="AD5" s="510"/>
      <c r="AE5" s="510"/>
      <c r="AF5" s="510"/>
      <c r="AG5" s="510"/>
      <c r="AH5" s="510"/>
      <c r="AI5" s="510"/>
      <c r="AJ5" s="510"/>
      <c r="AK5" s="510"/>
      <c r="AL5" s="509"/>
      <c r="AM5" s="509"/>
      <c r="AN5" s="509"/>
      <c r="AO5" s="509"/>
      <c r="AP5" s="509"/>
      <c r="AQ5" s="509"/>
      <c r="AR5" s="509"/>
      <c r="AS5" s="511"/>
      <c r="AT5" s="511"/>
      <c r="AU5" s="511"/>
    </row>
    <row r="6" spans="1:60" s="452" customFormat="1" ht="45" customHeight="1">
      <c r="A6" s="448">
        <v>2</v>
      </c>
      <c r="B6" s="448">
        <v>2031</v>
      </c>
      <c r="C6" s="448" t="s">
        <v>279</v>
      </c>
      <c r="D6" s="449">
        <v>2700000</v>
      </c>
      <c r="E6" s="449">
        <v>2700000</v>
      </c>
      <c r="F6" s="449"/>
      <c r="G6" s="449">
        <v>2700000</v>
      </c>
      <c r="H6" s="449">
        <v>2620066</v>
      </c>
      <c r="I6" s="449">
        <v>0</v>
      </c>
      <c r="J6" s="449">
        <v>34663</v>
      </c>
      <c r="K6" s="449">
        <f>I6+J6</f>
        <v>34663</v>
      </c>
      <c r="L6" s="449">
        <f>H6+K6</f>
        <v>2654729</v>
      </c>
      <c r="M6" s="449">
        <f>P6+S6-45000</f>
        <v>271</v>
      </c>
      <c r="N6" s="449">
        <v>45000</v>
      </c>
      <c r="O6" s="449">
        <f>D6-L6-M6-N6</f>
        <v>0</v>
      </c>
      <c r="P6" s="449">
        <f>G6-L6</f>
        <v>45271</v>
      </c>
      <c r="Q6" s="482"/>
      <c r="R6" s="449"/>
      <c r="S6" s="449">
        <f>SUM(Q6:R6)</f>
        <v>0</v>
      </c>
      <c r="T6" s="449">
        <f>P6-M6+S6</f>
        <v>45000</v>
      </c>
      <c r="U6" s="449">
        <f>N6-T6</f>
        <v>0</v>
      </c>
      <c r="V6" s="449"/>
      <c r="W6" s="449">
        <f>U6-V6-Z6-AA6</f>
        <v>0</v>
      </c>
      <c r="X6" s="449"/>
      <c r="Y6" s="449"/>
      <c r="Z6" s="449"/>
      <c r="AA6" s="448"/>
      <c r="AB6" s="448" t="s">
        <v>441</v>
      </c>
      <c r="AC6" s="448">
        <v>826000</v>
      </c>
      <c r="AD6" s="510"/>
      <c r="AE6" s="510"/>
      <c r="AF6" s="510"/>
      <c r="AG6" s="510"/>
      <c r="AH6" s="510"/>
      <c r="AI6" s="510"/>
      <c r="AJ6" s="510"/>
      <c r="AK6" s="510"/>
      <c r="AL6" s="509"/>
      <c r="AM6" s="509"/>
      <c r="AN6" s="509"/>
      <c r="AO6" s="509"/>
      <c r="AP6" s="509"/>
      <c r="AQ6" s="509"/>
      <c r="AR6" s="509"/>
      <c r="AS6" s="511"/>
      <c r="AT6" s="511"/>
      <c r="AU6" s="511"/>
    </row>
    <row r="7" spans="1:60" s="452" customFormat="1" ht="41.4">
      <c r="A7" s="448">
        <v>3</v>
      </c>
      <c r="B7" s="455">
        <v>20075</v>
      </c>
      <c r="C7" s="448" t="s">
        <v>750</v>
      </c>
      <c r="D7" s="449">
        <f>300000+368000</f>
        <v>668000</v>
      </c>
      <c r="E7" s="449">
        <v>300000</v>
      </c>
      <c r="F7" s="449">
        <f>+D7-E7</f>
        <v>368000</v>
      </c>
      <c r="G7" s="449">
        <v>300000</v>
      </c>
      <c r="H7" s="449">
        <v>170353</v>
      </c>
      <c r="I7" s="449">
        <v>0</v>
      </c>
      <c r="J7" s="449">
        <v>55280</v>
      </c>
      <c r="K7" s="449">
        <f>I7+J7</f>
        <v>55280</v>
      </c>
      <c r="L7" s="449">
        <f>H7+K7</f>
        <v>225633</v>
      </c>
      <c r="M7" s="449">
        <f>P7+S7-74000</f>
        <v>367</v>
      </c>
      <c r="N7" s="449">
        <f>368000+74000-142000</f>
        <v>300000</v>
      </c>
      <c r="O7" s="449">
        <f>D7-L7-M7-N7</f>
        <v>142000</v>
      </c>
      <c r="P7" s="449">
        <f>G7-L7</f>
        <v>74367</v>
      </c>
      <c r="Q7" s="482"/>
      <c r="R7" s="449"/>
      <c r="S7" s="449">
        <f>SUM(Q7:R7)</f>
        <v>0</v>
      </c>
      <c r="T7" s="449">
        <f>P7-M7+S7</f>
        <v>74000</v>
      </c>
      <c r="U7" s="449">
        <f>N7-T7</f>
        <v>226000</v>
      </c>
      <c r="V7" s="449"/>
      <c r="W7" s="449">
        <f>U7-V7-Z7-AA7</f>
        <v>226000</v>
      </c>
      <c r="X7" s="449"/>
      <c r="Y7" s="449"/>
      <c r="Z7" s="449"/>
      <c r="AA7" s="448"/>
      <c r="AB7" s="448" t="s">
        <v>1607</v>
      </c>
      <c r="AC7" s="448">
        <v>826000</v>
      </c>
      <c r="AD7" s="510"/>
      <c r="AE7" s="510"/>
      <c r="AF7" s="510"/>
      <c r="AG7" s="510"/>
      <c r="AH7" s="510"/>
      <c r="AI7" s="510"/>
      <c r="AJ7" s="510"/>
      <c r="AK7" s="510"/>
      <c r="AL7" s="509"/>
      <c r="AM7" s="509"/>
      <c r="AN7" s="509"/>
      <c r="AO7" s="509"/>
      <c r="AP7" s="509"/>
      <c r="AQ7" s="509"/>
      <c r="AR7" s="509"/>
      <c r="AS7" s="511"/>
      <c r="AT7" s="511"/>
      <c r="AU7" s="511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</row>
    <row r="8" spans="1:60" s="456" customFormat="1" ht="45" customHeight="1">
      <c r="A8" s="512">
        <f>COUNT(A5:A7)</f>
        <v>3</v>
      </c>
      <c r="B8" s="454"/>
      <c r="C8" s="513" t="s">
        <v>998</v>
      </c>
      <c r="D8" s="425">
        <f t="shared" ref="D8:AB8" si="0">SUM(D5:D7)</f>
        <v>13938365</v>
      </c>
      <c r="E8" s="425">
        <f t="shared" si="0"/>
        <v>12590365</v>
      </c>
      <c r="F8" s="425">
        <f t="shared" si="0"/>
        <v>1348000</v>
      </c>
      <c r="G8" s="425">
        <f t="shared" si="0"/>
        <v>11590365</v>
      </c>
      <c r="H8" s="425">
        <f t="shared" si="0"/>
        <v>10917143</v>
      </c>
      <c r="I8" s="425">
        <f t="shared" si="0"/>
        <v>0</v>
      </c>
      <c r="J8" s="425">
        <f t="shared" si="0"/>
        <v>315820</v>
      </c>
      <c r="K8" s="425">
        <f t="shared" si="0"/>
        <v>315820</v>
      </c>
      <c r="L8" s="425">
        <f t="shared" si="0"/>
        <v>11232963</v>
      </c>
      <c r="M8" s="425">
        <f t="shared" si="0"/>
        <v>18402</v>
      </c>
      <c r="N8" s="425">
        <f t="shared" si="0"/>
        <v>1345000</v>
      </c>
      <c r="O8" s="425">
        <f t="shared" si="0"/>
        <v>1342000</v>
      </c>
      <c r="P8" s="425">
        <f t="shared" si="0"/>
        <v>357402</v>
      </c>
      <c r="Q8" s="425">
        <f t="shared" si="0"/>
        <v>80000</v>
      </c>
      <c r="R8" s="425">
        <f t="shared" si="0"/>
        <v>0</v>
      </c>
      <c r="S8" s="425">
        <f t="shared" si="0"/>
        <v>80000</v>
      </c>
      <c r="T8" s="425">
        <f t="shared" si="0"/>
        <v>419000</v>
      </c>
      <c r="U8" s="425">
        <f t="shared" si="0"/>
        <v>926000</v>
      </c>
      <c r="V8" s="425">
        <f t="shared" si="0"/>
        <v>0</v>
      </c>
      <c r="W8" s="425">
        <f t="shared" si="0"/>
        <v>926000</v>
      </c>
      <c r="X8" s="425">
        <f t="shared" si="0"/>
        <v>0</v>
      </c>
      <c r="Y8" s="425">
        <f t="shared" si="0"/>
        <v>0</v>
      </c>
      <c r="Z8" s="425">
        <f t="shared" si="0"/>
        <v>0</v>
      </c>
      <c r="AA8" s="425">
        <f t="shared" si="0"/>
        <v>0</v>
      </c>
      <c r="AB8" s="425">
        <f t="shared" si="0"/>
        <v>0</v>
      </c>
      <c r="AC8" s="425"/>
      <c r="AD8" s="510"/>
      <c r="AE8" s="510"/>
      <c r="AF8" s="510"/>
      <c r="AG8" s="510"/>
      <c r="AH8" s="510"/>
      <c r="AI8" s="510"/>
      <c r="AJ8" s="510"/>
      <c r="AK8" s="510"/>
      <c r="AL8" s="509"/>
      <c r="AM8" s="509"/>
      <c r="AN8" s="509"/>
      <c r="AO8" s="509"/>
      <c r="AP8" s="509"/>
      <c r="AQ8" s="509"/>
      <c r="AR8" s="509"/>
      <c r="AS8" s="511"/>
      <c r="AT8" s="511"/>
      <c r="AU8" s="511"/>
      <c r="AV8" s="374"/>
      <c r="AW8" s="374"/>
      <c r="AX8" s="374"/>
      <c r="AY8" s="374"/>
      <c r="AZ8" s="374"/>
      <c r="BA8" s="374"/>
      <c r="BB8" s="374"/>
      <c r="BC8" s="374"/>
      <c r="BD8" s="374"/>
      <c r="BE8" s="374"/>
      <c r="BF8" s="374"/>
      <c r="BG8" s="374"/>
      <c r="BH8" s="374"/>
    </row>
    <row r="9" spans="1:60" s="465" customFormat="1" hidden="1">
      <c r="A9" s="464"/>
      <c r="B9" s="491"/>
      <c r="C9" s="468"/>
      <c r="D9" s="492">
        <f>SUM(L8:O8)</f>
        <v>13938365</v>
      </c>
      <c r="E9" s="467"/>
      <c r="F9" s="493">
        <f>D8-E8</f>
        <v>1348000</v>
      </c>
      <c r="G9" s="493"/>
      <c r="H9" s="493"/>
      <c r="I9" s="493"/>
      <c r="J9" s="493"/>
      <c r="K9" s="493"/>
      <c r="L9" s="492">
        <f>H8+K8</f>
        <v>11232963</v>
      </c>
      <c r="M9" s="493"/>
      <c r="N9" s="493"/>
      <c r="O9" s="493"/>
      <c r="P9" s="492">
        <f>G8-L9</f>
        <v>357402</v>
      </c>
      <c r="Q9" s="493"/>
      <c r="R9" s="493"/>
      <c r="S9" s="493"/>
      <c r="T9" s="492">
        <f>P9+S8-M8</f>
        <v>419000</v>
      </c>
      <c r="U9" s="492">
        <f>N8-T9</f>
        <v>926000</v>
      </c>
      <c r="V9" s="493"/>
      <c r="W9" s="493"/>
      <c r="X9" s="493"/>
      <c r="Y9" s="493"/>
      <c r="Z9" s="493"/>
      <c r="AA9" s="493"/>
      <c r="AB9" s="494"/>
      <c r="AD9" s="510"/>
      <c r="AE9" s="510"/>
      <c r="AF9" s="510"/>
      <c r="AG9" s="510"/>
      <c r="AH9" s="510"/>
      <c r="AI9" s="510"/>
      <c r="AJ9" s="510"/>
      <c r="AK9" s="510"/>
      <c r="AL9" s="509"/>
      <c r="AM9" s="509"/>
      <c r="AN9" s="487"/>
      <c r="AO9" s="487"/>
      <c r="AP9" s="487"/>
      <c r="AQ9" s="487"/>
      <c r="AR9" s="487"/>
      <c r="AS9" s="487"/>
      <c r="AT9" s="487"/>
      <c r="AU9" s="487"/>
    </row>
    <row r="10" spans="1:60" s="465" customFormat="1" hidden="1">
      <c r="A10" s="464"/>
      <c r="B10" s="491"/>
      <c r="C10" s="468"/>
      <c r="D10" s="492"/>
      <c r="E10" s="467"/>
      <c r="F10" s="493"/>
      <c r="G10" s="493"/>
      <c r="H10" s="493"/>
      <c r="I10" s="493"/>
      <c r="J10" s="493"/>
      <c r="K10" s="493"/>
      <c r="L10" s="492"/>
      <c r="M10" s="493"/>
      <c r="N10" s="493"/>
      <c r="O10" s="493"/>
      <c r="P10" s="492"/>
      <c r="Q10" s="493"/>
      <c r="R10" s="493"/>
      <c r="S10" s="493"/>
      <c r="T10" s="492"/>
      <c r="U10" s="492"/>
      <c r="V10" s="493"/>
      <c r="W10" s="493"/>
      <c r="X10" s="493"/>
      <c r="Y10" s="493"/>
      <c r="Z10" s="493"/>
      <c r="AA10" s="493"/>
      <c r="AB10" s="494"/>
      <c r="AD10" s="510"/>
      <c r="AE10" s="510"/>
      <c r="AF10" s="510"/>
      <c r="AG10" s="510"/>
      <c r="AH10" s="510"/>
      <c r="AI10" s="510"/>
      <c r="AJ10" s="510"/>
      <c r="AK10" s="510"/>
      <c r="AL10" s="509"/>
      <c r="AM10" s="509"/>
      <c r="AN10" s="487"/>
      <c r="AO10" s="487"/>
      <c r="AP10" s="487"/>
      <c r="AQ10" s="487"/>
      <c r="AR10" s="487"/>
      <c r="AS10" s="487"/>
      <c r="AT10" s="487"/>
      <c r="AU10" s="487"/>
    </row>
    <row r="11" spans="1:60" s="475" customFormat="1" hidden="1">
      <c r="B11" s="424"/>
      <c r="C11" s="424"/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423"/>
      <c r="S11" s="423"/>
      <c r="T11" s="423"/>
      <c r="U11" s="424"/>
      <c r="V11" s="424"/>
      <c r="W11" s="424"/>
      <c r="X11" s="424"/>
      <c r="Y11" s="424"/>
      <c r="Z11" s="424"/>
      <c r="AA11" s="424"/>
      <c r="AC11" s="424"/>
      <c r="AD11" s="510"/>
      <c r="AE11" s="510"/>
      <c r="AF11" s="510"/>
      <c r="AG11" s="510"/>
      <c r="AH11" s="510"/>
      <c r="AI11" s="510"/>
      <c r="AJ11" s="510"/>
      <c r="AK11" s="510"/>
      <c r="AL11" s="509"/>
      <c r="AM11" s="509"/>
      <c r="AN11" s="509"/>
      <c r="AO11" s="509"/>
      <c r="AP11" s="509"/>
      <c r="AQ11" s="509"/>
      <c r="AR11" s="509"/>
      <c r="AS11" s="511"/>
      <c r="AT11" s="511"/>
      <c r="AU11" s="511"/>
      <c r="AV11" s="424"/>
      <c r="AW11" s="424"/>
      <c r="AX11" s="424"/>
      <c r="AY11" s="424"/>
      <c r="AZ11" s="424"/>
      <c r="BA11" s="424"/>
      <c r="BB11" s="424"/>
      <c r="BC11" s="424"/>
      <c r="BD11" s="424"/>
      <c r="BE11" s="424"/>
      <c r="BF11" s="424"/>
      <c r="BG11" s="424"/>
      <c r="BH11" s="424"/>
    </row>
    <row r="12" spans="1:60" s="465" customFormat="1" ht="15.6">
      <c r="A12" s="464"/>
      <c r="C12" s="466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AB12" s="468"/>
      <c r="AD12" s="510"/>
      <c r="AE12" s="510"/>
      <c r="AF12" s="510"/>
      <c r="AG12" s="510"/>
      <c r="AH12" s="510"/>
      <c r="AI12" s="510"/>
      <c r="AJ12" s="510"/>
      <c r="AK12" s="510"/>
      <c r="AL12" s="509"/>
      <c r="AM12" s="509"/>
    </row>
    <row r="13" spans="1:60" ht="15.6">
      <c r="A13" s="429"/>
      <c r="M13" s="467"/>
      <c r="N13" s="467"/>
      <c r="O13" s="467"/>
      <c r="P13" s="467"/>
      <c r="Q13" s="467"/>
      <c r="R13" s="467"/>
      <c r="S13" s="467"/>
      <c r="T13" s="467"/>
      <c r="U13" s="465"/>
    </row>
    <row r="14" spans="1:60" ht="15.6">
      <c r="A14" s="429"/>
      <c r="B14" s="429"/>
      <c r="M14" s="467"/>
      <c r="N14" s="467"/>
      <c r="O14" s="467"/>
      <c r="P14" s="467"/>
      <c r="Q14" s="467"/>
      <c r="R14" s="467"/>
      <c r="S14" s="467"/>
      <c r="T14" s="467"/>
      <c r="U14" s="465"/>
    </row>
    <row r="15" spans="1:60">
      <c r="M15" s="467"/>
      <c r="N15" s="467"/>
      <c r="O15" s="467"/>
      <c r="P15" s="467"/>
      <c r="Q15" s="467"/>
      <c r="R15" s="467"/>
      <c r="S15" s="467"/>
      <c r="T15" s="467"/>
      <c r="U15" s="465"/>
    </row>
    <row r="16" spans="1:60">
      <c r="O16" s="510"/>
      <c r="P16" s="510"/>
      <c r="Q16" s="510"/>
      <c r="R16" s="510"/>
      <c r="S16" s="510"/>
      <c r="T16" s="510"/>
      <c r="U16" s="510"/>
      <c r="V16" s="510"/>
      <c r="W16" s="510"/>
    </row>
    <row r="17" spans="1:23">
      <c r="A17" s="739"/>
      <c r="O17" s="510"/>
      <c r="P17" s="510"/>
      <c r="Q17" s="510"/>
      <c r="R17" s="510"/>
      <c r="S17" s="510"/>
      <c r="T17" s="510"/>
      <c r="U17" s="510"/>
      <c r="V17" s="510"/>
      <c r="W17" s="510"/>
    </row>
    <row r="18" spans="1:23">
      <c r="O18" s="510"/>
      <c r="P18" s="510"/>
      <c r="Q18" s="510"/>
      <c r="R18" s="510"/>
      <c r="S18" s="510"/>
      <c r="T18" s="510"/>
      <c r="U18" s="510"/>
      <c r="V18" s="510"/>
      <c r="W18" s="510"/>
    </row>
    <row r="19" spans="1:23">
      <c r="O19" s="510"/>
      <c r="P19" s="510"/>
      <c r="Q19" s="510"/>
      <c r="R19" s="510"/>
      <c r="S19" s="510"/>
      <c r="T19" s="510"/>
      <c r="U19" s="510"/>
      <c r="V19" s="510"/>
      <c r="W19" s="510"/>
    </row>
    <row r="20" spans="1:23">
      <c r="O20" s="510"/>
      <c r="P20" s="510"/>
      <c r="Q20" s="510"/>
      <c r="R20" s="510"/>
      <c r="S20" s="510"/>
      <c r="T20" s="510"/>
      <c r="U20" s="510"/>
      <c r="V20" s="510"/>
      <c r="W20" s="510"/>
    </row>
    <row r="21" spans="1:23">
      <c r="O21" s="510"/>
      <c r="P21" s="510"/>
      <c r="Q21" s="510"/>
      <c r="R21" s="510"/>
      <c r="S21" s="510"/>
      <c r="T21" s="510"/>
      <c r="U21" s="510"/>
      <c r="V21" s="510"/>
      <c r="W21" s="510"/>
    </row>
    <row r="22" spans="1:23">
      <c r="O22" s="510"/>
      <c r="P22" s="510"/>
      <c r="Q22" s="510"/>
      <c r="R22" s="510"/>
      <c r="S22" s="510"/>
      <c r="T22" s="510"/>
      <c r="U22" s="510"/>
      <c r="V22" s="510"/>
      <c r="W22" s="510"/>
    </row>
    <row r="27" spans="1:23">
      <c r="C27" s="739"/>
    </row>
    <row r="130" spans="1:1">
      <c r="A130" s="475">
        <f>COUNT(A5:A129)</f>
        <v>4</v>
      </c>
    </row>
    <row r="133" spans="1:1">
      <c r="A133" s="475">
        <f>A130+1</f>
        <v>5</v>
      </c>
    </row>
    <row r="136" spans="1:1" ht="37.950000000000003" customHeight="1"/>
    <row r="139" spans="1:1" ht="70.95" customHeight="1"/>
    <row r="142" spans="1:1" ht="72" customHeight="1"/>
    <row r="144" spans="1:1" ht="43.95" customHeight="1"/>
    <row r="146" ht="30" customHeight="1"/>
  </sheetData>
  <sheetProtection formatCells="0" formatColumns="0" formatRows="0" insertColumns="0" insertRows="0" insertHyperlinks="0" deleteColumns="0" deleteRows="0" sort="0" autoFilter="0" pivotTables="0"/>
  <conditionalFormatting sqref="A1:A2 AV1:XFD2 AF17:AF1048576 AF1:AF3 AF13:AF14 AF11 AN11:AR11 AN13:AR14 AN1:AR4 AN17:AR1048576 AN8:AR8 AD1:AD3 AD8:AD1048576 AL1:AM1048576">
    <cfRule type="cellIs" dxfId="370" priority="71" operator="equal">
      <formula>0</formula>
    </cfRule>
  </conditionalFormatting>
  <conditionalFormatting sqref="AQ1:AQ2">
    <cfRule type="cellIs" dxfId="369" priority="70" operator="equal">
      <formula>0</formula>
    </cfRule>
  </conditionalFormatting>
  <conditionalFormatting sqref="AF17:AF1048576 AF13:AF14 AF1:AF3 AF11 AN11:AR11 AL1:AR3 AN13:AR14 AN17:AR1048576 AL4:AM1048576">
    <cfRule type="cellIs" dxfId="368" priority="69" operator="equal">
      <formula>0</formula>
    </cfRule>
  </conditionalFormatting>
  <conditionalFormatting sqref="AL1:AM1048576">
    <cfRule type="cellIs" dxfId="367" priority="68" operator="equal">
      <formula>0</formula>
    </cfRule>
  </conditionalFormatting>
  <conditionalFormatting sqref="AM11 AM1:AM2 AM13:AM14 AM17:AM1048576">
    <cfRule type="cellIs" dxfId="366" priority="67" operator="equal">
      <formula>0</formula>
    </cfRule>
  </conditionalFormatting>
  <conditionalFormatting sqref="AF11 AF1:AF2 AF13:AF14 AF17:AF1048576">
    <cfRule type="cellIs" dxfId="365" priority="66" operator="equal">
      <formula>0</formula>
    </cfRule>
  </conditionalFormatting>
  <conditionalFormatting sqref="AL1:AL3 AL11 AL13:AL14 AL17:AL1048576">
    <cfRule type="cellIs" dxfId="364" priority="62" operator="equal">
      <formula>0</formula>
    </cfRule>
  </conditionalFormatting>
  <conditionalFormatting sqref="AL11 AL1:AL2 AL13:AL14 AL17:AL1048576">
    <cfRule type="cellIs" dxfId="363" priority="61" operator="equal">
      <formula>0</formula>
    </cfRule>
  </conditionalFormatting>
  <conditionalFormatting sqref="AL1:AL3 AL11 AL13:AL14 AL17:AL1048576">
    <cfRule type="cellIs" dxfId="362" priority="63" operator="equal">
      <formula>0</formula>
    </cfRule>
  </conditionalFormatting>
  <conditionalFormatting sqref="AN5:AR5">
    <cfRule type="cellIs" dxfId="361" priority="60" operator="equal">
      <formula>0</formula>
    </cfRule>
  </conditionalFormatting>
  <conditionalFormatting sqref="AF15 AN15:AR15">
    <cfRule type="cellIs" dxfId="360" priority="51" operator="equal">
      <formula>0</formula>
    </cfRule>
  </conditionalFormatting>
  <conditionalFormatting sqref="AN5:AR5">
    <cfRule type="cellIs" dxfId="359" priority="59" operator="equal">
      <formula>0</formula>
    </cfRule>
  </conditionalFormatting>
  <conditionalFormatting sqref="AN6:AR6">
    <cfRule type="cellIs" dxfId="358" priority="58" operator="equal">
      <formula>0</formula>
    </cfRule>
  </conditionalFormatting>
  <conditionalFormatting sqref="AN7:AR7">
    <cfRule type="cellIs" dxfId="357" priority="56" operator="equal">
      <formula>0</formula>
    </cfRule>
  </conditionalFormatting>
  <conditionalFormatting sqref="AN7:AR7">
    <cfRule type="cellIs" dxfId="356" priority="55" operator="equal">
      <formula>0</formula>
    </cfRule>
  </conditionalFormatting>
  <conditionalFormatting sqref="AL15">
    <cfRule type="cellIs" dxfId="355" priority="43" operator="equal">
      <formula>0</formula>
    </cfRule>
  </conditionalFormatting>
  <conditionalFormatting sqref="AF15 AN15:AR15">
    <cfRule type="cellIs" dxfId="354" priority="50" operator="equal">
      <formula>0</formula>
    </cfRule>
  </conditionalFormatting>
  <conditionalFormatting sqref="AM15">
    <cfRule type="cellIs" dxfId="353" priority="48" operator="equal">
      <formula>0</formula>
    </cfRule>
  </conditionalFormatting>
  <conditionalFormatting sqref="AF16 AN16:AR16">
    <cfRule type="cellIs" dxfId="352" priority="40" operator="equal">
      <formula>0</formula>
    </cfRule>
  </conditionalFormatting>
  <conditionalFormatting sqref="AF15">
    <cfRule type="cellIs" dxfId="351" priority="47" operator="equal">
      <formula>0</formula>
    </cfRule>
  </conditionalFormatting>
  <conditionalFormatting sqref="AL15">
    <cfRule type="cellIs" dxfId="350" priority="42" operator="equal">
      <formula>0</formula>
    </cfRule>
  </conditionalFormatting>
  <conditionalFormatting sqref="AL15">
    <cfRule type="cellIs" dxfId="349" priority="44" operator="equal">
      <formula>0</formula>
    </cfRule>
  </conditionalFormatting>
  <conditionalFormatting sqref="AL16">
    <cfRule type="cellIs" dxfId="348" priority="32" operator="equal">
      <formula>0</formula>
    </cfRule>
  </conditionalFormatting>
  <conditionalFormatting sqref="AF16 AN16:AR16">
    <cfRule type="cellIs" dxfId="347" priority="39" operator="equal">
      <formula>0</formula>
    </cfRule>
  </conditionalFormatting>
  <conditionalFormatting sqref="AM16">
    <cfRule type="cellIs" dxfId="346" priority="37" operator="equal">
      <formula>0</formula>
    </cfRule>
  </conditionalFormatting>
  <conditionalFormatting sqref="AF16">
    <cfRule type="cellIs" dxfId="345" priority="36" operator="equal">
      <formula>0</formula>
    </cfRule>
  </conditionalFormatting>
  <conditionalFormatting sqref="AL16">
    <cfRule type="cellIs" dxfId="344" priority="31" operator="equal">
      <formula>0</formula>
    </cfRule>
  </conditionalFormatting>
  <conditionalFormatting sqref="AL16">
    <cfRule type="cellIs" dxfId="343" priority="33" operator="equal">
      <formula>0</formula>
    </cfRule>
  </conditionalFormatting>
  <conditionalFormatting sqref="AD1:AI1048576">
    <cfRule type="cellIs" dxfId="342" priority="28" operator="equal">
      <formula>0</formula>
    </cfRule>
  </conditionalFormatting>
  <conditionalFormatting sqref="AD1:AI1048576">
    <cfRule type="cellIs" dxfId="341" priority="29" operator="equal">
      <formula>0</formula>
    </cfRule>
  </conditionalFormatting>
  <conditionalFormatting sqref="AH15">
    <cfRule type="cellIs" dxfId="340" priority="11" operator="equal">
      <formula>0</formula>
    </cfRule>
  </conditionalFormatting>
  <conditionalFormatting sqref="AH15">
    <cfRule type="cellIs" dxfId="339" priority="12" operator="equal">
      <formula>0</formula>
    </cfRule>
  </conditionalFormatting>
  <conditionalFormatting sqref="AH15">
    <cfRule type="cellIs" dxfId="338" priority="10" operator="equal">
      <formula>0</formula>
    </cfRule>
  </conditionalFormatting>
  <conditionalFormatting sqref="AF4">
    <cfRule type="cellIs" dxfId="337" priority="20" operator="equal">
      <formula>0</formula>
    </cfRule>
  </conditionalFormatting>
  <conditionalFormatting sqref="O16:W22">
    <cfRule type="cellIs" dxfId="336" priority="19" operator="equal">
      <formula>0</formula>
    </cfRule>
  </conditionalFormatting>
  <conditionalFormatting sqref="AE21:AE24">
    <cfRule type="cellIs" dxfId="335" priority="18" operator="equal">
      <formula>0</formula>
    </cfRule>
  </conditionalFormatting>
  <conditionalFormatting sqref="AG1:AG3 AG8:AG1048576">
    <cfRule type="cellIs" dxfId="334" priority="17" operator="equal">
      <formula>0</formula>
    </cfRule>
  </conditionalFormatting>
  <conditionalFormatting sqref="AI1:AI3 AI8:AI1048576">
    <cfRule type="cellIs" dxfId="333" priority="5" operator="equal">
      <formula>0</formula>
    </cfRule>
  </conditionalFormatting>
  <conditionalFormatting sqref="AH17:AH1048576 AH1:AH3 AH13:AH14 AH11">
    <cfRule type="cellIs" dxfId="332" priority="15" operator="equal">
      <formula>0</formula>
    </cfRule>
  </conditionalFormatting>
  <conditionalFormatting sqref="AH17:AH1048576 AH13:AH14 AH1:AH3 AH11">
    <cfRule type="cellIs" dxfId="331" priority="14" operator="equal">
      <formula>0</formula>
    </cfRule>
  </conditionalFormatting>
  <conditionalFormatting sqref="AH11 AH1:AH2 AH13:AH14 AH17:AH1048576">
    <cfRule type="cellIs" dxfId="330" priority="13" operator="equal">
      <formula>0</formula>
    </cfRule>
  </conditionalFormatting>
  <conditionalFormatting sqref="AH16">
    <cfRule type="cellIs" dxfId="329" priority="9" operator="equal">
      <formula>0</formula>
    </cfRule>
  </conditionalFormatting>
  <conditionalFormatting sqref="AH16">
    <cfRule type="cellIs" dxfId="328" priority="8" operator="equal">
      <formula>0</formula>
    </cfRule>
  </conditionalFormatting>
  <conditionalFormatting sqref="AH16">
    <cfRule type="cellIs" dxfId="327" priority="7" operator="equal">
      <formula>0</formula>
    </cfRule>
  </conditionalFormatting>
  <conditionalFormatting sqref="AH4">
    <cfRule type="cellIs" dxfId="326" priority="6" operator="equal">
      <formula>0</formula>
    </cfRule>
  </conditionalFormatting>
  <conditionalFormatting sqref="AJ1:AK1048576">
    <cfRule type="cellIs" dxfId="325" priority="1" operator="equal">
      <formula>0</formula>
    </cfRule>
  </conditionalFormatting>
  <conditionalFormatting sqref="AJ1:AK1048576">
    <cfRule type="cellIs" dxfId="324" priority="2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"/>
  <sheetViews>
    <sheetView showZeros="0" rightToLeft="1" zoomScaleNormal="100" workbookViewId="0">
      <pane xSplit="3" ySplit="4" topLeftCell="D14" activePane="bottomRight" state="frozen"/>
      <selection activeCell="F25" sqref="F25"/>
      <selection pane="topRight" activeCell="F25" sqref="F25"/>
      <selection pane="bottomLeft" activeCell="F25" sqref="F25"/>
      <selection pane="bottomRight" sqref="A1:AC17"/>
    </sheetView>
  </sheetViews>
  <sheetFormatPr defaultColWidth="9.109375" defaultRowHeight="13.8"/>
  <cols>
    <col min="1" max="1" width="3.44140625" style="10" customWidth="1"/>
    <col min="2" max="2" width="6.109375" style="10" customWidth="1"/>
    <col min="3" max="3" width="18.33203125" style="10" customWidth="1"/>
    <col min="4" max="4" width="10.109375" style="11" bestFit="1" customWidth="1"/>
    <col min="5" max="8" width="10.109375" style="11" hidden="1" customWidth="1"/>
    <col min="9" max="11" width="9.6640625" style="11" hidden="1" customWidth="1"/>
    <col min="12" max="12" width="10.109375" style="11" customWidth="1"/>
    <col min="13" max="13" width="9.109375" style="11" customWidth="1"/>
    <col min="14" max="14" width="11" style="11" customWidth="1"/>
    <col min="15" max="15" width="12.44140625" style="11" bestFit="1" customWidth="1"/>
    <col min="16" max="19" width="9.6640625" style="11" hidden="1" customWidth="1"/>
    <col min="20" max="20" width="9.109375" style="11" customWidth="1"/>
    <col min="21" max="21" width="10.44140625" style="10" customWidth="1"/>
    <col min="22" max="22" width="7.88671875" style="10" customWidth="1"/>
    <col min="23" max="23" width="9.109375" style="10" customWidth="1"/>
    <col min="24" max="27" width="8.5546875" style="10" hidden="1" customWidth="1"/>
    <col min="28" max="28" width="33.5546875" style="10" hidden="1" customWidth="1"/>
    <col min="29" max="29" width="7.88671875" style="10" customWidth="1"/>
    <col min="30" max="30" width="19" style="373" customWidth="1"/>
    <col min="31" max="31" width="17.6640625" style="373" customWidth="1"/>
    <col min="32" max="32" width="19" style="373" customWidth="1"/>
    <col min="33" max="33" width="24.6640625" style="373" customWidth="1"/>
    <col min="34" max="34" width="11" style="373" customWidth="1"/>
    <col min="35" max="35" width="22.44140625" style="373" customWidth="1"/>
    <col min="36" max="36" width="12.33203125" style="373" customWidth="1"/>
    <col min="37" max="16384" width="9.109375" style="10"/>
  </cols>
  <sheetData>
    <row r="1" spans="1:52" s="373" customFormat="1" ht="18">
      <c r="A1" s="371"/>
      <c r="B1" s="371"/>
      <c r="C1" s="371"/>
      <c r="D1" s="372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</row>
    <row r="2" spans="1:52" s="373" customFormat="1" ht="18">
      <c r="A2" s="371" t="s">
        <v>292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</row>
    <row r="3" spans="1:52" ht="20.399999999999999" customHeight="1"/>
    <row r="4" spans="1:52" s="16" customFormat="1" ht="75" customHeight="1">
      <c r="A4" s="130" t="s">
        <v>0</v>
      </c>
      <c r="B4" s="13" t="s">
        <v>413</v>
      </c>
      <c r="C4" s="13" t="s">
        <v>2</v>
      </c>
      <c r="D4" s="13" t="s">
        <v>3</v>
      </c>
      <c r="E4" s="13" t="s">
        <v>4</v>
      </c>
      <c r="F4" s="13" t="s">
        <v>5</v>
      </c>
      <c r="G4" s="13" t="s">
        <v>6</v>
      </c>
      <c r="H4" s="13" t="s">
        <v>7</v>
      </c>
      <c r="I4" s="13" t="s">
        <v>9</v>
      </c>
      <c r="J4" s="13" t="s">
        <v>125</v>
      </c>
      <c r="K4" s="13" t="s">
        <v>10</v>
      </c>
      <c r="L4" s="13" t="s">
        <v>11</v>
      </c>
      <c r="M4" s="13" t="s">
        <v>707</v>
      </c>
      <c r="N4" s="13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" t="s">
        <v>13</v>
      </c>
      <c r="W4" s="13" t="s">
        <v>14</v>
      </c>
      <c r="X4" s="13" t="s">
        <v>15</v>
      </c>
      <c r="Y4" s="13" t="s">
        <v>214</v>
      </c>
      <c r="Z4" s="13" t="s">
        <v>502</v>
      </c>
      <c r="AA4" s="13" t="s">
        <v>75</v>
      </c>
      <c r="AB4" s="13" t="s">
        <v>242</v>
      </c>
      <c r="AC4" s="13" t="s">
        <v>16</v>
      </c>
      <c r="AD4" s="373"/>
      <c r="AE4" s="373"/>
      <c r="AF4" s="373"/>
      <c r="AG4" s="373"/>
      <c r="AH4" s="373"/>
      <c r="AI4" s="373"/>
      <c r="AJ4" s="373"/>
    </row>
    <row r="5" spans="1:52" s="5" customFormat="1" ht="45" customHeight="1">
      <c r="A5" s="3">
        <v>1</v>
      </c>
      <c r="B5" s="3" t="e">
        <f>#REF!</f>
        <v>#REF!</v>
      </c>
      <c r="C5" s="213" t="e">
        <f>#REF!</f>
        <v>#REF!</v>
      </c>
      <c r="D5" s="4" t="e">
        <f>#REF!</f>
        <v>#REF!</v>
      </c>
      <c r="E5" s="4" t="e">
        <f>#REF!</f>
        <v>#REF!</v>
      </c>
      <c r="F5" s="4" t="e">
        <f>#REF!</f>
        <v>#REF!</v>
      </c>
      <c r="G5" s="4" t="e">
        <f>#REF!</f>
        <v>#REF!</v>
      </c>
      <c r="H5" s="4" t="e">
        <f>#REF!</f>
        <v>#REF!</v>
      </c>
      <c r="I5" s="4" t="e">
        <f>#REF!</f>
        <v>#REF!</v>
      </c>
      <c r="J5" s="4" t="e">
        <f>#REF!</f>
        <v>#REF!</v>
      </c>
      <c r="K5" s="4" t="e">
        <f>#REF!</f>
        <v>#REF!</v>
      </c>
      <c r="L5" s="4" t="e">
        <f>#REF!</f>
        <v>#REF!</v>
      </c>
      <c r="M5" s="4" t="e">
        <f>#REF!</f>
        <v>#REF!</v>
      </c>
      <c r="N5" s="4" t="e">
        <f>#REF!</f>
        <v>#REF!</v>
      </c>
      <c r="O5" s="4" t="e">
        <f>#REF!</f>
        <v>#REF!</v>
      </c>
      <c r="P5" s="4" t="e">
        <f>#REF!</f>
        <v>#REF!</v>
      </c>
      <c r="Q5" s="4" t="e">
        <f>#REF!</f>
        <v>#REF!</v>
      </c>
      <c r="R5" s="4" t="e">
        <f>#REF!</f>
        <v>#REF!</v>
      </c>
      <c r="S5" s="4" t="e">
        <f>#REF!</f>
        <v>#REF!</v>
      </c>
      <c r="T5" s="4" t="e">
        <f>#REF!</f>
        <v>#REF!</v>
      </c>
      <c r="U5" s="4" t="e">
        <f>#REF!</f>
        <v>#REF!</v>
      </c>
      <c r="V5" s="4" t="e">
        <f>#REF!</f>
        <v>#REF!</v>
      </c>
      <c r="W5" s="4" t="e">
        <f>#REF!</f>
        <v>#REF!</v>
      </c>
      <c r="X5" s="3" t="e">
        <f>#REF!</f>
        <v>#REF!</v>
      </c>
      <c r="Y5" s="3" t="e">
        <f>#REF!</f>
        <v>#REF!</v>
      </c>
      <c r="Z5" s="3" t="e">
        <f>#REF!</f>
        <v>#REF!</v>
      </c>
      <c r="AA5" s="3" t="e">
        <f>#REF!</f>
        <v>#REF!</v>
      </c>
      <c r="AB5" s="213" t="e">
        <f>#REF!</f>
        <v>#REF!</v>
      </c>
      <c r="AC5" s="3" t="e">
        <f>#REF!</f>
        <v>#REF!</v>
      </c>
      <c r="AD5" s="373"/>
      <c r="AE5" s="373"/>
      <c r="AF5" s="373"/>
      <c r="AG5" s="373"/>
      <c r="AH5" s="373"/>
      <c r="AI5" s="373"/>
      <c r="AJ5" s="373"/>
    </row>
    <row r="6" spans="1:52" s="5" customFormat="1" ht="45" customHeight="1">
      <c r="A6" s="3">
        <f t="shared" ref="A6:A12" si="0">A5+1</f>
        <v>2</v>
      </c>
      <c r="B6" s="3" t="e">
        <f>#REF!</f>
        <v>#REF!</v>
      </c>
      <c r="C6" s="213" t="e">
        <f>#REF!</f>
        <v>#REF!</v>
      </c>
      <c r="D6" s="4" t="e">
        <f>#REF!</f>
        <v>#REF!</v>
      </c>
      <c r="E6" s="4" t="e">
        <f>#REF!</f>
        <v>#REF!</v>
      </c>
      <c r="F6" s="4" t="e">
        <f>#REF!</f>
        <v>#REF!</v>
      </c>
      <c r="G6" s="4" t="e">
        <f>#REF!</f>
        <v>#REF!</v>
      </c>
      <c r="H6" s="4" t="e">
        <f>#REF!</f>
        <v>#REF!</v>
      </c>
      <c r="I6" s="4" t="e">
        <f>#REF!</f>
        <v>#REF!</v>
      </c>
      <c r="J6" s="4" t="e">
        <f>#REF!</f>
        <v>#REF!</v>
      </c>
      <c r="K6" s="4" t="e">
        <f>#REF!</f>
        <v>#REF!</v>
      </c>
      <c r="L6" s="4" t="e">
        <f>#REF!</f>
        <v>#REF!</v>
      </c>
      <c r="M6" s="4" t="e">
        <f>#REF!</f>
        <v>#REF!</v>
      </c>
      <c r="N6" s="4" t="e">
        <f>#REF!</f>
        <v>#REF!</v>
      </c>
      <c r="O6" s="4" t="e">
        <f>#REF!</f>
        <v>#REF!</v>
      </c>
      <c r="P6" s="4" t="e">
        <f>#REF!</f>
        <v>#REF!</v>
      </c>
      <c r="Q6" s="4" t="e">
        <f>#REF!</f>
        <v>#REF!</v>
      </c>
      <c r="R6" s="4" t="e">
        <f>#REF!</f>
        <v>#REF!</v>
      </c>
      <c r="S6" s="4" t="e">
        <f>#REF!</f>
        <v>#REF!</v>
      </c>
      <c r="T6" s="4" t="e">
        <f>#REF!</f>
        <v>#REF!</v>
      </c>
      <c r="U6" s="4" t="e">
        <f>#REF!</f>
        <v>#REF!</v>
      </c>
      <c r="V6" s="4" t="e">
        <f>#REF!</f>
        <v>#REF!</v>
      </c>
      <c r="W6" s="4" t="e">
        <f>#REF!</f>
        <v>#REF!</v>
      </c>
      <c r="X6" s="3" t="e">
        <f>#REF!</f>
        <v>#REF!</v>
      </c>
      <c r="Y6" s="3" t="e">
        <f>#REF!</f>
        <v>#REF!</v>
      </c>
      <c r="Z6" s="3" t="e">
        <f>#REF!</f>
        <v>#REF!</v>
      </c>
      <c r="AA6" s="3" t="e">
        <f>#REF!</f>
        <v>#REF!</v>
      </c>
      <c r="AB6" s="213" t="e">
        <f>#REF!</f>
        <v>#REF!</v>
      </c>
      <c r="AC6" s="3" t="e">
        <f>#REF!</f>
        <v>#REF!</v>
      </c>
      <c r="AD6" s="373"/>
      <c r="AE6" s="373"/>
      <c r="AF6" s="373"/>
      <c r="AG6" s="373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</row>
    <row r="7" spans="1:52" s="5" customFormat="1" ht="45" customHeight="1">
      <c r="A7" s="3">
        <f t="shared" si="0"/>
        <v>3</v>
      </c>
      <c r="B7" s="3" t="e">
        <f>#REF!</f>
        <v>#REF!</v>
      </c>
      <c r="C7" s="213" t="e">
        <f>#REF!</f>
        <v>#REF!</v>
      </c>
      <c r="D7" s="4" t="e">
        <f>#REF!</f>
        <v>#REF!</v>
      </c>
      <c r="E7" s="4" t="e">
        <f>#REF!</f>
        <v>#REF!</v>
      </c>
      <c r="F7" s="4" t="e">
        <f>#REF!</f>
        <v>#REF!</v>
      </c>
      <c r="G7" s="4" t="e">
        <f>#REF!</f>
        <v>#REF!</v>
      </c>
      <c r="H7" s="4" t="e">
        <f>#REF!</f>
        <v>#REF!</v>
      </c>
      <c r="I7" s="4" t="e">
        <f>#REF!</f>
        <v>#REF!</v>
      </c>
      <c r="J7" s="4" t="e">
        <f>#REF!</f>
        <v>#REF!</v>
      </c>
      <c r="K7" s="4" t="e">
        <f>#REF!</f>
        <v>#REF!</v>
      </c>
      <c r="L7" s="4" t="e">
        <f>#REF!</f>
        <v>#REF!</v>
      </c>
      <c r="M7" s="4" t="e">
        <f>#REF!</f>
        <v>#REF!</v>
      </c>
      <c r="N7" s="4" t="e">
        <f>#REF!</f>
        <v>#REF!</v>
      </c>
      <c r="O7" s="4" t="e">
        <f>#REF!</f>
        <v>#REF!</v>
      </c>
      <c r="P7" s="4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4" t="e">
        <f>#REF!</f>
        <v>#REF!</v>
      </c>
      <c r="V7" s="4" t="e">
        <f>#REF!</f>
        <v>#REF!</v>
      </c>
      <c r="W7" s="4" t="e">
        <f>#REF!</f>
        <v>#REF!</v>
      </c>
      <c r="X7" s="3" t="e">
        <f>#REF!</f>
        <v>#REF!</v>
      </c>
      <c r="Y7" s="3" t="e">
        <f>#REF!</f>
        <v>#REF!</v>
      </c>
      <c r="Z7" s="3" t="e">
        <f>#REF!</f>
        <v>#REF!</v>
      </c>
      <c r="AA7" s="3" t="e">
        <f>#REF!</f>
        <v>#REF!</v>
      </c>
      <c r="AB7" s="213" t="e">
        <f>#REF!</f>
        <v>#REF!</v>
      </c>
      <c r="AC7" s="3" t="e">
        <f>#REF!</f>
        <v>#REF!</v>
      </c>
      <c r="AD7" s="373"/>
      <c r="AE7" s="373"/>
      <c r="AF7" s="373"/>
      <c r="AG7" s="373"/>
      <c r="AH7" s="373"/>
      <c r="AI7" s="373"/>
      <c r="AJ7" s="373"/>
    </row>
    <row r="8" spans="1:52" s="5" customFormat="1" ht="45" customHeight="1">
      <c r="A8" s="3">
        <f t="shared" si="0"/>
        <v>4</v>
      </c>
      <c r="B8" s="3" t="e">
        <f>#REF!</f>
        <v>#REF!</v>
      </c>
      <c r="C8" s="213" t="e">
        <f>#REF!</f>
        <v>#REF!</v>
      </c>
      <c r="D8" s="4" t="e">
        <f>#REF!</f>
        <v>#REF!</v>
      </c>
      <c r="E8" s="4" t="e">
        <f>#REF!</f>
        <v>#REF!</v>
      </c>
      <c r="F8" s="4" t="e">
        <f>#REF!</f>
        <v>#REF!</v>
      </c>
      <c r="G8" s="4" t="e">
        <f>#REF!</f>
        <v>#REF!</v>
      </c>
      <c r="H8" s="4" t="e">
        <f>#REF!</f>
        <v>#REF!</v>
      </c>
      <c r="I8" s="4" t="e">
        <f>#REF!</f>
        <v>#REF!</v>
      </c>
      <c r="J8" s="4" t="e">
        <f>#REF!</f>
        <v>#REF!</v>
      </c>
      <c r="K8" s="4" t="e">
        <f>#REF!</f>
        <v>#REF!</v>
      </c>
      <c r="L8" s="4" t="e">
        <f>#REF!</f>
        <v>#REF!</v>
      </c>
      <c r="M8" s="4" t="e">
        <f>#REF!</f>
        <v>#REF!</v>
      </c>
      <c r="N8" s="4" t="e">
        <f>#REF!</f>
        <v>#REF!</v>
      </c>
      <c r="O8" s="4" t="e">
        <f>#REF!</f>
        <v>#REF!</v>
      </c>
      <c r="P8" s="4" t="e">
        <f>#REF!</f>
        <v>#REF!</v>
      </c>
      <c r="Q8" s="4" t="e">
        <f>#REF!</f>
        <v>#REF!</v>
      </c>
      <c r="R8" s="4" t="e">
        <f>#REF!</f>
        <v>#REF!</v>
      </c>
      <c r="S8" s="4" t="e">
        <f>#REF!</f>
        <v>#REF!</v>
      </c>
      <c r="T8" s="4" t="e">
        <f>#REF!</f>
        <v>#REF!</v>
      </c>
      <c r="U8" s="4" t="e">
        <f>#REF!</f>
        <v>#REF!</v>
      </c>
      <c r="V8" s="4" t="e">
        <f>#REF!</f>
        <v>#REF!</v>
      </c>
      <c r="W8" s="4" t="e">
        <f>#REF!</f>
        <v>#REF!</v>
      </c>
      <c r="X8" s="3" t="e">
        <f>#REF!</f>
        <v>#REF!</v>
      </c>
      <c r="Y8" s="3" t="e">
        <f>#REF!</f>
        <v>#REF!</v>
      </c>
      <c r="Z8" s="3" t="e">
        <f>#REF!</f>
        <v>#REF!</v>
      </c>
      <c r="AA8" s="3" t="e">
        <f>#REF!</f>
        <v>#REF!</v>
      </c>
      <c r="AB8" s="213" t="e">
        <f>#REF!</f>
        <v>#REF!</v>
      </c>
      <c r="AC8" s="3" t="e">
        <f>#REF!</f>
        <v>#REF!</v>
      </c>
      <c r="AD8" s="373"/>
      <c r="AE8" s="373"/>
      <c r="AF8" s="373"/>
      <c r="AG8" s="373"/>
      <c r="AH8" s="373"/>
      <c r="AI8" s="373"/>
      <c r="AJ8" s="373"/>
    </row>
    <row r="9" spans="1:52" s="5" customFormat="1" ht="45" customHeight="1">
      <c r="A9" s="3">
        <f t="shared" si="0"/>
        <v>5</v>
      </c>
      <c r="B9" s="3" t="e">
        <f>#REF!</f>
        <v>#REF!</v>
      </c>
      <c r="C9" s="213" t="e">
        <f>#REF!</f>
        <v>#REF!</v>
      </c>
      <c r="D9" s="4" t="e">
        <f>#REF!</f>
        <v>#REF!</v>
      </c>
      <c r="E9" s="4" t="e">
        <f>#REF!</f>
        <v>#REF!</v>
      </c>
      <c r="F9" s="4" t="e">
        <f>#REF!</f>
        <v>#REF!</v>
      </c>
      <c r="G9" s="4" t="e">
        <f>#REF!</f>
        <v>#REF!</v>
      </c>
      <c r="H9" s="4" t="e">
        <f>#REF!</f>
        <v>#REF!</v>
      </c>
      <c r="I9" s="4" t="e">
        <f>#REF!</f>
        <v>#REF!</v>
      </c>
      <c r="J9" s="4" t="e">
        <f>#REF!</f>
        <v>#REF!</v>
      </c>
      <c r="K9" s="4" t="e">
        <f>#REF!</f>
        <v>#REF!</v>
      </c>
      <c r="L9" s="4" t="e">
        <f>#REF!</f>
        <v>#REF!</v>
      </c>
      <c r="M9" s="4" t="e">
        <f>#REF!</f>
        <v>#REF!</v>
      </c>
      <c r="N9" s="4" t="e">
        <f>#REF!</f>
        <v>#REF!</v>
      </c>
      <c r="O9" s="4" t="e">
        <f>#REF!</f>
        <v>#REF!</v>
      </c>
      <c r="P9" s="4" t="e">
        <f>#REF!</f>
        <v>#REF!</v>
      </c>
      <c r="Q9" s="4" t="e">
        <f>#REF!</f>
        <v>#REF!</v>
      </c>
      <c r="R9" s="4" t="e">
        <f>#REF!</f>
        <v>#REF!</v>
      </c>
      <c r="S9" s="4" t="e">
        <f>#REF!</f>
        <v>#REF!</v>
      </c>
      <c r="T9" s="4" t="e">
        <f>#REF!</f>
        <v>#REF!</v>
      </c>
      <c r="U9" s="4" t="e">
        <f>#REF!</f>
        <v>#REF!</v>
      </c>
      <c r="V9" s="4" t="e">
        <f>#REF!</f>
        <v>#REF!</v>
      </c>
      <c r="W9" s="4" t="e">
        <f>#REF!</f>
        <v>#REF!</v>
      </c>
      <c r="X9" s="3" t="e">
        <f>#REF!</f>
        <v>#REF!</v>
      </c>
      <c r="Y9" s="3" t="e">
        <f>#REF!</f>
        <v>#REF!</v>
      </c>
      <c r="Z9" s="3" t="e">
        <f>#REF!</f>
        <v>#REF!</v>
      </c>
      <c r="AA9" s="3" t="e">
        <f>#REF!</f>
        <v>#REF!</v>
      </c>
      <c r="AB9" s="213" t="e">
        <f>#REF!</f>
        <v>#REF!</v>
      </c>
      <c r="AC9" s="3" t="e">
        <f>#REF!</f>
        <v>#REF!</v>
      </c>
      <c r="AD9" s="373"/>
      <c r="AE9" s="373"/>
      <c r="AF9" s="373"/>
      <c r="AG9" s="373"/>
      <c r="AH9" s="373"/>
      <c r="AI9" s="373"/>
      <c r="AJ9" s="373"/>
    </row>
    <row r="10" spans="1:52" s="5" customFormat="1">
      <c r="A10" s="3">
        <f t="shared" si="0"/>
        <v>6</v>
      </c>
      <c r="B10" s="3" t="e">
        <f>#REF!</f>
        <v>#REF!</v>
      </c>
      <c r="C10" s="213" t="e">
        <f>#REF!</f>
        <v>#REF!</v>
      </c>
      <c r="D10" s="4" t="e">
        <f>#REF!</f>
        <v>#REF!</v>
      </c>
      <c r="E10" s="4" t="e">
        <f>#REF!</f>
        <v>#REF!</v>
      </c>
      <c r="F10" s="4" t="e">
        <f>#REF!</f>
        <v>#REF!</v>
      </c>
      <c r="G10" s="4" t="e">
        <f>#REF!</f>
        <v>#REF!</v>
      </c>
      <c r="H10" s="4" t="e">
        <f>#REF!</f>
        <v>#REF!</v>
      </c>
      <c r="I10" s="4" t="e">
        <f>#REF!</f>
        <v>#REF!</v>
      </c>
      <c r="J10" s="4" t="e">
        <f>#REF!</f>
        <v>#REF!</v>
      </c>
      <c r="K10" s="4" t="e">
        <f>#REF!</f>
        <v>#REF!</v>
      </c>
      <c r="L10" s="4" t="e">
        <f>#REF!</f>
        <v>#REF!</v>
      </c>
      <c r="M10" s="4" t="e">
        <f>#REF!</f>
        <v>#REF!</v>
      </c>
      <c r="N10" s="4" t="e">
        <f>#REF!</f>
        <v>#REF!</v>
      </c>
      <c r="O10" s="4" t="e">
        <f>#REF!</f>
        <v>#REF!</v>
      </c>
      <c r="P10" s="4" t="e">
        <f>#REF!</f>
        <v>#REF!</v>
      </c>
      <c r="Q10" s="4" t="e">
        <f>#REF!</f>
        <v>#REF!</v>
      </c>
      <c r="R10" s="4" t="e">
        <f>#REF!</f>
        <v>#REF!</v>
      </c>
      <c r="S10" s="4" t="e">
        <f>#REF!</f>
        <v>#REF!</v>
      </c>
      <c r="T10" s="4" t="e">
        <f>#REF!</f>
        <v>#REF!</v>
      </c>
      <c r="U10" s="4" t="e">
        <f>#REF!</f>
        <v>#REF!</v>
      </c>
      <c r="V10" s="4" t="e">
        <f>#REF!</f>
        <v>#REF!</v>
      </c>
      <c r="W10" s="4" t="e">
        <f>#REF!</f>
        <v>#REF!</v>
      </c>
      <c r="X10" s="3" t="e">
        <f>#REF!</f>
        <v>#REF!</v>
      </c>
      <c r="Y10" s="3" t="e">
        <f>#REF!</f>
        <v>#REF!</v>
      </c>
      <c r="Z10" s="3" t="e">
        <f>#REF!</f>
        <v>#REF!</v>
      </c>
      <c r="AA10" s="3" t="e">
        <f>#REF!</f>
        <v>#REF!</v>
      </c>
      <c r="AB10" s="213" t="e">
        <f>#REF!</f>
        <v>#REF!</v>
      </c>
      <c r="AC10" s="3" t="e">
        <f>#REF!</f>
        <v>#REF!</v>
      </c>
      <c r="AD10" s="373"/>
      <c r="AE10" s="373"/>
      <c r="AF10" s="373"/>
      <c r="AG10" s="373"/>
      <c r="AH10" s="373"/>
      <c r="AI10" s="373"/>
      <c r="AJ10" s="373"/>
    </row>
    <row r="11" spans="1:52" s="5" customFormat="1">
      <c r="A11" s="3">
        <f t="shared" si="0"/>
        <v>7</v>
      </c>
      <c r="B11" s="3" t="e">
        <f>#REF!</f>
        <v>#REF!</v>
      </c>
      <c r="C11" s="213" t="e">
        <f>#REF!</f>
        <v>#REF!</v>
      </c>
      <c r="D11" s="4" t="e">
        <f>#REF!</f>
        <v>#REF!</v>
      </c>
      <c r="E11" s="4" t="e">
        <f>#REF!</f>
        <v>#REF!</v>
      </c>
      <c r="F11" s="4" t="e">
        <f>#REF!</f>
        <v>#REF!</v>
      </c>
      <c r="G11" s="4" t="e">
        <f>#REF!</f>
        <v>#REF!</v>
      </c>
      <c r="H11" s="4" t="e">
        <f>#REF!</f>
        <v>#REF!</v>
      </c>
      <c r="I11" s="4" t="e">
        <f>#REF!</f>
        <v>#REF!</v>
      </c>
      <c r="J11" s="4" t="e">
        <f>#REF!</f>
        <v>#REF!</v>
      </c>
      <c r="K11" s="4" t="e">
        <f>#REF!</f>
        <v>#REF!</v>
      </c>
      <c r="L11" s="4" t="e">
        <f>#REF!</f>
        <v>#REF!</v>
      </c>
      <c r="M11" s="4" t="e">
        <f>#REF!</f>
        <v>#REF!</v>
      </c>
      <c r="N11" s="4" t="e">
        <f>#REF!</f>
        <v>#REF!</v>
      </c>
      <c r="O11" s="4" t="e">
        <f>#REF!</f>
        <v>#REF!</v>
      </c>
      <c r="P11" s="4" t="e">
        <f>#REF!</f>
        <v>#REF!</v>
      </c>
      <c r="Q11" s="4" t="e">
        <f>#REF!</f>
        <v>#REF!</v>
      </c>
      <c r="R11" s="4" t="e">
        <f>#REF!</f>
        <v>#REF!</v>
      </c>
      <c r="S11" s="4" t="e">
        <f>#REF!</f>
        <v>#REF!</v>
      </c>
      <c r="T11" s="4" t="e">
        <f>#REF!</f>
        <v>#REF!</v>
      </c>
      <c r="U11" s="4" t="e">
        <f>#REF!</f>
        <v>#REF!</v>
      </c>
      <c r="V11" s="4" t="e">
        <f>#REF!</f>
        <v>#REF!</v>
      </c>
      <c r="W11" s="4" t="e">
        <f>#REF!</f>
        <v>#REF!</v>
      </c>
      <c r="X11" s="3" t="e">
        <f>#REF!</f>
        <v>#REF!</v>
      </c>
      <c r="Y11" s="3" t="e">
        <f>#REF!</f>
        <v>#REF!</v>
      </c>
      <c r="Z11" s="3" t="e">
        <f>#REF!</f>
        <v>#REF!</v>
      </c>
      <c r="AA11" s="3" t="e">
        <f>#REF!</f>
        <v>#REF!</v>
      </c>
      <c r="AB11" s="213" t="e">
        <f>#REF!</f>
        <v>#REF!</v>
      </c>
      <c r="AC11" s="3" t="e">
        <f>#REF!</f>
        <v>#REF!</v>
      </c>
      <c r="AD11" s="373"/>
      <c r="AE11" s="373"/>
      <c r="AF11" s="373"/>
      <c r="AG11" s="373"/>
      <c r="AH11" s="373"/>
      <c r="AI11" s="373"/>
      <c r="AJ11" s="373"/>
    </row>
    <row r="12" spans="1:52" s="5" customFormat="1">
      <c r="A12" s="3">
        <f t="shared" si="0"/>
        <v>8</v>
      </c>
      <c r="B12" s="3" t="e">
        <f>#REF!</f>
        <v>#REF!</v>
      </c>
      <c r="C12" s="213" t="e">
        <f>#REF!</f>
        <v>#REF!</v>
      </c>
      <c r="D12" s="4" t="e">
        <f>#REF!</f>
        <v>#REF!</v>
      </c>
      <c r="E12" s="4" t="e">
        <f>#REF!</f>
        <v>#REF!</v>
      </c>
      <c r="F12" s="4" t="e">
        <f>#REF!</f>
        <v>#REF!</v>
      </c>
      <c r="G12" s="4" t="e">
        <f>#REF!</f>
        <v>#REF!</v>
      </c>
      <c r="H12" s="4" t="e">
        <f>#REF!</f>
        <v>#REF!</v>
      </c>
      <c r="I12" s="4" t="e">
        <f>#REF!</f>
        <v>#REF!</v>
      </c>
      <c r="J12" s="4" t="e">
        <f>#REF!</f>
        <v>#REF!</v>
      </c>
      <c r="K12" s="4" t="e">
        <f>#REF!</f>
        <v>#REF!</v>
      </c>
      <c r="L12" s="4" t="e">
        <f>#REF!</f>
        <v>#REF!</v>
      </c>
      <c r="M12" s="4" t="e">
        <f>#REF!</f>
        <v>#REF!</v>
      </c>
      <c r="N12" s="4" t="e">
        <f>#REF!</f>
        <v>#REF!</v>
      </c>
      <c r="O12" s="4" t="e">
        <f>#REF!</f>
        <v>#REF!</v>
      </c>
      <c r="P12" s="4" t="e">
        <f>#REF!</f>
        <v>#REF!</v>
      </c>
      <c r="Q12" s="4" t="e">
        <f>#REF!</f>
        <v>#REF!</v>
      </c>
      <c r="R12" s="4" t="e">
        <f>#REF!</f>
        <v>#REF!</v>
      </c>
      <c r="S12" s="4" t="e">
        <f>#REF!</f>
        <v>#REF!</v>
      </c>
      <c r="T12" s="4" t="e">
        <f>#REF!</f>
        <v>#REF!</v>
      </c>
      <c r="U12" s="4" t="e">
        <f>#REF!</f>
        <v>#REF!</v>
      </c>
      <c r="V12" s="4" t="e">
        <f>#REF!</f>
        <v>#REF!</v>
      </c>
      <c r="W12" s="4" t="e">
        <f>#REF!</f>
        <v>#REF!</v>
      </c>
      <c r="X12" s="3" t="e">
        <f>#REF!</f>
        <v>#REF!</v>
      </c>
      <c r="Y12" s="3" t="e">
        <f>#REF!</f>
        <v>#REF!</v>
      </c>
      <c r="Z12" s="3" t="e">
        <f>#REF!</f>
        <v>#REF!</v>
      </c>
      <c r="AA12" s="3" t="e">
        <f>#REF!</f>
        <v>#REF!</v>
      </c>
      <c r="AB12" s="213" t="e">
        <f>#REF!</f>
        <v>#REF!</v>
      </c>
      <c r="AC12" s="3" t="e">
        <f>#REF!</f>
        <v>#REF!</v>
      </c>
      <c r="AD12" s="373"/>
      <c r="AE12" s="373"/>
      <c r="AF12" s="373"/>
      <c r="AG12" s="373"/>
      <c r="AH12" s="373"/>
      <c r="AI12" s="373"/>
      <c r="AJ12" s="373"/>
    </row>
    <row r="13" spans="1:52" s="5" customFormat="1" ht="45" customHeight="1">
      <c r="A13" s="3">
        <f>A12+1</f>
        <v>9</v>
      </c>
      <c r="B13" s="3" t="e">
        <f>#REF!</f>
        <v>#REF!</v>
      </c>
      <c r="C13" s="213" t="e">
        <f>#REF!</f>
        <v>#REF!</v>
      </c>
      <c r="D13" s="4" t="e">
        <f>#REF!</f>
        <v>#REF!</v>
      </c>
      <c r="E13" s="4" t="e">
        <f>#REF!</f>
        <v>#REF!</v>
      </c>
      <c r="F13" s="4" t="e">
        <f>#REF!</f>
        <v>#REF!</v>
      </c>
      <c r="G13" s="4" t="e">
        <f>#REF!</f>
        <v>#REF!</v>
      </c>
      <c r="H13" s="4" t="e">
        <f>#REF!</f>
        <v>#REF!</v>
      </c>
      <c r="I13" s="4" t="e">
        <f>#REF!</f>
        <v>#REF!</v>
      </c>
      <c r="J13" s="4" t="e">
        <f>#REF!</f>
        <v>#REF!</v>
      </c>
      <c r="K13" s="4" t="e">
        <f>#REF!</f>
        <v>#REF!</v>
      </c>
      <c r="L13" s="4" t="e">
        <f>#REF!</f>
        <v>#REF!</v>
      </c>
      <c r="M13" s="4" t="e">
        <f>#REF!</f>
        <v>#REF!</v>
      </c>
      <c r="N13" s="4" t="e">
        <f>#REF!</f>
        <v>#REF!</v>
      </c>
      <c r="O13" s="4" t="e">
        <f>#REF!</f>
        <v>#REF!</v>
      </c>
      <c r="P13" s="4" t="e">
        <f>#REF!</f>
        <v>#REF!</v>
      </c>
      <c r="Q13" s="4" t="e">
        <f>#REF!</f>
        <v>#REF!</v>
      </c>
      <c r="R13" s="4" t="e">
        <f>#REF!</f>
        <v>#REF!</v>
      </c>
      <c r="S13" s="4" t="e">
        <f>#REF!</f>
        <v>#REF!</v>
      </c>
      <c r="T13" s="4" t="e">
        <f>#REF!</f>
        <v>#REF!</v>
      </c>
      <c r="U13" s="4" t="e">
        <f>#REF!</f>
        <v>#REF!</v>
      </c>
      <c r="V13" s="4" t="e">
        <f>#REF!</f>
        <v>#REF!</v>
      </c>
      <c r="W13" s="4" t="e">
        <f>#REF!</f>
        <v>#REF!</v>
      </c>
      <c r="X13" s="3" t="e">
        <f>#REF!</f>
        <v>#REF!</v>
      </c>
      <c r="Y13" s="3" t="e">
        <f>#REF!</f>
        <v>#REF!</v>
      </c>
      <c r="Z13" s="3" t="e">
        <f>#REF!</f>
        <v>#REF!</v>
      </c>
      <c r="AA13" s="3" t="e">
        <f>#REF!</f>
        <v>#REF!</v>
      </c>
      <c r="AB13" s="213" t="e">
        <f>#REF!</f>
        <v>#REF!</v>
      </c>
      <c r="AC13" s="3" t="e">
        <f>#REF!</f>
        <v>#REF!</v>
      </c>
      <c r="AD13" s="373"/>
      <c r="AE13" s="373"/>
      <c r="AF13" s="373"/>
      <c r="AG13" s="373"/>
      <c r="AH13" s="373"/>
      <c r="AI13" s="373"/>
      <c r="AJ13" s="373"/>
    </row>
    <row r="14" spans="1:52" s="6" customFormat="1" ht="45" customHeight="1">
      <c r="A14" s="7"/>
      <c r="B14" s="7"/>
      <c r="C14" s="13" t="s">
        <v>530</v>
      </c>
      <c r="D14" s="8" t="e">
        <f>SUM(D5:D13)</f>
        <v>#REF!</v>
      </c>
      <c r="E14" s="8" t="e">
        <f t="shared" ref="E14:W14" si="1">SUM(E5:E13)</f>
        <v>#REF!</v>
      </c>
      <c r="F14" s="8" t="e">
        <f t="shared" si="1"/>
        <v>#REF!</v>
      </c>
      <c r="G14" s="8" t="e">
        <f t="shared" si="1"/>
        <v>#REF!</v>
      </c>
      <c r="H14" s="8" t="e">
        <f t="shared" si="1"/>
        <v>#REF!</v>
      </c>
      <c r="I14" s="8" t="e">
        <f t="shared" si="1"/>
        <v>#REF!</v>
      </c>
      <c r="J14" s="8" t="e">
        <f t="shared" si="1"/>
        <v>#REF!</v>
      </c>
      <c r="K14" s="8" t="e">
        <f t="shared" si="1"/>
        <v>#REF!</v>
      </c>
      <c r="L14" s="8" t="e">
        <f t="shared" si="1"/>
        <v>#REF!</v>
      </c>
      <c r="M14" s="8" t="e">
        <f t="shared" si="1"/>
        <v>#REF!</v>
      </c>
      <c r="N14" s="8" t="e">
        <f t="shared" si="1"/>
        <v>#REF!</v>
      </c>
      <c r="O14" s="8" t="e">
        <f t="shared" si="1"/>
        <v>#REF!</v>
      </c>
      <c r="P14" s="8" t="e">
        <f t="shared" si="1"/>
        <v>#REF!</v>
      </c>
      <c r="Q14" s="8" t="e">
        <f t="shared" si="1"/>
        <v>#REF!</v>
      </c>
      <c r="R14" s="8" t="e">
        <f t="shared" si="1"/>
        <v>#REF!</v>
      </c>
      <c r="S14" s="8" t="e">
        <f t="shared" si="1"/>
        <v>#REF!</v>
      </c>
      <c r="T14" s="8" t="e">
        <f t="shared" si="1"/>
        <v>#REF!</v>
      </c>
      <c r="U14" s="8" t="e">
        <f t="shared" si="1"/>
        <v>#REF!</v>
      </c>
      <c r="V14" s="8" t="e">
        <f t="shared" si="1"/>
        <v>#REF!</v>
      </c>
      <c r="W14" s="8" t="e">
        <f t="shared" si="1"/>
        <v>#REF!</v>
      </c>
      <c r="X14" s="7"/>
      <c r="Y14" s="7"/>
      <c r="Z14" s="7"/>
      <c r="AA14" s="7"/>
      <c r="AB14" s="13"/>
      <c r="AC14" s="7"/>
      <c r="AD14" s="401"/>
      <c r="AE14" s="401"/>
      <c r="AF14" s="401"/>
      <c r="AG14" s="401"/>
      <c r="AH14" s="401"/>
      <c r="AI14" s="401"/>
      <c r="AJ14" s="401"/>
    </row>
    <row r="15" spans="1:52" s="5" customFormat="1" ht="45" customHeight="1">
      <c r="A15" s="3">
        <f>A13+1</f>
        <v>10</v>
      </c>
      <c r="B15" s="3" t="e">
        <f>#REF!</f>
        <v>#REF!</v>
      </c>
      <c r="C15" s="213" t="e">
        <f>#REF!</f>
        <v>#REF!</v>
      </c>
      <c r="D15" s="4" t="e">
        <f>#REF!</f>
        <v>#REF!</v>
      </c>
      <c r="E15" s="4" t="e">
        <f>#REF!</f>
        <v>#REF!</v>
      </c>
      <c r="F15" s="4" t="e">
        <f>#REF!</f>
        <v>#REF!</v>
      </c>
      <c r="G15" s="4" t="e">
        <f>#REF!</f>
        <v>#REF!</v>
      </c>
      <c r="H15" s="4" t="e">
        <f>#REF!</f>
        <v>#REF!</v>
      </c>
      <c r="I15" s="4" t="e">
        <f>#REF!</f>
        <v>#REF!</v>
      </c>
      <c r="J15" s="4" t="e">
        <f>#REF!</f>
        <v>#REF!</v>
      </c>
      <c r="K15" s="4" t="e">
        <f>#REF!</f>
        <v>#REF!</v>
      </c>
      <c r="L15" s="4" t="e">
        <f>#REF!</f>
        <v>#REF!</v>
      </c>
      <c r="M15" s="4" t="e">
        <f>#REF!</f>
        <v>#REF!</v>
      </c>
      <c r="N15" s="4" t="e">
        <f>#REF!</f>
        <v>#REF!</v>
      </c>
      <c r="O15" s="4" t="e">
        <f>#REF!</f>
        <v>#REF!</v>
      </c>
      <c r="P15" s="4" t="e">
        <f>#REF!</f>
        <v>#REF!</v>
      </c>
      <c r="Q15" s="4" t="e">
        <f>#REF!</f>
        <v>#REF!</v>
      </c>
      <c r="R15" s="4" t="e">
        <f>#REF!</f>
        <v>#REF!</v>
      </c>
      <c r="S15" s="4" t="e">
        <f>#REF!</f>
        <v>#REF!</v>
      </c>
      <c r="T15" s="4" t="e">
        <f>#REF!</f>
        <v>#REF!</v>
      </c>
      <c r="U15" s="4" t="e">
        <f>#REF!</f>
        <v>#REF!</v>
      </c>
      <c r="V15" s="4" t="e">
        <f>#REF!</f>
        <v>#REF!</v>
      </c>
      <c r="W15" s="4" t="e">
        <f>#REF!</f>
        <v>#REF!</v>
      </c>
      <c r="X15" s="3" t="e">
        <f>#REF!</f>
        <v>#REF!</v>
      </c>
      <c r="Y15" s="3" t="e">
        <f>#REF!</f>
        <v>#REF!</v>
      </c>
      <c r="Z15" s="3" t="e">
        <f>#REF!</f>
        <v>#REF!</v>
      </c>
      <c r="AA15" s="3" t="e">
        <f>#REF!</f>
        <v>#REF!</v>
      </c>
      <c r="AB15" s="213" t="e">
        <f>#REF!</f>
        <v>#REF!</v>
      </c>
      <c r="AC15" s="3" t="e">
        <f>#REF!</f>
        <v>#REF!</v>
      </c>
      <c r="AD15" s="373"/>
      <c r="AE15" s="373"/>
      <c r="AF15" s="373"/>
      <c r="AG15" s="373"/>
      <c r="AH15" s="373"/>
      <c r="AI15" s="373"/>
      <c r="AJ15" s="373"/>
    </row>
    <row r="16" spans="1:52" s="6" customFormat="1" ht="45" customHeight="1">
      <c r="A16" s="7"/>
      <c r="B16" s="7"/>
      <c r="C16" s="13" t="s">
        <v>534</v>
      </c>
      <c r="D16" s="8" t="e">
        <f>SUM(D15)</f>
        <v>#REF!</v>
      </c>
      <c r="E16" s="8" t="e">
        <f t="shared" ref="E16:W16" si="2">SUM(E15)</f>
        <v>#REF!</v>
      </c>
      <c r="F16" s="8" t="e">
        <f t="shared" si="2"/>
        <v>#REF!</v>
      </c>
      <c r="G16" s="8" t="e">
        <f t="shared" si="2"/>
        <v>#REF!</v>
      </c>
      <c r="H16" s="8" t="e">
        <f t="shared" si="2"/>
        <v>#REF!</v>
      </c>
      <c r="I16" s="8" t="e">
        <f t="shared" si="2"/>
        <v>#REF!</v>
      </c>
      <c r="J16" s="8" t="e">
        <f t="shared" si="2"/>
        <v>#REF!</v>
      </c>
      <c r="K16" s="8" t="e">
        <f t="shared" si="2"/>
        <v>#REF!</v>
      </c>
      <c r="L16" s="8" t="e">
        <f t="shared" si="2"/>
        <v>#REF!</v>
      </c>
      <c r="M16" s="8" t="e">
        <f t="shared" si="2"/>
        <v>#REF!</v>
      </c>
      <c r="N16" s="8" t="e">
        <f t="shared" si="2"/>
        <v>#REF!</v>
      </c>
      <c r="O16" s="8" t="e">
        <f t="shared" si="2"/>
        <v>#REF!</v>
      </c>
      <c r="P16" s="8" t="e">
        <f t="shared" si="2"/>
        <v>#REF!</v>
      </c>
      <c r="Q16" s="8" t="e">
        <f t="shared" si="2"/>
        <v>#REF!</v>
      </c>
      <c r="R16" s="8" t="e">
        <f t="shared" si="2"/>
        <v>#REF!</v>
      </c>
      <c r="S16" s="8" t="e">
        <f t="shared" si="2"/>
        <v>#REF!</v>
      </c>
      <c r="T16" s="8" t="e">
        <f t="shared" si="2"/>
        <v>#REF!</v>
      </c>
      <c r="U16" s="8" t="e">
        <f t="shared" si="2"/>
        <v>#REF!</v>
      </c>
      <c r="V16" s="8" t="e">
        <f t="shared" si="2"/>
        <v>#REF!</v>
      </c>
      <c r="W16" s="8" t="e">
        <f t="shared" si="2"/>
        <v>#REF!</v>
      </c>
      <c r="X16" s="7"/>
      <c r="Y16" s="7"/>
      <c r="Z16" s="7"/>
      <c r="AA16" s="7"/>
      <c r="AB16" s="13"/>
      <c r="AC16" s="7"/>
      <c r="AD16" s="401"/>
      <c r="AE16" s="401"/>
      <c r="AF16" s="401"/>
      <c r="AG16" s="401"/>
      <c r="AH16" s="401"/>
      <c r="AI16" s="401"/>
      <c r="AJ16" s="401"/>
    </row>
    <row r="17" spans="1:52" s="6" customFormat="1" ht="45" customHeight="1">
      <c r="A17" s="7">
        <f>A15</f>
        <v>10</v>
      </c>
      <c r="B17" s="20"/>
      <c r="C17" s="137" t="s">
        <v>320</v>
      </c>
      <c r="D17" s="8" t="e">
        <f>D16+D14</f>
        <v>#REF!</v>
      </c>
      <c r="E17" s="8" t="e">
        <f t="shared" ref="E17:W17" si="3">E16+E14</f>
        <v>#REF!</v>
      </c>
      <c r="F17" s="8" t="e">
        <f t="shared" si="3"/>
        <v>#REF!</v>
      </c>
      <c r="G17" s="8" t="e">
        <f t="shared" si="3"/>
        <v>#REF!</v>
      </c>
      <c r="H17" s="8" t="e">
        <f t="shared" si="3"/>
        <v>#REF!</v>
      </c>
      <c r="I17" s="8" t="e">
        <f t="shared" si="3"/>
        <v>#REF!</v>
      </c>
      <c r="J17" s="8" t="e">
        <f t="shared" si="3"/>
        <v>#REF!</v>
      </c>
      <c r="K17" s="8" t="e">
        <f t="shared" si="3"/>
        <v>#REF!</v>
      </c>
      <c r="L17" s="8" t="e">
        <f t="shared" si="3"/>
        <v>#REF!</v>
      </c>
      <c r="M17" s="8" t="e">
        <f t="shared" si="3"/>
        <v>#REF!</v>
      </c>
      <c r="N17" s="8" t="e">
        <f t="shared" si="3"/>
        <v>#REF!</v>
      </c>
      <c r="O17" s="8" t="e">
        <f t="shared" si="3"/>
        <v>#REF!</v>
      </c>
      <c r="P17" s="8" t="e">
        <f t="shared" si="3"/>
        <v>#REF!</v>
      </c>
      <c r="Q17" s="8" t="e">
        <f t="shared" si="3"/>
        <v>#REF!</v>
      </c>
      <c r="R17" s="8" t="e">
        <f t="shared" si="3"/>
        <v>#REF!</v>
      </c>
      <c r="S17" s="8" t="e">
        <f t="shared" si="3"/>
        <v>#REF!</v>
      </c>
      <c r="T17" s="8" t="e">
        <f t="shared" si="3"/>
        <v>#REF!</v>
      </c>
      <c r="U17" s="8" t="e">
        <f t="shared" si="3"/>
        <v>#REF!</v>
      </c>
      <c r="V17" s="8" t="e">
        <f t="shared" si="3"/>
        <v>#REF!</v>
      </c>
      <c r="W17" s="8" t="e">
        <f t="shared" si="3"/>
        <v>#REF!</v>
      </c>
      <c r="X17" s="8" t="e">
        <f>SUM(X5:X15)</f>
        <v>#REF!</v>
      </c>
      <c r="Y17" s="8" t="e">
        <f>SUM(Y5:Y15)</f>
        <v>#REF!</v>
      </c>
      <c r="Z17" s="8" t="e">
        <f>SUM(Z5:Z15)</f>
        <v>#REF!</v>
      </c>
      <c r="AA17" s="8" t="e">
        <f>SUM(AA5:AA15)</f>
        <v>#REF!</v>
      </c>
      <c r="AB17" s="7"/>
      <c r="AC17" s="7"/>
      <c r="AD17" s="373"/>
      <c r="AE17" s="373"/>
      <c r="AF17" s="373"/>
      <c r="AG17" s="373"/>
      <c r="AH17" s="374"/>
      <c r="AI17" s="374"/>
      <c r="AJ17" s="374"/>
      <c r="AK17" s="374"/>
      <c r="AL17" s="374"/>
      <c r="AM17" s="374"/>
      <c r="AN17" s="374"/>
      <c r="AO17" s="374"/>
      <c r="AP17" s="374"/>
      <c r="AQ17" s="374"/>
      <c r="AR17" s="374"/>
      <c r="AS17" s="374"/>
      <c r="AT17" s="374"/>
      <c r="AU17" s="374"/>
      <c r="AV17" s="374"/>
      <c r="AW17" s="374"/>
      <c r="AX17" s="374"/>
      <c r="AY17" s="374"/>
      <c r="AZ17" s="374"/>
    </row>
    <row r="18" spans="1:52" s="399" customFormat="1">
      <c r="D18" s="400"/>
      <c r="E18" s="400"/>
      <c r="F18" s="400"/>
      <c r="G18" s="400"/>
      <c r="H18" s="400"/>
      <c r="I18" s="400"/>
      <c r="J18" s="400"/>
      <c r="K18" s="400"/>
      <c r="L18" s="400" t="e">
        <f>H17+K17</f>
        <v>#REF!</v>
      </c>
      <c r="M18" s="400"/>
      <c r="N18" s="400"/>
      <c r="O18" s="400"/>
      <c r="P18" s="400" t="e">
        <f>G17-L18</f>
        <v>#REF!</v>
      </c>
      <c r="Q18" s="400"/>
      <c r="R18" s="400"/>
      <c r="S18" s="400"/>
      <c r="T18" s="400" t="e">
        <f>P18+S17-M17</f>
        <v>#REF!</v>
      </c>
      <c r="U18" s="400"/>
      <c r="V18" s="400"/>
      <c r="W18" s="400"/>
      <c r="X18" s="400"/>
      <c r="Y18" s="400"/>
      <c r="Z18" s="400"/>
      <c r="AA18" s="400"/>
      <c r="AD18" s="373"/>
      <c r="AE18" s="373"/>
      <c r="AF18" s="373"/>
      <c r="AG18" s="373"/>
      <c r="AH18" s="401"/>
      <c r="AI18" s="401"/>
      <c r="AJ18" s="401"/>
    </row>
    <row r="21" spans="1:52">
      <c r="P21" s="10"/>
      <c r="Q21" s="10"/>
      <c r="R21" s="10"/>
    </row>
  </sheetData>
  <sheetProtection formatCells="0" formatColumns="0" formatRows="0" insertColumns="0" insertRows="0" insertHyperlinks="0" deleteColumns="0" deleteRows="0" sort="0" autoFilter="0" pivotTables="0"/>
  <sortState ref="A5:AZ14">
    <sortCondition ref="AC5:AC14"/>
  </sortState>
  <conditionalFormatting sqref="A1:A2 AH1:AI14 AD1:AG1048576 AJ3:AJ14 AH18:AJ1048576">
    <cfRule type="cellIs" dxfId="323" priority="3" operator="equal">
      <formula>0</formula>
    </cfRule>
  </conditionalFormatting>
  <conditionalFormatting sqref="AH1:XFD2">
    <cfRule type="cellIs" dxfId="322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showZeros="0" rightToLeft="1" zoomScaleNormal="100" workbookViewId="0">
      <pane xSplit="3" ySplit="4" topLeftCell="D8" activePane="bottomRight" state="frozen"/>
      <selection activeCell="S45" sqref="S45"/>
      <selection pane="topRight" activeCell="S45" sqref="S45"/>
      <selection pane="bottomLeft" activeCell="S45" sqref="S45"/>
      <selection pane="bottomRight" activeCell="D11" sqref="D11:AA12"/>
    </sheetView>
  </sheetViews>
  <sheetFormatPr defaultColWidth="9.109375" defaultRowHeight="13.8"/>
  <cols>
    <col min="1" max="1" width="3.6640625" style="475" customWidth="1"/>
    <col min="2" max="2" width="5.6640625" style="424" customWidth="1"/>
    <col min="3" max="3" width="18.33203125" style="424" customWidth="1"/>
    <col min="4" max="4" width="10.6640625" style="423" customWidth="1"/>
    <col min="5" max="5" width="10.6640625" style="423" hidden="1" customWidth="1"/>
    <col min="6" max="6" width="9.6640625" style="423" hidden="1" customWidth="1"/>
    <col min="7" max="8" width="10.109375" style="423" hidden="1" customWidth="1"/>
    <col min="9" max="11" width="9.6640625" style="423" hidden="1" customWidth="1"/>
    <col min="12" max="12" width="10.6640625" style="423" customWidth="1"/>
    <col min="13" max="13" width="10.88671875" style="423" customWidth="1"/>
    <col min="14" max="15" width="9.6640625" style="423" customWidth="1"/>
    <col min="16" max="19" width="9.6640625" style="423" hidden="1" customWidth="1"/>
    <col min="20" max="20" width="9" style="423" customWidth="1"/>
    <col min="21" max="23" width="9.6640625" style="424" customWidth="1"/>
    <col min="24" max="27" width="8.5546875" style="424" hidden="1" customWidth="1"/>
    <col min="28" max="28" width="35.6640625" style="475" customWidth="1"/>
    <col min="29" max="29" width="7.88671875" style="424" customWidth="1"/>
    <col min="30" max="30" width="25.88671875" style="510" customWidth="1"/>
    <col min="31" max="31" width="22" style="510" customWidth="1"/>
    <col min="32" max="32" width="10.6640625" style="510" customWidth="1"/>
    <col min="33" max="33" width="25.88671875" style="510" customWidth="1"/>
    <col min="34" max="34" width="10.6640625" style="510" customWidth="1"/>
    <col min="35" max="35" width="23.88671875" style="510" customWidth="1"/>
    <col min="36" max="36" width="12.33203125" style="510" customWidth="1"/>
    <col min="37" max="37" width="23.88671875" style="510" customWidth="1"/>
    <col min="38" max="38" width="26.6640625" style="509" customWidth="1"/>
    <col min="39" max="39" width="24.33203125" style="509" customWidth="1"/>
    <col min="40" max="42" width="10.6640625" style="509" customWidth="1"/>
    <col min="43" max="43" width="11.6640625" style="509" customWidth="1"/>
    <col min="44" max="44" width="10.6640625" style="509" customWidth="1"/>
    <col min="45" max="47" width="10.6640625" style="511" customWidth="1"/>
    <col min="48" max="16384" width="9.109375" style="424"/>
  </cols>
  <sheetData>
    <row r="1" spans="1:60" s="509" customFormat="1" ht="18">
      <c r="A1" s="507"/>
      <c r="B1" s="507"/>
      <c r="C1" s="507"/>
      <c r="D1" s="508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10"/>
      <c r="AE1" s="510"/>
      <c r="AF1" s="510"/>
      <c r="AG1" s="510"/>
      <c r="AH1" s="510"/>
      <c r="AI1" s="510"/>
      <c r="AJ1" s="510"/>
      <c r="AK1" s="510"/>
      <c r="AS1" s="511"/>
      <c r="AT1" s="511"/>
      <c r="AU1" s="511"/>
    </row>
    <row r="2" spans="1:60" s="509" customFormat="1" ht="18">
      <c r="A2" s="507" t="s">
        <v>995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10"/>
      <c r="AE2" s="510"/>
      <c r="AF2" s="510"/>
      <c r="AG2" s="510"/>
      <c r="AH2" s="510"/>
      <c r="AI2" s="510"/>
      <c r="AJ2" s="510"/>
      <c r="AK2" s="510"/>
      <c r="AS2" s="511"/>
      <c r="AT2" s="511"/>
      <c r="AU2" s="511"/>
    </row>
    <row r="3" spans="1:60" ht="20.399999999999999" customHeight="1">
      <c r="V3" s="895" t="s">
        <v>79</v>
      </c>
      <c r="W3" s="895"/>
      <c r="X3" s="895"/>
      <c r="Y3" s="895"/>
      <c r="Z3" s="895"/>
      <c r="AA3" s="895"/>
    </row>
    <row r="4" spans="1:60" s="511" customFormat="1" ht="75" customHeight="1">
      <c r="A4" s="130" t="s">
        <v>0</v>
      </c>
      <c r="B4" s="420" t="s">
        <v>413</v>
      </c>
      <c r="C4" s="420" t="s">
        <v>2</v>
      </c>
      <c r="D4" s="420" t="s">
        <v>3</v>
      </c>
      <c r="E4" s="420" t="s">
        <v>4</v>
      </c>
      <c r="F4" s="420" t="s">
        <v>5</v>
      </c>
      <c r="G4" s="420" t="s">
        <v>6</v>
      </c>
      <c r="H4" s="420" t="s">
        <v>7</v>
      </c>
      <c r="I4" s="420" t="s">
        <v>9</v>
      </c>
      <c r="J4" s="420" t="s">
        <v>125</v>
      </c>
      <c r="K4" s="420" t="s">
        <v>10</v>
      </c>
      <c r="L4" s="420" t="s">
        <v>11</v>
      </c>
      <c r="M4" s="420" t="s">
        <v>917</v>
      </c>
      <c r="N4" s="42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420" t="s">
        <v>13</v>
      </c>
      <c r="W4" s="420" t="s">
        <v>14</v>
      </c>
      <c r="X4" s="420" t="s">
        <v>15</v>
      </c>
      <c r="Y4" s="420" t="s">
        <v>214</v>
      </c>
      <c r="Z4" s="420" t="s">
        <v>502</v>
      </c>
      <c r="AA4" s="420" t="s">
        <v>75</v>
      </c>
      <c r="AB4" s="420" t="s">
        <v>242</v>
      </c>
      <c r="AC4" s="420" t="s">
        <v>16</v>
      </c>
      <c r="AD4" s="510"/>
      <c r="AE4" s="510"/>
      <c r="AF4" s="510"/>
      <c r="AG4" s="510"/>
      <c r="AH4" s="510"/>
      <c r="AI4" s="510"/>
      <c r="AJ4" s="510"/>
      <c r="AK4" s="510"/>
      <c r="AL4" s="509"/>
      <c r="AM4" s="509"/>
      <c r="AN4" s="509"/>
      <c r="AO4" s="509"/>
      <c r="AP4" s="509"/>
      <c r="AQ4" s="509"/>
      <c r="AR4" s="509"/>
    </row>
    <row r="5" spans="1:60" s="511" customFormat="1" ht="34.200000000000003" customHeight="1">
      <c r="A5" s="130"/>
      <c r="B5" s="420"/>
      <c r="C5" s="512">
        <v>826</v>
      </c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1"/>
      <c r="P5" s="421"/>
      <c r="Q5" s="421"/>
      <c r="R5" s="421"/>
      <c r="S5" s="421"/>
      <c r="T5" s="421"/>
      <c r="U5" s="421"/>
      <c r="V5" s="420"/>
      <c r="W5" s="420"/>
      <c r="X5" s="420"/>
      <c r="Y5" s="420"/>
      <c r="Z5" s="420"/>
      <c r="AA5" s="420"/>
      <c r="AB5" s="420"/>
      <c r="AC5" s="420"/>
      <c r="AD5" s="510"/>
      <c r="AE5" s="510"/>
      <c r="AF5" s="510"/>
      <c r="AG5" s="510"/>
      <c r="AH5" s="510"/>
      <c r="AI5" s="510"/>
      <c r="AJ5" s="510"/>
      <c r="AK5" s="510"/>
      <c r="AL5" s="509"/>
      <c r="AM5" s="509"/>
      <c r="AN5" s="509"/>
      <c r="AO5" s="509"/>
      <c r="AP5" s="509"/>
      <c r="AQ5" s="509"/>
      <c r="AR5" s="509"/>
    </row>
    <row r="6" spans="1:60" s="452" customFormat="1" ht="49.95" customHeight="1">
      <c r="A6" s="448">
        <v>1</v>
      </c>
      <c r="B6" s="448">
        <v>2031</v>
      </c>
      <c r="C6" s="448" t="s">
        <v>279</v>
      </c>
      <c r="D6" s="449">
        <v>2700000</v>
      </c>
      <c r="E6" s="449">
        <v>2700000</v>
      </c>
      <c r="F6" s="449"/>
      <c r="G6" s="449">
        <v>2700000</v>
      </c>
      <c r="H6" s="449">
        <v>2620066</v>
      </c>
      <c r="I6" s="449">
        <v>0</v>
      </c>
      <c r="J6" s="449">
        <v>34663</v>
      </c>
      <c r="K6" s="449">
        <f>I6+J6</f>
        <v>34663</v>
      </c>
      <c r="L6" s="449">
        <f>H6+K6</f>
        <v>2654729</v>
      </c>
      <c r="M6" s="449">
        <f>P6+S6-45000</f>
        <v>271</v>
      </c>
      <c r="N6" s="449">
        <v>45000</v>
      </c>
      <c r="O6" s="449">
        <f>D6-L6-M6-N6</f>
        <v>0</v>
      </c>
      <c r="P6" s="449">
        <f>G6-L6</f>
        <v>45271</v>
      </c>
      <c r="Q6" s="482"/>
      <c r="R6" s="449"/>
      <c r="S6" s="449">
        <f>SUM(Q6:R6)</f>
        <v>0</v>
      </c>
      <c r="T6" s="449">
        <f>P6-M6+S6</f>
        <v>45000</v>
      </c>
      <c r="U6" s="449">
        <f>N6-T6</f>
        <v>0</v>
      </c>
      <c r="V6" s="449"/>
      <c r="W6" s="449">
        <f>U6-V6-Z6-AA6</f>
        <v>0</v>
      </c>
      <c r="X6" s="449"/>
      <c r="Y6" s="449"/>
      <c r="Z6" s="449"/>
      <c r="AA6" s="448"/>
      <c r="AB6" s="448" t="s">
        <v>441</v>
      </c>
      <c r="AC6" s="448">
        <v>826000</v>
      </c>
      <c r="AD6" s="510"/>
      <c r="AE6" s="510"/>
      <c r="AF6" s="510"/>
      <c r="AG6" s="510"/>
      <c r="AH6" s="510"/>
      <c r="AI6" s="510"/>
      <c r="AJ6" s="510"/>
      <c r="AK6" s="510"/>
      <c r="AL6" s="509"/>
      <c r="AM6" s="509"/>
      <c r="AN6" s="509"/>
      <c r="AO6" s="509"/>
      <c r="AP6" s="509"/>
      <c r="AQ6" s="509"/>
      <c r="AR6" s="509"/>
      <c r="AS6" s="511"/>
      <c r="AT6" s="511"/>
      <c r="AU6" s="511"/>
    </row>
    <row r="7" spans="1:60" s="452" customFormat="1" ht="45" customHeight="1">
      <c r="A7" s="448">
        <f>1+A6</f>
        <v>2</v>
      </c>
      <c r="B7" s="455">
        <v>20075</v>
      </c>
      <c r="C7" s="448" t="s">
        <v>750</v>
      </c>
      <c r="D7" s="449">
        <f>300000+368000</f>
        <v>668000</v>
      </c>
      <c r="E7" s="449">
        <v>300000</v>
      </c>
      <c r="F7" s="449">
        <f>+D7-E7</f>
        <v>368000</v>
      </c>
      <c r="G7" s="449">
        <v>300000</v>
      </c>
      <c r="H7" s="449">
        <v>170353</v>
      </c>
      <c r="I7" s="449">
        <v>0</v>
      </c>
      <c r="J7" s="449">
        <v>55280</v>
      </c>
      <c r="K7" s="449">
        <f>I7+J7</f>
        <v>55280</v>
      </c>
      <c r="L7" s="449">
        <f>H7+K7</f>
        <v>225633</v>
      </c>
      <c r="M7" s="449">
        <f>P7+S7-74000</f>
        <v>367</v>
      </c>
      <c r="N7" s="449">
        <f>368000+74000-142000</f>
        <v>300000</v>
      </c>
      <c r="O7" s="449">
        <f>D7-L7-M7-N7</f>
        <v>142000</v>
      </c>
      <c r="P7" s="449">
        <f>G7-L7</f>
        <v>74367</v>
      </c>
      <c r="Q7" s="482"/>
      <c r="R7" s="449"/>
      <c r="S7" s="449">
        <f>SUM(Q7:R7)</f>
        <v>0</v>
      </c>
      <c r="T7" s="449">
        <f>P7-M7+S7</f>
        <v>74000</v>
      </c>
      <c r="U7" s="449">
        <f>N7-T7</f>
        <v>226000</v>
      </c>
      <c r="V7" s="449"/>
      <c r="W7" s="449">
        <f>U7-V7-Z7-AA7</f>
        <v>226000</v>
      </c>
      <c r="X7" s="449"/>
      <c r="Y7" s="449"/>
      <c r="Z7" s="449"/>
      <c r="AA7" s="448"/>
      <c r="AB7" s="448" t="s">
        <v>997</v>
      </c>
      <c r="AC7" s="448">
        <v>826000</v>
      </c>
      <c r="AD7" s="510"/>
      <c r="AE7" s="510"/>
      <c r="AF7" s="510"/>
      <c r="AG7" s="510"/>
      <c r="AH7" s="510"/>
      <c r="AI7" s="510"/>
      <c r="AJ7" s="510"/>
      <c r="AK7" s="510"/>
      <c r="AL7" s="509"/>
      <c r="AM7" s="509"/>
      <c r="AN7" s="509"/>
      <c r="AO7" s="509"/>
      <c r="AP7" s="509"/>
      <c r="AQ7" s="509"/>
      <c r="AR7" s="509"/>
      <c r="AS7" s="511"/>
      <c r="AT7" s="511"/>
      <c r="AU7" s="511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</row>
    <row r="8" spans="1:60" s="456" customFormat="1" ht="34.950000000000003" customHeight="1">
      <c r="A8" s="512"/>
      <c r="B8" s="454"/>
      <c r="C8" s="512" t="s">
        <v>1571</v>
      </c>
      <c r="D8" s="425">
        <f>SUM(D6:D7)</f>
        <v>3368000</v>
      </c>
      <c r="E8" s="425">
        <f t="shared" ref="E8:W8" si="0">SUM(E6:E7)</f>
        <v>3000000</v>
      </c>
      <c r="F8" s="425">
        <f t="shared" si="0"/>
        <v>368000</v>
      </c>
      <c r="G8" s="425">
        <f t="shared" si="0"/>
        <v>3000000</v>
      </c>
      <c r="H8" s="425">
        <f t="shared" si="0"/>
        <v>2790419</v>
      </c>
      <c r="I8" s="425">
        <f t="shared" si="0"/>
        <v>0</v>
      </c>
      <c r="J8" s="425">
        <f t="shared" si="0"/>
        <v>89943</v>
      </c>
      <c r="K8" s="425">
        <f t="shared" si="0"/>
        <v>89943</v>
      </c>
      <c r="L8" s="425">
        <f t="shared" si="0"/>
        <v>2880362</v>
      </c>
      <c r="M8" s="425">
        <f t="shared" si="0"/>
        <v>638</v>
      </c>
      <c r="N8" s="425">
        <f t="shared" si="0"/>
        <v>345000</v>
      </c>
      <c r="O8" s="425">
        <f t="shared" si="0"/>
        <v>142000</v>
      </c>
      <c r="P8" s="425">
        <f t="shared" si="0"/>
        <v>119638</v>
      </c>
      <c r="Q8" s="425">
        <f t="shared" si="0"/>
        <v>0</v>
      </c>
      <c r="R8" s="425">
        <f t="shared" si="0"/>
        <v>0</v>
      </c>
      <c r="S8" s="425">
        <f t="shared" si="0"/>
        <v>0</v>
      </c>
      <c r="T8" s="425">
        <f t="shared" si="0"/>
        <v>119000</v>
      </c>
      <c r="U8" s="425">
        <f t="shared" si="0"/>
        <v>226000</v>
      </c>
      <c r="V8" s="425">
        <f t="shared" si="0"/>
        <v>0</v>
      </c>
      <c r="W8" s="425">
        <f t="shared" si="0"/>
        <v>226000</v>
      </c>
      <c r="X8" s="425"/>
      <c r="Y8" s="425"/>
      <c r="Z8" s="425"/>
      <c r="AA8" s="512"/>
      <c r="AB8" s="512"/>
      <c r="AC8" s="512"/>
      <c r="AD8" s="824"/>
      <c r="AE8" s="824"/>
      <c r="AF8" s="824"/>
      <c r="AG8" s="824"/>
      <c r="AH8" s="824"/>
      <c r="AI8" s="824"/>
      <c r="AJ8" s="824"/>
      <c r="AK8" s="824"/>
      <c r="AL8" s="825"/>
      <c r="AM8" s="825"/>
      <c r="AN8" s="825"/>
      <c r="AO8" s="825"/>
      <c r="AP8" s="825"/>
      <c r="AQ8" s="825"/>
      <c r="AR8" s="825"/>
      <c r="AS8" s="511"/>
      <c r="AT8" s="511"/>
      <c r="AU8" s="511"/>
      <c r="AV8" s="374"/>
      <c r="AW8" s="374"/>
      <c r="AX8" s="374"/>
      <c r="AY8" s="374"/>
      <c r="AZ8" s="374"/>
      <c r="BA8" s="374"/>
      <c r="BB8" s="374"/>
      <c r="BC8" s="374"/>
      <c r="BD8" s="374"/>
      <c r="BE8" s="374"/>
      <c r="BF8" s="374"/>
      <c r="BG8" s="374"/>
      <c r="BH8" s="374"/>
    </row>
    <row r="9" spans="1:60" s="456" customFormat="1" ht="34.950000000000003" customHeight="1">
      <c r="A9" s="512"/>
      <c r="B9" s="454"/>
      <c r="C9" s="512">
        <v>93</v>
      </c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820"/>
      <c r="R9" s="425"/>
      <c r="S9" s="425"/>
      <c r="T9" s="425"/>
      <c r="U9" s="425"/>
      <c r="V9" s="425"/>
      <c r="W9" s="425"/>
      <c r="X9" s="425"/>
      <c r="Y9" s="425"/>
      <c r="Z9" s="425"/>
      <c r="AA9" s="512"/>
      <c r="AB9" s="512"/>
      <c r="AC9" s="512"/>
      <c r="AD9" s="824"/>
      <c r="AE9" s="824"/>
      <c r="AF9" s="824"/>
      <c r="AG9" s="824"/>
      <c r="AH9" s="824"/>
      <c r="AI9" s="824"/>
      <c r="AJ9" s="824"/>
      <c r="AK9" s="824"/>
      <c r="AL9" s="825"/>
      <c r="AM9" s="825"/>
      <c r="AN9" s="825"/>
      <c r="AO9" s="825"/>
      <c r="AP9" s="825"/>
      <c r="AQ9" s="825"/>
      <c r="AR9" s="825"/>
      <c r="AS9" s="511"/>
      <c r="AT9" s="511"/>
      <c r="AU9" s="511"/>
      <c r="AV9" s="374"/>
      <c r="AW9" s="374"/>
      <c r="AX9" s="374"/>
      <c r="AY9" s="374"/>
      <c r="AZ9" s="374"/>
      <c r="BA9" s="374"/>
      <c r="BB9" s="374"/>
      <c r="BC9" s="374"/>
      <c r="BD9" s="374"/>
      <c r="BE9" s="374"/>
      <c r="BF9" s="374"/>
      <c r="BG9" s="374"/>
      <c r="BH9" s="374"/>
    </row>
    <row r="10" spans="1:60" s="452" customFormat="1" ht="41.4">
      <c r="A10" s="448">
        <f>1+A7</f>
        <v>3</v>
      </c>
      <c r="B10" s="448">
        <v>1486</v>
      </c>
      <c r="C10" s="448" t="s">
        <v>371</v>
      </c>
      <c r="D10" s="449">
        <f>9590365+200000+700000+80000</f>
        <v>10570365</v>
      </c>
      <c r="E10" s="449">
        <v>9590365</v>
      </c>
      <c r="F10" s="449">
        <f>D10-E10</f>
        <v>980000</v>
      </c>
      <c r="G10" s="449">
        <v>8590365</v>
      </c>
      <c r="H10" s="449">
        <v>8126724</v>
      </c>
      <c r="I10" s="449">
        <v>0</v>
      </c>
      <c r="J10" s="449">
        <v>225877</v>
      </c>
      <c r="K10" s="449">
        <f>I10+J10</f>
        <v>225877</v>
      </c>
      <c r="L10" s="449">
        <f>H10+K10</f>
        <v>8352601</v>
      </c>
      <c r="M10" s="449">
        <f>P10+S10-300000</f>
        <v>17764</v>
      </c>
      <c r="N10" s="449">
        <f>1200000+700000-300000-600000</f>
        <v>1000000</v>
      </c>
      <c r="O10" s="449">
        <f>D10-L10-M10-N10</f>
        <v>1200000</v>
      </c>
      <c r="P10" s="449">
        <f>G10-L10</f>
        <v>237764</v>
      </c>
      <c r="Q10" s="482">
        <v>80000</v>
      </c>
      <c r="R10" s="449"/>
      <c r="S10" s="449">
        <f>SUM(Q10:R10)</f>
        <v>80000</v>
      </c>
      <c r="T10" s="449">
        <f>P10-M10+S10</f>
        <v>300000</v>
      </c>
      <c r="U10" s="449">
        <f>N10-T10</f>
        <v>700000</v>
      </c>
      <c r="V10" s="449"/>
      <c r="W10" s="449">
        <f>U10-V10-Z10-AA10</f>
        <v>700000</v>
      </c>
      <c r="X10" s="449"/>
      <c r="Y10" s="449"/>
      <c r="Z10" s="449"/>
      <c r="AA10" s="448"/>
      <c r="AB10" s="448" t="s">
        <v>996</v>
      </c>
      <c r="AC10" s="448">
        <v>930000</v>
      </c>
      <c r="AD10" s="510"/>
      <c r="AE10" s="510"/>
      <c r="AF10" s="510"/>
      <c r="AG10" s="510"/>
      <c r="AH10" s="510"/>
      <c r="AI10" s="510"/>
      <c r="AJ10" s="510"/>
      <c r="AK10" s="510"/>
      <c r="AL10" s="509"/>
      <c r="AM10" s="509"/>
      <c r="AN10" s="509"/>
      <c r="AO10" s="509"/>
      <c r="AP10" s="509"/>
      <c r="AQ10" s="509"/>
      <c r="AR10" s="509"/>
      <c r="AS10" s="511"/>
      <c r="AT10" s="511"/>
      <c r="AU10" s="511"/>
    </row>
    <row r="11" spans="1:60" s="456" customFormat="1" ht="18.600000000000001" customHeight="1">
      <c r="A11" s="512"/>
      <c r="B11" s="512"/>
      <c r="C11" s="512" t="s">
        <v>1570</v>
      </c>
      <c r="D11" s="425">
        <f>SUM(D10)</f>
        <v>10570365</v>
      </c>
      <c r="E11" s="425">
        <f t="shared" ref="E11:AA11" si="1">SUM(E10)</f>
        <v>9590365</v>
      </c>
      <c r="F11" s="425">
        <f t="shared" si="1"/>
        <v>980000</v>
      </c>
      <c r="G11" s="425">
        <f t="shared" si="1"/>
        <v>8590365</v>
      </c>
      <c r="H11" s="425">
        <f t="shared" si="1"/>
        <v>8126724</v>
      </c>
      <c r="I11" s="425">
        <f t="shared" si="1"/>
        <v>0</v>
      </c>
      <c r="J11" s="425">
        <f t="shared" si="1"/>
        <v>225877</v>
      </c>
      <c r="K11" s="425">
        <f t="shared" si="1"/>
        <v>225877</v>
      </c>
      <c r="L11" s="425">
        <f t="shared" si="1"/>
        <v>8352601</v>
      </c>
      <c r="M11" s="425">
        <f t="shared" si="1"/>
        <v>17764</v>
      </c>
      <c r="N11" s="425">
        <f t="shared" si="1"/>
        <v>1000000</v>
      </c>
      <c r="O11" s="425">
        <f t="shared" si="1"/>
        <v>1200000</v>
      </c>
      <c r="P11" s="425">
        <f t="shared" si="1"/>
        <v>237764</v>
      </c>
      <c r="Q11" s="425">
        <f t="shared" si="1"/>
        <v>80000</v>
      </c>
      <c r="R11" s="425">
        <f t="shared" si="1"/>
        <v>0</v>
      </c>
      <c r="S11" s="425">
        <f t="shared" si="1"/>
        <v>80000</v>
      </c>
      <c r="T11" s="425">
        <f t="shared" si="1"/>
        <v>300000</v>
      </c>
      <c r="U11" s="425">
        <f t="shared" si="1"/>
        <v>700000</v>
      </c>
      <c r="V11" s="425">
        <f t="shared" si="1"/>
        <v>0</v>
      </c>
      <c r="W11" s="425">
        <f t="shared" si="1"/>
        <v>700000</v>
      </c>
      <c r="X11" s="425">
        <f t="shared" si="1"/>
        <v>0</v>
      </c>
      <c r="Y11" s="425">
        <f t="shared" si="1"/>
        <v>0</v>
      </c>
      <c r="Z11" s="425">
        <f t="shared" si="1"/>
        <v>0</v>
      </c>
      <c r="AA11" s="425">
        <f t="shared" si="1"/>
        <v>0</v>
      </c>
      <c r="AB11" s="512"/>
      <c r="AC11" s="512"/>
      <c r="AD11" s="824"/>
      <c r="AE11" s="824"/>
      <c r="AF11" s="824"/>
      <c r="AG11" s="824"/>
      <c r="AH11" s="824"/>
      <c r="AI11" s="824"/>
      <c r="AJ11" s="824"/>
      <c r="AK11" s="824"/>
      <c r="AL11" s="825"/>
      <c r="AM11" s="825"/>
      <c r="AN11" s="825"/>
      <c r="AO11" s="825"/>
      <c r="AP11" s="825"/>
      <c r="AQ11" s="825"/>
      <c r="AR11" s="825"/>
      <c r="AS11" s="511"/>
      <c r="AT11" s="511"/>
      <c r="AU11" s="511"/>
    </row>
    <row r="12" spans="1:60" s="456" customFormat="1" ht="45" customHeight="1">
      <c r="A12" s="512">
        <f>COUNT(A6:A10)</f>
        <v>3</v>
      </c>
      <c r="B12" s="454"/>
      <c r="C12" s="513" t="s">
        <v>998</v>
      </c>
      <c r="D12" s="425">
        <f>D11+D8</f>
        <v>13938365</v>
      </c>
      <c r="E12" s="425">
        <f t="shared" ref="E12:AA12" si="2">E11+E8</f>
        <v>12590365</v>
      </c>
      <c r="F12" s="425">
        <f t="shared" si="2"/>
        <v>1348000</v>
      </c>
      <c r="G12" s="425">
        <f t="shared" si="2"/>
        <v>11590365</v>
      </c>
      <c r="H12" s="425">
        <f t="shared" si="2"/>
        <v>10917143</v>
      </c>
      <c r="I12" s="425">
        <f t="shared" si="2"/>
        <v>0</v>
      </c>
      <c r="J12" s="425">
        <f t="shared" si="2"/>
        <v>315820</v>
      </c>
      <c r="K12" s="425">
        <f t="shared" si="2"/>
        <v>315820</v>
      </c>
      <c r="L12" s="425">
        <f t="shared" si="2"/>
        <v>11232963</v>
      </c>
      <c r="M12" s="425">
        <f t="shared" si="2"/>
        <v>18402</v>
      </c>
      <c r="N12" s="425">
        <f t="shared" si="2"/>
        <v>1345000</v>
      </c>
      <c r="O12" s="425">
        <f t="shared" si="2"/>
        <v>1342000</v>
      </c>
      <c r="P12" s="425">
        <f t="shared" si="2"/>
        <v>357402</v>
      </c>
      <c r="Q12" s="425">
        <f t="shared" si="2"/>
        <v>80000</v>
      </c>
      <c r="R12" s="425">
        <f t="shared" si="2"/>
        <v>0</v>
      </c>
      <c r="S12" s="425">
        <f t="shared" si="2"/>
        <v>80000</v>
      </c>
      <c r="T12" s="425">
        <f t="shared" si="2"/>
        <v>419000</v>
      </c>
      <c r="U12" s="425">
        <f t="shared" si="2"/>
        <v>926000</v>
      </c>
      <c r="V12" s="425">
        <f t="shared" si="2"/>
        <v>0</v>
      </c>
      <c r="W12" s="425">
        <f t="shared" si="2"/>
        <v>926000</v>
      </c>
      <c r="X12" s="425">
        <f t="shared" si="2"/>
        <v>0</v>
      </c>
      <c r="Y12" s="425">
        <f t="shared" si="2"/>
        <v>0</v>
      </c>
      <c r="Z12" s="425">
        <f t="shared" si="2"/>
        <v>0</v>
      </c>
      <c r="AA12" s="425">
        <f t="shared" si="2"/>
        <v>0</v>
      </c>
      <c r="AB12" s="425">
        <f>SUM(AB6:AB10)</f>
        <v>0</v>
      </c>
      <c r="AC12" s="425"/>
      <c r="AD12" s="510"/>
      <c r="AE12" s="510"/>
      <c r="AF12" s="510"/>
      <c r="AG12" s="510"/>
      <c r="AH12" s="510"/>
      <c r="AI12" s="510"/>
      <c r="AJ12" s="510"/>
      <c r="AK12" s="510"/>
      <c r="AL12" s="509"/>
      <c r="AM12" s="509"/>
      <c r="AN12" s="509"/>
      <c r="AO12" s="509"/>
      <c r="AP12" s="509"/>
      <c r="AQ12" s="509"/>
      <c r="AR12" s="509"/>
      <c r="AS12" s="511"/>
      <c r="AT12" s="511"/>
      <c r="AU12" s="511"/>
      <c r="AV12" s="374"/>
      <c r="AW12" s="374"/>
      <c r="AX12" s="374"/>
      <c r="AY12" s="374"/>
      <c r="AZ12" s="374"/>
      <c r="BA12" s="374"/>
      <c r="BB12" s="374"/>
      <c r="BC12" s="374"/>
      <c r="BD12" s="374"/>
      <c r="BE12" s="374"/>
      <c r="BF12" s="374"/>
      <c r="BG12" s="374"/>
      <c r="BH12" s="374"/>
    </row>
    <row r="13" spans="1:60" s="465" customFormat="1">
      <c r="A13" s="464"/>
      <c r="B13" s="491"/>
      <c r="C13" s="468"/>
      <c r="D13" s="492">
        <f>SUM(L12:O12)</f>
        <v>13938365</v>
      </c>
      <c r="E13" s="467"/>
      <c r="F13" s="493">
        <f>D12-E12</f>
        <v>1348000</v>
      </c>
      <c r="G13" s="493"/>
      <c r="H13" s="493"/>
      <c r="I13" s="493"/>
      <c r="J13" s="493"/>
      <c r="K13" s="493"/>
      <c r="L13" s="492">
        <f>H12+K12</f>
        <v>11232963</v>
      </c>
      <c r="M13" s="493"/>
      <c r="N13" s="493"/>
      <c r="O13" s="493"/>
      <c r="P13" s="492">
        <f>G12-L13</f>
        <v>357402</v>
      </c>
      <c r="Q13" s="493"/>
      <c r="R13" s="493"/>
      <c r="S13" s="493"/>
      <c r="T13" s="492">
        <f>P13+S12-M12</f>
        <v>419000</v>
      </c>
      <c r="U13" s="492">
        <f>N12-T13</f>
        <v>926000</v>
      </c>
      <c r="V13" s="493"/>
      <c r="W13" s="493"/>
      <c r="X13" s="493"/>
      <c r="Y13" s="493"/>
      <c r="Z13" s="493"/>
      <c r="AA13" s="493"/>
      <c r="AB13" s="494"/>
      <c r="AD13" s="510"/>
      <c r="AE13" s="510"/>
      <c r="AF13" s="510"/>
      <c r="AG13" s="510"/>
      <c r="AH13" s="510"/>
      <c r="AI13" s="510"/>
      <c r="AJ13" s="510"/>
      <c r="AK13" s="510"/>
      <c r="AL13" s="509"/>
      <c r="AM13" s="509"/>
      <c r="AN13" s="487"/>
      <c r="AO13" s="487"/>
      <c r="AP13" s="487"/>
      <c r="AQ13" s="487"/>
      <c r="AR13" s="487"/>
      <c r="AS13" s="487"/>
      <c r="AT13" s="487"/>
      <c r="AU13" s="487"/>
    </row>
    <row r="14" spans="1:60" s="465" customFormat="1">
      <c r="A14" s="464"/>
      <c r="B14" s="491"/>
      <c r="C14" s="468"/>
      <c r="D14" s="492"/>
      <c r="E14" s="467"/>
      <c r="F14" s="493"/>
      <c r="G14" s="493"/>
      <c r="H14" s="493"/>
      <c r="I14" s="493"/>
      <c r="J14" s="493"/>
      <c r="K14" s="493"/>
      <c r="L14" s="492"/>
      <c r="M14" s="493"/>
      <c r="N14" s="493"/>
      <c r="O14" s="493"/>
      <c r="P14" s="492"/>
      <c r="Q14" s="493"/>
      <c r="R14" s="493"/>
      <c r="S14" s="493"/>
      <c r="T14" s="492"/>
      <c r="U14" s="492"/>
      <c r="V14" s="493"/>
      <c r="W14" s="493"/>
      <c r="X14" s="493"/>
      <c r="Y14" s="493"/>
      <c r="Z14" s="493"/>
      <c r="AA14" s="493"/>
      <c r="AB14" s="494"/>
      <c r="AD14" s="510"/>
      <c r="AE14" s="510"/>
      <c r="AF14" s="510"/>
      <c r="AG14" s="510"/>
      <c r="AH14" s="510"/>
      <c r="AI14" s="510"/>
      <c r="AJ14" s="510"/>
      <c r="AK14" s="510"/>
      <c r="AL14" s="509"/>
      <c r="AM14" s="509"/>
      <c r="AN14" s="487"/>
      <c r="AO14" s="487"/>
      <c r="AP14" s="487"/>
      <c r="AQ14" s="487"/>
      <c r="AR14" s="487"/>
      <c r="AS14" s="487"/>
      <c r="AT14" s="487"/>
      <c r="AU14" s="487"/>
    </row>
    <row r="15" spans="1:60" s="475" customFormat="1">
      <c r="B15" s="424"/>
      <c r="C15" s="424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S15" s="423"/>
      <c r="T15" s="423"/>
      <c r="U15" s="424"/>
      <c r="V15" s="424"/>
      <c r="W15" s="424"/>
      <c r="X15" s="424"/>
      <c r="Y15" s="424"/>
      <c r="Z15" s="424"/>
      <c r="AA15" s="424"/>
      <c r="AC15" s="424"/>
      <c r="AD15" s="510"/>
      <c r="AE15" s="510"/>
      <c r="AF15" s="510"/>
      <c r="AG15" s="510"/>
      <c r="AH15" s="510"/>
      <c r="AI15" s="510"/>
      <c r="AJ15" s="510"/>
      <c r="AK15" s="510"/>
      <c r="AL15" s="509"/>
      <c r="AM15" s="509"/>
      <c r="AN15" s="509"/>
      <c r="AO15" s="509"/>
      <c r="AP15" s="509"/>
      <c r="AQ15" s="509"/>
      <c r="AR15" s="509"/>
      <c r="AS15" s="511"/>
      <c r="AT15" s="511"/>
      <c r="AU15" s="511"/>
      <c r="AV15" s="424"/>
      <c r="AW15" s="424"/>
      <c r="AX15" s="424"/>
      <c r="AY15" s="424"/>
      <c r="AZ15" s="424"/>
      <c r="BA15" s="424"/>
      <c r="BB15" s="424"/>
      <c r="BC15" s="424"/>
      <c r="BD15" s="424"/>
      <c r="BE15" s="424"/>
      <c r="BF15" s="424"/>
      <c r="BG15" s="424"/>
      <c r="BH15" s="424"/>
    </row>
    <row r="16" spans="1:60" s="465" customFormat="1" ht="15.6">
      <c r="A16" s="464"/>
      <c r="C16" s="466"/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7"/>
      <c r="S16" s="467"/>
      <c r="T16" s="467"/>
      <c r="AB16" s="468"/>
      <c r="AD16" s="510"/>
      <c r="AE16" s="510"/>
      <c r="AF16" s="510"/>
      <c r="AG16" s="510"/>
      <c r="AH16" s="510"/>
      <c r="AI16" s="510"/>
      <c r="AJ16" s="510"/>
      <c r="AK16" s="510"/>
      <c r="AL16" s="509"/>
      <c r="AM16" s="509"/>
    </row>
    <row r="17" spans="1:23" ht="15.6">
      <c r="A17" s="429"/>
      <c r="M17" s="467"/>
      <c r="N17" s="467"/>
      <c r="O17" s="467"/>
      <c r="P17" s="467"/>
      <c r="Q17" s="467"/>
      <c r="R17" s="467"/>
      <c r="S17" s="467"/>
      <c r="T17" s="467"/>
      <c r="U17" s="465"/>
    </row>
    <row r="18" spans="1:23" ht="15.6">
      <c r="A18" s="429"/>
      <c r="B18" s="429"/>
      <c r="M18" s="467"/>
      <c r="N18" s="467"/>
      <c r="O18" s="467"/>
      <c r="P18" s="467"/>
      <c r="Q18" s="467"/>
      <c r="R18" s="467"/>
      <c r="S18" s="467"/>
      <c r="T18" s="467"/>
      <c r="U18" s="465"/>
    </row>
    <row r="19" spans="1:23">
      <c r="M19" s="467"/>
      <c r="N19" s="467"/>
      <c r="O19" s="467"/>
      <c r="P19" s="467"/>
      <c r="Q19" s="467"/>
      <c r="R19" s="467"/>
      <c r="S19" s="467"/>
      <c r="T19" s="467"/>
      <c r="U19" s="465"/>
    </row>
    <row r="20" spans="1:23">
      <c r="O20" s="510"/>
      <c r="P20" s="510"/>
      <c r="Q20" s="510"/>
      <c r="R20" s="510"/>
      <c r="S20" s="510"/>
      <c r="T20" s="510"/>
      <c r="U20" s="510"/>
      <c r="V20" s="510"/>
      <c r="W20" s="510"/>
    </row>
    <row r="21" spans="1:23">
      <c r="A21" s="739"/>
      <c r="O21" s="510"/>
      <c r="P21" s="510"/>
      <c r="Q21" s="510"/>
      <c r="R21" s="510"/>
      <c r="S21" s="510"/>
      <c r="T21" s="510"/>
      <c r="U21" s="510"/>
      <c r="V21" s="510"/>
      <c r="W21" s="510"/>
    </row>
    <row r="22" spans="1:23">
      <c r="O22" s="510"/>
      <c r="P22" s="510"/>
      <c r="Q22" s="510"/>
      <c r="R22" s="510"/>
      <c r="S22" s="510"/>
      <c r="T22" s="510"/>
      <c r="U22" s="510"/>
      <c r="V22" s="510"/>
      <c r="W22" s="510"/>
    </row>
    <row r="23" spans="1:23">
      <c r="O23" s="510"/>
      <c r="P23" s="510"/>
      <c r="Q23" s="510"/>
      <c r="R23" s="510"/>
      <c r="S23" s="510"/>
      <c r="T23" s="510"/>
      <c r="U23" s="510"/>
      <c r="V23" s="510"/>
      <c r="W23" s="510"/>
    </row>
    <row r="24" spans="1:23">
      <c r="O24" s="510"/>
      <c r="P24" s="510"/>
      <c r="Q24" s="510"/>
      <c r="R24" s="510"/>
      <c r="S24" s="510"/>
      <c r="T24" s="510"/>
      <c r="U24" s="510"/>
      <c r="V24" s="510"/>
      <c r="W24" s="510"/>
    </row>
    <row r="25" spans="1:23">
      <c r="O25" s="510"/>
      <c r="P25" s="510"/>
      <c r="Q25" s="510"/>
      <c r="R25" s="510"/>
      <c r="S25" s="510"/>
      <c r="T25" s="510"/>
      <c r="U25" s="510"/>
      <c r="V25" s="510"/>
      <c r="W25" s="510"/>
    </row>
    <row r="26" spans="1:23">
      <c r="O26" s="510"/>
      <c r="P26" s="510"/>
      <c r="Q26" s="510"/>
      <c r="R26" s="510"/>
      <c r="S26" s="510"/>
      <c r="T26" s="510"/>
      <c r="U26" s="510"/>
      <c r="V26" s="510"/>
      <c r="W26" s="510"/>
    </row>
    <row r="31" spans="1:23">
      <c r="C31" s="739"/>
    </row>
    <row r="134" spans="1:1">
      <c r="A134" s="475">
        <f>COUNT(A6:A133)</f>
        <v>4</v>
      </c>
    </row>
    <row r="137" spans="1:1">
      <c r="A137" s="475">
        <f>A134+1</f>
        <v>5</v>
      </c>
    </row>
    <row r="140" spans="1:1" ht="37.950000000000003" customHeight="1"/>
    <row r="143" spans="1:1" ht="70.95" customHeight="1"/>
    <row r="146" spans="2:60" ht="72" customHeight="1"/>
    <row r="148" spans="2:60" ht="43.95" customHeight="1"/>
    <row r="150" spans="2:60" s="475" customFormat="1" ht="30" customHeight="1">
      <c r="B150" s="424"/>
      <c r="C150" s="424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4"/>
      <c r="V150" s="424"/>
      <c r="W150" s="424"/>
      <c r="X150" s="424"/>
      <c r="Y150" s="424"/>
      <c r="Z150" s="424"/>
      <c r="AA150" s="424"/>
      <c r="AC150" s="424"/>
      <c r="AD150" s="510"/>
      <c r="AE150" s="510"/>
      <c r="AF150" s="510"/>
      <c r="AG150" s="510"/>
      <c r="AH150" s="510"/>
      <c r="AI150" s="510"/>
      <c r="AJ150" s="510"/>
      <c r="AK150" s="510"/>
      <c r="AL150" s="509"/>
      <c r="AM150" s="509"/>
      <c r="AN150" s="509"/>
      <c r="AO150" s="509"/>
      <c r="AP150" s="509"/>
      <c r="AQ150" s="509"/>
      <c r="AR150" s="509"/>
      <c r="AS150" s="511"/>
      <c r="AT150" s="511"/>
      <c r="AU150" s="511"/>
      <c r="AV150" s="424"/>
      <c r="AW150" s="424"/>
      <c r="AX150" s="424"/>
      <c r="AY150" s="424"/>
      <c r="AZ150" s="424"/>
      <c r="BA150" s="424"/>
      <c r="BB150" s="424"/>
      <c r="BC150" s="424"/>
      <c r="BD150" s="424"/>
      <c r="BE150" s="424"/>
      <c r="BF150" s="424"/>
      <c r="BG150" s="424"/>
      <c r="BH150" s="424"/>
    </row>
  </sheetData>
  <sheetProtection formatCells="0" formatColumns="0" formatRows="0" insertColumns="0" insertRows="0" insertHyperlinks="0" deleteColumns="0" deleteRows="0" sort="0" autoFilter="0" pivotTables="0"/>
  <sortState ref="A5:BH7">
    <sortCondition ref="AC5:AC7"/>
  </sortState>
  <mergeCells count="1">
    <mergeCell ref="V3:AA3"/>
  </mergeCells>
  <conditionalFormatting sqref="A1:A2 AV1:XFD2 AF21:AF1048576 AF1:AF3 AF17:AF18 AF15 AN15:AR15 AN17:AR18 AN1:AR5 AN21:AR1048576 AN12:AR12 AD1:AD3 AD12:AD1048576 AL1:AM1048576">
    <cfRule type="cellIs" dxfId="321" priority="47" operator="equal">
      <formula>0</formula>
    </cfRule>
  </conditionalFormatting>
  <conditionalFormatting sqref="AQ1:AQ2">
    <cfRule type="cellIs" dxfId="320" priority="46" operator="equal">
      <formula>0</formula>
    </cfRule>
  </conditionalFormatting>
  <conditionalFormatting sqref="AF21:AF1048576 AF17:AF18 AF1:AF3 AF15 AN15:AR15 AL1:AR3 AN17:AR18 AN21:AR1048576 AL4:AM1048576">
    <cfRule type="cellIs" dxfId="319" priority="45" operator="equal">
      <formula>0</formula>
    </cfRule>
  </conditionalFormatting>
  <conditionalFormatting sqref="AL1:AM1048576">
    <cfRule type="cellIs" dxfId="318" priority="44" operator="equal">
      <formula>0</formula>
    </cfRule>
  </conditionalFormatting>
  <conditionalFormatting sqref="AM15 AM1:AM2 AM17:AM18 AM21:AM1048576">
    <cfRule type="cellIs" dxfId="317" priority="43" operator="equal">
      <formula>0</formula>
    </cfRule>
  </conditionalFormatting>
  <conditionalFormatting sqref="AF15 AF1:AF2 AF17:AF18 AF21:AF1048576">
    <cfRule type="cellIs" dxfId="316" priority="42" operator="equal">
      <formula>0</formula>
    </cfRule>
  </conditionalFormatting>
  <conditionalFormatting sqref="AL1:AL3 AL15 AL17:AL18 AL21:AL1048576">
    <cfRule type="cellIs" dxfId="315" priority="40" operator="equal">
      <formula>0</formula>
    </cfRule>
  </conditionalFormatting>
  <conditionalFormatting sqref="AL15 AL1:AL2 AL17:AL18 AL21:AL1048576">
    <cfRule type="cellIs" dxfId="314" priority="39" operator="equal">
      <formula>0</formula>
    </cfRule>
  </conditionalFormatting>
  <conditionalFormatting sqref="AL1:AL3 AL15 AL17:AL18 AL21:AL1048576">
    <cfRule type="cellIs" dxfId="313" priority="41" operator="equal">
      <formula>0</formula>
    </cfRule>
  </conditionalFormatting>
  <conditionalFormatting sqref="AN6:AR6">
    <cfRule type="cellIs" dxfId="312" priority="38" operator="equal">
      <formula>0</formula>
    </cfRule>
  </conditionalFormatting>
  <conditionalFormatting sqref="AF19 AN19:AR19">
    <cfRule type="cellIs" dxfId="311" priority="33" operator="equal">
      <formula>0</formula>
    </cfRule>
  </conditionalFormatting>
  <conditionalFormatting sqref="AN6:AR6">
    <cfRule type="cellIs" dxfId="310" priority="37" operator="equal">
      <formula>0</formula>
    </cfRule>
  </conditionalFormatting>
  <conditionalFormatting sqref="AN7:AR9">
    <cfRule type="cellIs" dxfId="309" priority="36" operator="equal">
      <formula>0</formula>
    </cfRule>
  </conditionalFormatting>
  <conditionalFormatting sqref="AN10:AR11">
    <cfRule type="cellIs" dxfId="308" priority="35" operator="equal">
      <formula>0</formula>
    </cfRule>
  </conditionalFormatting>
  <conditionalFormatting sqref="AN10:AR11">
    <cfRule type="cellIs" dxfId="307" priority="34" operator="equal">
      <formula>0</formula>
    </cfRule>
  </conditionalFormatting>
  <conditionalFormatting sqref="AL19">
    <cfRule type="cellIs" dxfId="306" priority="28" operator="equal">
      <formula>0</formula>
    </cfRule>
  </conditionalFormatting>
  <conditionalFormatting sqref="AF19 AN19:AR19">
    <cfRule type="cellIs" dxfId="305" priority="32" operator="equal">
      <formula>0</formula>
    </cfRule>
  </conditionalFormatting>
  <conditionalFormatting sqref="AM19">
    <cfRule type="cellIs" dxfId="304" priority="31" operator="equal">
      <formula>0</formula>
    </cfRule>
  </conditionalFormatting>
  <conditionalFormatting sqref="AF20 AN20:AR20">
    <cfRule type="cellIs" dxfId="303" priority="26" operator="equal">
      <formula>0</formula>
    </cfRule>
  </conditionalFormatting>
  <conditionalFormatting sqref="AF19">
    <cfRule type="cellIs" dxfId="302" priority="30" operator="equal">
      <formula>0</formula>
    </cfRule>
  </conditionalFormatting>
  <conditionalFormatting sqref="AL19">
    <cfRule type="cellIs" dxfId="301" priority="27" operator="equal">
      <formula>0</formula>
    </cfRule>
  </conditionalFormatting>
  <conditionalFormatting sqref="AL19">
    <cfRule type="cellIs" dxfId="300" priority="29" operator="equal">
      <formula>0</formula>
    </cfRule>
  </conditionalFormatting>
  <conditionalFormatting sqref="AL20">
    <cfRule type="cellIs" dxfId="299" priority="21" operator="equal">
      <formula>0</formula>
    </cfRule>
  </conditionalFormatting>
  <conditionalFormatting sqref="AF20 AN20:AR20">
    <cfRule type="cellIs" dxfId="298" priority="25" operator="equal">
      <formula>0</formula>
    </cfRule>
  </conditionalFormatting>
  <conditionalFormatting sqref="AM20">
    <cfRule type="cellIs" dxfId="297" priority="24" operator="equal">
      <formula>0</formula>
    </cfRule>
  </conditionalFormatting>
  <conditionalFormatting sqref="AF20">
    <cfRule type="cellIs" dxfId="296" priority="23" operator="equal">
      <formula>0</formula>
    </cfRule>
  </conditionalFormatting>
  <conditionalFormatting sqref="AL20">
    <cfRule type="cellIs" dxfId="295" priority="20" operator="equal">
      <formula>0</formula>
    </cfRule>
  </conditionalFormatting>
  <conditionalFormatting sqref="AL20">
    <cfRule type="cellIs" dxfId="294" priority="22" operator="equal">
      <formula>0</formula>
    </cfRule>
  </conditionalFormatting>
  <conditionalFormatting sqref="AD1:AI1048576">
    <cfRule type="cellIs" dxfId="293" priority="18" operator="equal">
      <formula>0</formula>
    </cfRule>
  </conditionalFormatting>
  <conditionalFormatting sqref="AD1:AI1048576">
    <cfRule type="cellIs" dxfId="292" priority="19" operator="equal">
      <formula>0</formula>
    </cfRule>
  </conditionalFormatting>
  <conditionalFormatting sqref="AH19">
    <cfRule type="cellIs" dxfId="291" priority="9" operator="equal">
      <formula>0</formula>
    </cfRule>
  </conditionalFormatting>
  <conditionalFormatting sqref="AH19">
    <cfRule type="cellIs" dxfId="290" priority="10" operator="equal">
      <formula>0</formula>
    </cfRule>
  </conditionalFormatting>
  <conditionalFormatting sqref="AH19">
    <cfRule type="cellIs" dxfId="289" priority="8" operator="equal">
      <formula>0</formula>
    </cfRule>
  </conditionalFormatting>
  <conditionalFormatting sqref="AF4:AF5">
    <cfRule type="cellIs" dxfId="288" priority="17" operator="equal">
      <formula>0</formula>
    </cfRule>
  </conditionalFormatting>
  <conditionalFormatting sqref="O20:W26">
    <cfRule type="cellIs" dxfId="287" priority="16" operator="equal">
      <formula>0</formula>
    </cfRule>
  </conditionalFormatting>
  <conditionalFormatting sqref="AE25:AE28">
    <cfRule type="cellIs" dxfId="286" priority="15" operator="equal">
      <formula>0</formula>
    </cfRule>
  </conditionalFormatting>
  <conditionalFormatting sqref="AG1:AG3 AG12:AG1048576">
    <cfRule type="cellIs" dxfId="285" priority="14" operator="equal">
      <formula>0</formula>
    </cfRule>
  </conditionalFormatting>
  <conditionalFormatting sqref="AI1:AI3 AI12:AI1048576">
    <cfRule type="cellIs" dxfId="284" priority="3" operator="equal">
      <formula>0</formula>
    </cfRule>
  </conditionalFormatting>
  <conditionalFormatting sqref="AH21:AH1048576 AH1:AH3 AH17:AH18 AH15">
    <cfRule type="cellIs" dxfId="283" priority="13" operator="equal">
      <formula>0</formula>
    </cfRule>
  </conditionalFormatting>
  <conditionalFormatting sqref="AH21:AH1048576 AH17:AH18 AH1:AH3 AH15">
    <cfRule type="cellIs" dxfId="282" priority="12" operator="equal">
      <formula>0</formula>
    </cfRule>
  </conditionalFormatting>
  <conditionalFormatting sqref="AH15 AH1:AH2 AH17:AH18 AH21:AH1048576">
    <cfRule type="cellIs" dxfId="281" priority="11" operator="equal">
      <formula>0</formula>
    </cfRule>
  </conditionalFormatting>
  <conditionalFormatting sqref="AH20">
    <cfRule type="cellIs" dxfId="280" priority="7" operator="equal">
      <formula>0</formula>
    </cfRule>
  </conditionalFormatting>
  <conditionalFormatting sqref="AH20">
    <cfRule type="cellIs" dxfId="279" priority="6" operator="equal">
      <formula>0</formula>
    </cfRule>
  </conditionalFormatting>
  <conditionalFormatting sqref="AH20">
    <cfRule type="cellIs" dxfId="278" priority="5" operator="equal">
      <formula>0</formula>
    </cfRule>
  </conditionalFormatting>
  <conditionalFormatting sqref="AH4:AH5">
    <cfRule type="cellIs" dxfId="277" priority="4" operator="equal">
      <formula>0</formula>
    </cfRule>
  </conditionalFormatting>
  <conditionalFormatting sqref="AJ1:AK1048576">
    <cfRule type="cellIs" dxfId="276" priority="1" operator="equal">
      <formula>0</formula>
    </cfRule>
  </conditionalFormatting>
  <conditionalFormatting sqref="AJ1:AK1048576">
    <cfRule type="cellIs" dxfId="275" priority="2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3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228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21">
      <c r="A5" s="175"/>
      <c r="C5" s="177"/>
      <c r="D5" s="175"/>
      <c r="E5" s="175"/>
      <c r="F5" s="175"/>
      <c r="G5" s="175"/>
      <c r="H5" s="175"/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G6" s="175"/>
      <c r="H6" s="175"/>
      <c r="I6" s="175"/>
      <c r="J6" s="175"/>
      <c r="K6" s="175"/>
      <c r="L6" s="175"/>
    </row>
    <row r="7" spans="1:17" ht="16.2" thickBot="1">
      <c r="A7" s="175"/>
      <c r="B7" s="178" t="s">
        <v>129</v>
      </c>
      <c r="C7" s="175" t="s">
        <v>1276</v>
      </c>
      <c r="D7" s="175"/>
      <c r="E7" s="175"/>
      <c r="F7" s="179">
        <f>'תקציב החברה לתירות 2024 '!U15</f>
        <v>6914131</v>
      </c>
      <c r="I7" s="175"/>
      <c r="J7" s="175"/>
      <c r="K7" s="175"/>
      <c r="L7" s="175"/>
    </row>
    <row r="8" spans="1:17" ht="21.6" thickBot="1">
      <c r="A8" s="175"/>
      <c r="C8" s="177"/>
      <c r="D8" s="175"/>
      <c r="E8" s="175"/>
      <c r="F8" s="175"/>
      <c r="H8" s="175"/>
      <c r="I8" s="175"/>
      <c r="J8" s="175"/>
      <c r="K8" s="175"/>
      <c r="L8" s="175"/>
    </row>
    <row r="9" spans="1:17" ht="16.2" thickBot="1">
      <c r="B9" s="178" t="s">
        <v>129</v>
      </c>
      <c r="C9" s="175" t="s">
        <v>1641</v>
      </c>
      <c r="D9" s="175"/>
      <c r="F9" s="179">
        <f>'תקציב החברה לתירות 2024 '!A15</f>
        <v>10</v>
      </c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.6">
      <c r="B10" s="178"/>
      <c r="C10" s="175"/>
      <c r="D10" s="175"/>
      <c r="F10" s="181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B11" s="178"/>
      <c r="C11" s="175"/>
      <c r="D11" s="175"/>
      <c r="F11" s="181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B12" s="178" t="s">
        <v>129</v>
      </c>
      <c r="C12" s="175" t="s">
        <v>219</v>
      </c>
      <c r="D12" s="175"/>
      <c r="E12" s="175"/>
      <c r="F12" s="175"/>
      <c r="G12" s="175"/>
      <c r="H12" s="175"/>
      <c r="I12" s="175"/>
      <c r="J12" s="175"/>
      <c r="K12" s="175"/>
      <c r="L12" s="175"/>
    </row>
    <row r="13" spans="1:17" ht="16.2" thickBot="1"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D14" s="186" t="s">
        <v>220</v>
      </c>
      <c r="E14" s="187" t="s">
        <v>221</v>
      </c>
      <c r="F14" s="188" t="s">
        <v>222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2" t="s">
        <v>13</v>
      </c>
      <c r="E15" s="189">
        <f>'תקציב החברה לתירות 2024 '!V15</f>
        <v>6568378</v>
      </c>
      <c r="F15" s="197">
        <f>E15/$E$17</f>
        <v>0.94999328187446841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C16" s="178"/>
      <c r="D16" s="182" t="s">
        <v>75</v>
      </c>
      <c r="E16" s="189">
        <f>'תקציב החברה לתירות 2024 '!AA15</f>
        <v>345753</v>
      </c>
      <c r="F16" s="197">
        <f>E16/$E$17</f>
        <v>5.0006718125531611E-2</v>
      </c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ht="16.2" thickBot="1">
      <c r="C17" s="178"/>
      <c r="D17" s="184" t="s">
        <v>84</v>
      </c>
      <c r="E17" s="191">
        <f>SUM(E15:E16)</f>
        <v>6914131</v>
      </c>
      <c r="F17" s="117">
        <f>SUM(F15:F16)</f>
        <v>1</v>
      </c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ht="15.6">
      <c r="C18" s="178"/>
      <c r="D18" s="181"/>
      <c r="E18" s="200"/>
      <c r="F18" s="201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ht="15.6">
      <c r="C19" s="178"/>
      <c r="D19" s="181"/>
      <c r="E19" s="200"/>
      <c r="F19" s="201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.6">
      <c r="B20" s="178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.6">
      <c r="B21" s="178" t="s">
        <v>129</v>
      </c>
      <c r="C21" s="803" t="s">
        <v>1552</v>
      </c>
      <c r="D21" s="175"/>
      <c r="F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.6">
      <c r="C22" s="175" t="s">
        <v>1553</v>
      </c>
      <c r="D22" s="175"/>
      <c r="E22" s="175"/>
      <c r="F22" s="175"/>
      <c r="H22" s="175"/>
      <c r="I22" s="175"/>
      <c r="J22" s="175"/>
      <c r="K22" s="175"/>
      <c r="L22" s="175"/>
    </row>
    <row r="23" spans="2:17" ht="15.6">
      <c r="B23" s="178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1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8"/>
  <cols>
    <col min="1" max="1" width="3.6640625" style="131" customWidth="1"/>
    <col min="2" max="2" width="5.6640625" style="131" customWidth="1"/>
    <col min="3" max="3" width="17.6640625" style="139" customWidth="1"/>
    <col min="4" max="4" width="10.6640625" style="132" customWidth="1"/>
    <col min="5" max="5" width="9.6640625" style="132" customWidth="1"/>
    <col min="6" max="6" width="11.6640625" style="132" customWidth="1"/>
    <col min="7" max="11" width="9.6640625" style="132" hidden="1" customWidth="1"/>
    <col min="12" max="12" width="8.88671875" style="132" customWidth="1"/>
    <col min="13" max="13" width="8.6640625" style="132" customWidth="1"/>
    <col min="14" max="14" width="9.88671875" style="132" customWidth="1"/>
    <col min="15" max="15" width="10.5546875" style="132" customWidth="1"/>
    <col min="16" max="19" width="9.6640625" style="132" hidden="1" customWidth="1"/>
    <col min="20" max="20" width="9" style="132" customWidth="1"/>
    <col min="21" max="22" width="9.6640625" style="131" customWidth="1"/>
    <col min="23" max="26" width="9.6640625" style="131" hidden="1" customWidth="1"/>
    <col min="27" max="27" width="9.109375" style="131" customWidth="1"/>
    <col min="28" max="28" width="32.5546875" style="131" customWidth="1"/>
    <col min="29" max="29" width="9.6640625" style="131" hidden="1" customWidth="1"/>
    <col min="30" max="30" width="17.44140625" style="215" customWidth="1"/>
    <col min="31" max="31" width="20.88671875" style="215" customWidth="1"/>
    <col min="32" max="32" width="11.88671875" style="215" customWidth="1"/>
    <col min="33" max="33" width="21.33203125" style="215" customWidth="1"/>
    <col min="34" max="34" width="11.88671875" style="215" customWidth="1"/>
    <col min="35" max="35" width="16.109375" style="215" customWidth="1"/>
    <col min="36" max="36" width="17.6640625" style="215" customWidth="1"/>
    <col min="37" max="38" width="9.6640625" style="215" customWidth="1"/>
    <col min="39" max="39" width="17.6640625" style="215" customWidth="1"/>
    <col min="40" max="47" width="10.6640625" style="141" customWidth="1"/>
    <col min="48" max="16384" width="9.109375" style="131"/>
  </cols>
  <sheetData>
    <row r="1" spans="1:56" s="141" customFormat="1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228"/>
      <c r="Y1" s="228"/>
      <c r="Z1" s="228"/>
      <c r="AD1" s="215"/>
      <c r="AE1" s="215"/>
      <c r="AF1" s="215"/>
      <c r="AG1" s="215"/>
      <c r="AH1" s="215"/>
      <c r="AI1" s="215"/>
      <c r="AJ1" s="215"/>
      <c r="AK1" s="215"/>
      <c r="AL1" s="215"/>
      <c r="AM1" s="215"/>
    </row>
    <row r="2" spans="1:56">
      <c r="A2" s="154" t="s">
        <v>92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1:56" ht="24" customHeight="1"/>
    <row r="4" spans="1:56" s="217" customFormat="1" ht="86.25" customHeight="1">
      <c r="A4" s="133" t="s">
        <v>0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133" t="s">
        <v>11</v>
      </c>
      <c r="M4" s="133" t="s">
        <v>917</v>
      </c>
      <c r="N4" s="133" t="s">
        <v>918</v>
      </c>
      <c r="O4" s="2" t="s">
        <v>919</v>
      </c>
      <c r="P4" s="2" t="s">
        <v>12</v>
      </c>
      <c r="Q4" s="2" t="s">
        <v>920</v>
      </c>
      <c r="R4" s="2" t="s">
        <v>921</v>
      </c>
      <c r="S4" s="2" t="s">
        <v>922</v>
      </c>
      <c r="T4" s="2" t="s">
        <v>923</v>
      </c>
      <c r="U4" s="2" t="s">
        <v>924</v>
      </c>
      <c r="V4" s="133" t="s">
        <v>13</v>
      </c>
      <c r="W4" s="13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13" t="s">
        <v>242</v>
      </c>
      <c r="AC4" s="133" t="s">
        <v>16</v>
      </c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141"/>
      <c r="AO4" s="141"/>
      <c r="AP4" s="141"/>
      <c r="AQ4" s="141"/>
      <c r="AR4" s="141"/>
      <c r="AS4" s="141"/>
      <c r="AT4" s="141"/>
      <c r="AU4" s="141"/>
    </row>
    <row r="5" spans="1:56" s="136" customFormat="1" ht="45" customHeight="1">
      <c r="A5" s="135">
        <v>1</v>
      </c>
      <c r="B5" s="135">
        <v>1519</v>
      </c>
      <c r="C5" s="135" t="s">
        <v>73</v>
      </c>
      <c r="D5" s="120">
        <v>8493000</v>
      </c>
      <c r="E5" s="120">
        <v>8493000</v>
      </c>
      <c r="F5" s="120">
        <f>D5-E5</f>
        <v>0</v>
      </c>
      <c r="G5" s="120">
        <v>4687282</v>
      </c>
      <c r="H5" s="120">
        <v>4687145</v>
      </c>
      <c r="I5" s="120">
        <v>0</v>
      </c>
      <c r="J5" s="120">
        <v>0</v>
      </c>
      <c r="K5" s="120">
        <f>SUM(I5:J5)</f>
        <v>0</v>
      </c>
      <c r="L5" s="120">
        <f t="shared" ref="L5:L11" si="0">H5+K5</f>
        <v>4687145</v>
      </c>
      <c r="M5" s="120">
        <f>P5+S5</f>
        <v>137</v>
      </c>
      <c r="N5" s="120">
        <f>1000000+125000</f>
        <v>1125000</v>
      </c>
      <c r="O5" s="120">
        <f>D5-L5-M5-N5</f>
        <v>2680718</v>
      </c>
      <c r="P5" s="120">
        <f t="shared" ref="P5:P11" si="1">G5-L5</f>
        <v>137</v>
      </c>
      <c r="Q5" s="120"/>
      <c r="R5" s="120"/>
      <c r="S5" s="120">
        <f t="shared" ref="S5:S11" si="2">SUM(Q5:R5)</f>
        <v>0</v>
      </c>
      <c r="T5" s="120">
        <f t="shared" ref="T5:T11" si="3">P5-M5+S5</f>
        <v>0</v>
      </c>
      <c r="U5" s="519">
        <f>N5-T5</f>
        <v>1125000</v>
      </c>
      <c r="V5" s="120">
        <f>U5-AA5</f>
        <v>779247</v>
      </c>
      <c r="W5" s="120"/>
      <c r="X5" s="120"/>
      <c r="Y5" s="120"/>
      <c r="Z5" s="120"/>
      <c r="AA5" s="120">
        <v>345753</v>
      </c>
      <c r="AB5" s="224" t="s">
        <v>1401</v>
      </c>
      <c r="AC5" s="135">
        <v>732000</v>
      </c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141"/>
      <c r="AO5" s="141"/>
      <c r="AP5" s="141"/>
      <c r="AQ5" s="141"/>
      <c r="AR5" s="141"/>
      <c r="AS5" s="141"/>
      <c r="AT5" s="141"/>
      <c r="AU5" s="141"/>
    </row>
    <row r="6" spans="1:56" s="134" customFormat="1" ht="45" customHeight="1">
      <c r="A6" s="135">
        <f>A5+1</f>
        <v>2</v>
      </c>
      <c r="B6" s="135">
        <v>1867</v>
      </c>
      <c r="C6" s="135" t="s">
        <v>111</v>
      </c>
      <c r="D6" s="120">
        <f>570000-200869</f>
        <v>369131</v>
      </c>
      <c r="E6" s="120">
        <v>570000</v>
      </c>
      <c r="F6" s="120">
        <f>D6-E6</f>
        <v>-200869</v>
      </c>
      <c r="G6" s="120">
        <v>570000</v>
      </c>
      <c r="H6" s="120">
        <v>369131</v>
      </c>
      <c r="I6" s="120">
        <v>0</v>
      </c>
      <c r="J6" s="120">
        <v>0</v>
      </c>
      <c r="K6" s="120">
        <f>SUM(I6:J6)</f>
        <v>0</v>
      </c>
      <c r="L6" s="120">
        <f t="shared" si="0"/>
        <v>369131</v>
      </c>
      <c r="M6" s="120">
        <f>P6+S6-200869</f>
        <v>0</v>
      </c>
      <c r="N6" s="120"/>
      <c r="O6" s="120">
        <f>D6-L6-M6-N6</f>
        <v>0</v>
      </c>
      <c r="P6" s="120">
        <f t="shared" si="1"/>
        <v>200869</v>
      </c>
      <c r="Q6" s="120"/>
      <c r="R6" s="120"/>
      <c r="S6" s="120">
        <f t="shared" si="2"/>
        <v>0</v>
      </c>
      <c r="T6" s="120">
        <f t="shared" si="3"/>
        <v>200869</v>
      </c>
      <c r="U6" s="519">
        <f>N6-T6</f>
        <v>-200869</v>
      </c>
      <c r="V6" s="120">
        <f>U6-AA6</f>
        <v>-200869</v>
      </c>
      <c r="W6" s="120"/>
      <c r="X6" s="120"/>
      <c r="Y6" s="120"/>
      <c r="Z6" s="120"/>
      <c r="AA6" s="120"/>
      <c r="AB6" s="135" t="s">
        <v>1526</v>
      </c>
      <c r="AC6" s="135">
        <v>732000</v>
      </c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141"/>
      <c r="AO6" s="141"/>
      <c r="AP6" s="141"/>
      <c r="AQ6" s="141"/>
      <c r="AR6" s="141"/>
      <c r="AS6" s="141"/>
      <c r="AT6" s="141"/>
      <c r="AU6" s="141"/>
    </row>
    <row r="7" spans="1:56" s="452" customFormat="1" ht="45" customHeight="1">
      <c r="A7" s="135">
        <f t="shared" ref="A7:A9" si="4">A6+1</f>
        <v>3</v>
      </c>
      <c r="B7" s="455">
        <v>20080</v>
      </c>
      <c r="C7" s="458" t="s">
        <v>914</v>
      </c>
      <c r="D7" s="120">
        <v>8000000</v>
      </c>
      <c r="E7" s="120">
        <v>8000000</v>
      </c>
      <c r="F7" s="120">
        <f t="shared" ref="F7" si="5">D7-E7</f>
        <v>0</v>
      </c>
      <c r="G7" s="120">
        <v>50000</v>
      </c>
      <c r="H7" s="120">
        <v>4981</v>
      </c>
      <c r="I7" s="120"/>
      <c r="J7" s="120"/>
      <c r="K7" s="120">
        <f t="shared" ref="K7" si="6">I7+J7</f>
        <v>0</v>
      </c>
      <c r="L7" s="120">
        <f t="shared" si="0"/>
        <v>4981</v>
      </c>
      <c r="M7" s="120">
        <f>P7+S7-45000</f>
        <v>19</v>
      </c>
      <c r="N7" s="120">
        <f>300000-150000+45000</f>
        <v>195000</v>
      </c>
      <c r="O7" s="120">
        <f t="shared" ref="O7" si="7">D7-L7-M7-N7</f>
        <v>7800000</v>
      </c>
      <c r="P7" s="120">
        <f t="shared" si="1"/>
        <v>45019</v>
      </c>
      <c r="Q7" s="120"/>
      <c r="R7" s="120"/>
      <c r="S7" s="120">
        <f t="shared" ref="S7" si="8">SUM(Q7:R7)</f>
        <v>0</v>
      </c>
      <c r="T7" s="120">
        <f t="shared" si="3"/>
        <v>45000</v>
      </c>
      <c r="U7" s="120">
        <f t="shared" ref="U7" si="9">N7-T7</f>
        <v>150000</v>
      </c>
      <c r="V7" s="120">
        <f t="shared" ref="V7" si="10">U7-W7-Z7-AA7</f>
        <v>150000</v>
      </c>
      <c r="W7" s="120"/>
      <c r="X7" s="120"/>
      <c r="Y7" s="120"/>
      <c r="Z7" s="120"/>
      <c r="AA7" s="120"/>
      <c r="AB7" s="458" t="s">
        <v>916</v>
      </c>
      <c r="AC7" s="448">
        <v>742000</v>
      </c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141"/>
      <c r="AO7" s="465"/>
      <c r="AP7" s="465"/>
      <c r="AQ7" s="465"/>
      <c r="AR7" s="465"/>
      <c r="AS7" s="465"/>
      <c r="AT7" s="465"/>
      <c r="AU7" s="465"/>
    </row>
    <row r="8" spans="1:56" s="5" customFormat="1" ht="55.2">
      <c r="A8" s="135">
        <f t="shared" si="4"/>
        <v>4</v>
      </c>
      <c r="B8" s="19">
        <v>20127</v>
      </c>
      <c r="C8" s="794" t="s">
        <v>1501</v>
      </c>
      <c r="D8" s="120">
        <v>11200000</v>
      </c>
      <c r="E8" s="120"/>
      <c r="F8" s="120">
        <f t="shared" ref="F8:F14" si="11">D8-E8</f>
        <v>11200000</v>
      </c>
      <c r="G8" s="120">
        <v>0</v>
      </c>
      <c r="H8" s="120"/>
      <c r="I8" s="120"/>
      <c r="J8" s="120"/>
      <c r="K8" s="120">
        <f>I8+J8</f>
        <v>0</v>
      </c>
      <c r="L8" s="120">
        <f t="shared" si="0"/>
        <v>0</v>
      </c>
      <c r="M8" s="120">
        <f>P8+S8</f>
        <v>0</v>
      </c>
      <c r="N8" s="120">
        <f>11200000-8700000-500000</f>
        <v>2000000</v>
      </c>
      <c r="O8" s="120">
        <f t="shared" ref="O8:O14" si="12">D8-L8-M8-N8</f>
        <v>9200000</v>
      </c>
      <c r="P8" s="120">
        <f t="shared" si="1"/>
        <v>0</v>
      </c>
      <c r="Q8" s="120"/>
      <c r="R8" s="120"/>
      <c r="S8" s="120">
        <f t="shared" si="2"/>
        <v>0</v>
      </c>
      <c r="T8" s="120">
        <f t="shared" si="3"/>
        <v>0</v>
      </c>
      <c r="U8" s="120">
        <f t="shared" ref="U8:U14" si="13">N8-T8</f>
        <v>2000000</v>
      </c>
      <c r="V8" s="120">
        <f t="shared" ref="V8:V14" si="14">U8-W8-Z8-AA8</f>
        <v>2000000</v>
      </c>
      <c r="W8" s="120"/>
      <c r="X8" s="120"/>
      <c r="Y8" s="120"/>
      <c r="Z8" s="120"/>
      <c r="AA8" s="120"/>
      <c r="AB8" s="19" t="s">
        <v>1402</v>
      </c>
      <c r="AC8" s="3">
        <v>930000</v>
      </c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131"/>
      <c r="AO8" s="131"/>
      <c r="AP8" s="131"/>
      <c r="AQ8" s="131"/>
      <c r="AR8" s="131"/>
      <c r="AS8" s="131"/>
      <c r="AT8" s="131"/>
      <c r="AU8" s="131"/>
      <c r="AV8" s="272"/>
      <c r="AW8" s="272"/>
      <c r="AX8" s="272"/>
      <c r="AY8" s="272"/>
      <c r="AZ8" s="272"/>
      <c r="BA8" s="272"/>
      <c r="BB8" s="272"/>
      <c r="BC8" s="272"/>
      <c r="BD8" s="272"/>
    </row>
    <row r="9" spans="1:56" s="5" customFormat="1" ht="45" customHeight="1">
      <c r="A9" s="135">
        <f t="shared" si="4"/>
        <v>5</v>
      </c>
      <c r="B9" s="19">
        <v>20128</v>
      </c>
      <c r="C9" s="794" t="s">
        <v>1503</v>
      </c>
      <c r="D9" s="120">
        <v>65000000</v>
      </c>
      <c r="E9" s="120"/>
      <c r="F9" s="120">
        <f t="shared" si="11"/>
        <v>65000000</v>
      </c>
      <c r="G9" s="120">
        <v>0</v>
      </c>
      <c r="H9" s="120"/>
      <c r="I9" s="120"/>
      <c r="J9" s="120"/>
      <c r="K9" s="120">
        <f>I9+J9</f>
        <v>0</v>
      </c>
      <c r="L9" s="120">
        <f t="shared" si="0"/>
        <v>0</v>
      </c>
      <c r="M9" s="120">
        <f>P9+S9</f>
        <v>0</v>
      </c>
      <c r="N9" s="120">
        <f>10000000-7500000-500000</f>
        <v>2000000</v>
      </c>
      <c r="O9" s="120">
        <f t="shared" si="12"/>
        <v>63000000</v>
      </c>
      <c r="P9" s="120">
        <f t="shared" si="1"/>
        <v>0</v>
      </c>
      <c r="Q9" s="120"/>
      <c r="R9" s="120"/>
      <c r="S9" s="120">
        <f t="shared" si="2"/>
        <v>0</v>
      </c>
      <c r="T9" s="120">
        <f t="shared" si="3"/>
        <v>0</v>
      </c>
      <c r="U9" s="120">
        <f t="shared" si="13"/>
        <v>2000000</v>
      </c>
      <c r="V9" s="120">
        <f t="shared" si="14"/>
        <v>2000000</v>
      </c>
      <c r="W9" s="120"/>
      <c r="X9" s="120"/>
      <c r="Y9" s="120"/>
      <c r="Z9" s="120"/>
      <c r="AA9" s="120"/>
      <c r="AB9" s="19" t="s">
        <v>1502</v>
      </c>
      <c r="AC9" s="3">
        <v>930000</v>
      </c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131"/>
      <c r="AO9" s="131"/>
      <c r="AP9" s="131"/>
      <c r="AQ9" s="131"/>
      <c r="AR9" s="131"/>
      <c r="AS9" s="131"/>
      <c r="AT9" s="131"/>
      <c r="AU9" s="131"/>
      <c r="AV9" s="272"/>
      <c r="AW9" s="272"/>
      <c r="AX9" s="272"/>
      <c r="AY9" s="272"/>
      <c r="AZ9" s="272"/>
      <c r="BA9" s="272"/>
      <c r="BB9" s="272"/>
      <c r="BC9" s="272"/>
      <c r="BD9" s="272"/>
    </row>
    <row r="10" spans="1:56" s="5" customFormat="1" ht="55.2">
      <c r="A10" s="135">
        <f t="shared" ref="A10:A14" si="15">A9+1</f>
        <v>6</v>
      </c>
      <c r="B10" s="19">
        <v>20129</v>
      </c>
      <c r="C10" s="218" t="s">
        <v>1504</v>
      </c>
      <c r="D10" s="120">
        <v>117500000</v>
      </c>
      <c r="E10" s="120"/>
      <c r="F10" s="120">
        <f t="shared" si="11"/>
        <v>117500000</v>
      </c>
      <c r="G10" s="120">
        <v>0</v>
      </c>
      <c r="H10" s="120"/>
      <c r="I10" s="120"/>
      <c r="J10" s="120"/>
      <c r="K10" s="120">
        <f>I10+J10</f>
        <v>0</v>
      </c>
      <c r="L10" s="120">
        <f t="shared" si="0"/>
        <v>0</v>
      </c>
      <c r="M10" s="120">
        <f>P10+S10</f>
        <v>0</v>
      </c>
      <c r="N10" s="419">
        <v>500000</v>
      </c>
      <c r="O10" s="120">
        <f t="shared" si="12"/>
        <v>117000000</v>
      </c>
      <c r="P10" s="120">
        <f t="shared" si="1"/>
        <v>0</v>
      </c>
      <c r="Q10" s="120"/>
      <c r="R10" s="120"/>
      <c r="S10" s="120">
        <f t="shared" si="2"/>
        <v>0</v>
      </c>
      <c r="T10" s="120">
        <f t="shared" si="3"/>
        <v>0</v>
      </c>
      <c r="U10" s="120">
        <f t="shared" si="13"/>
        <v>500000</v>
      </c>
      <c r="V10" s="120">
        <f t="shared" si="14"/>
        <v>500000</v>
      </c>
      <c r="W10" s="120"/>
      <c r="X10" s="120"/>
      <c r="Y10" s="120"/>
      <c r="Z10" s="120"/>
      <c r="AA10" s="120"/>
      <c r="AB10" s="3" t="s">
        <v>1499</v>
      </c>
      <c r="AC10" s="3">
        <v>742000</v>
      </c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131"/>
      <c r="AO10" s="131"/>
      <c r="AP10" s="131"/>
      <c r="AQ10" s="131"/>
      <c r="AR10" s="131"/>
      <c r="AS10" s="131"/>
      <c r="AT10" s="131"/>
      <c r="AU10" s="131"/>
      <c r="AV10" s="272"/>
      <c r="AW10" s="272"/>
      <c r="AX10" s="272"/>
      <c r="AY10" s="272"/>
      <c r="AZ10" s="272"/>
      <c r="BA10" s="272"/>
      <c r="BB10" s="272"/>
      <c r="BC10" s="272"/>
      <c r="BD10" s="272"/>
    </row>
    <row r="11" spans="1:56" s="5" customFormat="1" ht="45" customHeight="1">
      <c r="A11" s="135">
        <f t="shared" si="15"/>
        <v>7</v>
      </c>
      <c r="B11" s="19">
        <v>20130</v>
      </c>
      <c r="C11" s="794" t="s">
        <v>1353</v>
      </c>
      <c r="D11" s="120">
        <v>540000</v>
      </c>
      <c r="E11" s="120"/>
      <c r="F11" s="120">
        <f t="shared" si="11"/>
        <v>540000</v>
      </c>
      <c r="G11" s="120">
        <v>0</v>
      </c>
      <c r="H11" s="120"/>
      <c r="I11" s="120"/>
      <c r="J11" s="120"/>
      <c r="K11" s="120">
        <f>I11+J11</f>
        <v>0</v>
      </c>
      <c r="L11" s="120">
        <f t="shared" si="0"/>
        <v>0</v>
      </c>
      <c r="M11" s="120">
        <f>P11+S11</f>
        <v>0</v>
      </c>
      <c r="N11" s="120">
        <v>540000</v>
      </c>
      <c r="O11" s="120">
        <f t="shared" si="12"/>
        <v>0</v>
      </c>
      <c r="P11" s="120">
        <f t="shared" si="1"/>
        <v>0</v>
      </c>
      <c r="Q11" s="120"/>
      <c r="R11" s="120"/>
      <c r="S11" s="120">
        <f t="shared" si="2"/>
        <v>0</v>
      </c>
      <c r="T11" s="120">
        <f t="shared" si="3"/>
        <v>0</v>
      </c>
      <c r="U11" s="120">
        <f t="shared" si="13"/>
        <v>540000</v>
      </c>
      <c r="V11" s="120">
        <f t="shared" si="14"/>
        <v>540000</v>
      </c>
      <c r="W11" s="120"/>
      <c r="X11" s="120"/>
      <c r="Y11" s="120"/>
      <c r="Z11" s="120"/>
      <c r="AA11" s="120"/>
      <c r="AB11" s="19" t="s">
        <v>1354</v>
      </c>
      <c r="AC11" s="3">
        <v>747000</v>
      </c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131"/>
      <c r="AO11" s="131"/>
      <c r="AP11" s="131"/>
      <c r="AQ11" s="131"/>
      <c r="AR11" s="131"/>
      <c r="AS11" s="131"/>
      <c r="AT11" s="131"/>
      <c r="AU11" s="131"/>
      <c r="AV11" s="272"/>
      <c r="AW11" s="272"/>
      <c r="AX11" s="272"/>
      <c r="AY11" s="272"/>
      <c r="AZ11" s="272"/>
      <c r="BA11" s="272"/>
      <c r="BB11" s="272"/>
      <c r="BC11" s="272"/>
      <c r="BD11" s="272"/>
    </row>
    <row r="12" spans="1:56" s="5" customFormat="1" ht="45" customHeight="1">
      <c r="A12" s="135">
        <f t="shared" si="15"/>
        <v>8</v>
      </c>
      <c r="B12" s="19">
        <v>20131</v>
      </c>
      <c r="C12" s="218" t="s">
        <v>999</v>
      </c>
      <c r="D12" s="120">
        <v>1000000</v>
      </c>
      <c r="E12" s="120"/>
      <c r="F12" s="120">
        <f t="shared" si="11"/>
        <v>1000000</v>
      </c>
      <c r="G12" s="120"/>
      <c r="H12" s="120"/>
      <c r="I12" s="120"/>
      <c r="J12" s="120"/>
      <c r="K12" s="120"/>
      <c r="L12" s="120"/>
      <c r="M12" s="120"/>
      <c r="N12" s="120">
        <f>1000000-800000</f>
        <v>200000</v>
      </c>
      <c r="O12" s="120">
        <f t="shared" si="12"/>
        <v>800000</v>
      </c>
      <c r="P12" s="120"/>
      <c r="Q12" s="120"/>
      <c r="R12" s="120"/>
      <c r="S12" s="120"/>
      <c r="T12" s="120"/>
      <c r="U12" s="120">
        <f t="shared" si="13"/>
        <v>200000</v>
      </c>
      <c r="V12" s="120">
        <f t="shared" si="14"/>
        <v>200000</v>
      </c>
      <c r="W12" s="120"/>
      <c r="X12" s="120"/>
      <c r="Y12" s="120"/>
      <c r="Z12" s="120"/>
      <c r="AA12" s="120"/>
      <c r="AB12" s="19" t="s">
        <v>1000</v>
      </c>
      <c r="AC12" s="3">
        <v>732000</v>
      </c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131"/>
      <c r="AO12" s="131"/>
      <c r="AP12" s="131"/>
      <c r="AQ12" s="131"/>
      <c r="AR12" s="131"/>
      <c r="AS12" s="131"/>
      <c r="AT12" s="131"/>
      <c r="AU12" s="131"/>
      <c r="AV12" s="272"/>
      <c r="AW12" s="272"/>
      <c r="AX12" s="272"/>
      <c r="AY12" s="272"/>
      <c r="AZ12" s="272"/>
      <c r="BA12" s="272"/>
      <c r="BB12" s="272"/>
      <c r="BC12" s="272"/>
      <c r="BD12" s="272"/>
    </row>
    <row r="13" spans="1:56" s="5" customFormat="1" ht="45" customHeight="1">
      <c r="A13" s="135">
        <f t="shared" si="15"/>
        <v>9</v>
      </c>
      <c r="B13" s="19">
        <v>20132</v>
      </c>
      <c r="C13" s="218" t="s">
        <v>32</v>
      </c>
      <c r="D13" s="120">
        <v>300000</v>
      </c>
      <c r="E13" s="120"/>
      <c r="F13" s="120">
        <f t="shared" si="11"/>
        <v>300000</v>
      </c>
      <c r="G13" s="120"/>
      <c r="H13" s="120"/>
      <c r="I13" s="120"/>
      <c r="J13" s="120"/>
      <c r="K13" s="120"/>
      <c r="L13" s="120"/>
      <c r="M13" s="120"/>
      <c r="N13" s="120">
        <f>300000-100000</f>
        <v>200000</v>
      </c>
      <c r="O13" s="120">
        <f t="shared" si="12"/>
        <v>100000</v>
      </c>
      <c r="P13" s="120"/>
      <c r="Q13" s="120"/>
      <c r="R13" s="120"/>
      <c r="S13" s="120"/>
      <c r="T13" s="120"/>
      <c r="U13" s="120">
        <f t="shared" si="13"/>
        <v>200000</v>
      </c>
      <c r="V13" s="120">
        <f t="shared" si="14"/>
        <v>200000</v>
      </c>
      <c r="W13" s="120"/>
      <c r="X13" s="120"/>
      <c r="Y13" s="120"/>
      <c r="Z13" s="120"/>
      <c r="AA13" s="120"/>
      <c r="AB13" s="19" t="s">
        <v>1001</v>
      </c>
      <c r="AC13" s="3">
        <v>732000</v>
      </c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131"/>
      <c r="AO13" s="131"/>
      <c r="AP13" s="131"/>
      <c r="AQ13" s="131"/>
      <c r="AR13" s="131"/>
      <c r="AS13" s="131"/>
      <c r="AT13" s="131"/>
      <c r="AU13" s="131"/>
      <c r="AV13" s="272"/>
      <c r="AW13" s="272"/>
      <c r="AX13" s="272"/>
      <c r="AY13" s="272"/>
      <c r="AZ13" s="272"/>
      <c r="BA13" s="272"/>
      <c r="BB13" s="272"/>
      <c r="BC13" s="272"/>
      <c r="BD13" s="272"/>
    </row>
    <row r="14" spans="1:56" s="5" customFormat="1" ht="55.2">
      <c r="A14" s="135">
        <f t="shared" si="15"/>
        <v>10</v>
      </c>
      <c r="B14" s="19">
        <v>20133</v>
      </c>
      <c r="C14" s="794" t="s">
        <v>1355</v>
      </c>
      <c r="D14" s="120">
        <v>700000</v>
      </c>
      <c r="E14" s="120"/>
      <c r="F14" s="120">
        <f t="shared" si="11"/>
        <v>700000</v>
      </c>
      <c r="G14" s="120"/>
      <c r="H14" s="120"/>
      <c r="I14" s="120"/>
      <c r="J14" s="120"/>
      <c r="K14" s="120"/>
      <c r="L14" s="120"/>
      <c r="M14" s="120"/>
      <c r="N14" s="120">
        <f>700000-300000</f>
        <v>400000</v>
      </c>
      <c r="O14" s="120">
        <f t="shared" si="12"/>
        <v>300000</v>
      </c>
      <c r="P14" s="120"/>
      <c r="Q14" s="120"/>
      <c r="R14" s="120"/>
      <c r="S14" s="120"/>
      <c r="T14" s="120"/>
      <c r="U14" s="120">
        <f t="shared" si="13"/>
        <v>400000</v>
      </c>
      <c r="V14" s="120">
        <f t="shared" si="14"/>
        <v>400000</v>
      </c>
      <c r="W14" s="120"/>
      <c r="X14" s="120"/>
      <c r="Y14" s="120"/>
      <c r="Z14" s="120"/>
      <c r="AA14" s="120"/>
      <c r="AB14" s="3" t="s">
        <v>1500</v>
      </c>
      <c r="AC14" s="3">
        <v>870000</v>
      </c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131"/>
      <c r="AO14" s="131"/>
      <c r="AP14" s="131"/>
      <c r="AQ14" s="131"/>
      <c r="AR14" s="131"/>
      <c r="AS14" s="131"/>
      <c r="AT14" s="131"/>
      <c r="AU14" s="131"/>
      <c r="AV14" s="272"/>
      <c r="AW14" s="272"/>
      <c r="AX14" s="272"/>
      <c r="AY14" s="272"/>
      <c r="AZ14" s="272"/>
      <c r="BA14" s="272"/>
      <c r="BB14" s="272"/>
      <c r="BC14" s="272"/>
      <c r="BD14" s="272"/>
    </row>
    <row r="15" spans="1:56" s="48" customFormat="1" ht="45" customHeight="1">
      <c r="A15" s="249">
        <f>COUNT(A5:A14)</f>
        <v>10</v>
      </c>
      <c r="B15" s="20"/>
      <c r="C15" s="219" t="s">
        <v>1011</v>
      </c>
      <c r="D15" s="249">
        <f t="shared" ref="D15:AA15" si="16">SUM(D5:D14)</f>
        <v>213102131</v>
      </c>
      <c r="E15" s="249">
        <f t="shared" si="16"/>
        <v>17063000</v>
      </c>
      <c r="F15" s="249">
        <f t="shared" si="16"/>
        <v>196039131</v>
      </c>
      <c r="G15" s="249">
        <f t="shared" si="16"/>
        <v>5307282</v>
      </c>
      <c r="H15" s="249">
        <f t="shared" si="16"/>
        <v>5061257</v>
      </c>
      <c r="I15" s="249">
        <f t="shared" si="16"/>
        <v>0</v>
      </c>
      <c r="J15" s="249">
        <f t="shared" si="16"/>
        <v>0</v>
      </c>
      <c r="K15" s="249">
        <f t="shared" si="16"/>
        <v>0</v>
      </c>
      <c r="L15" s="249">
        <f t="shared" si="16"/>
        <v>5061257</v>
      </c>
      <c r="M15" s="249">
        <f t="shared" si="16"/>
        <v>156</v>
      </c>
      <c r="N15" s="249">
        <f t="shared" si="16"/>
        <v>7160000</v>
      </c>
      <c r="O15" s="249">
        <f t="shared" si="16"/>
        <v>200880718</v>
      </c>
      <c r="P15" s="249">
        <f t="shared" si="16"/>
        <v>246025</v>
      </c>
      <c r="Q15" s="249">
        <f t="shared" si="16"/>
        <v>0</v>
      </c>
      <c r="R15" s="249">
        <f t="shared" si="16"/>
        <v>0</v>
      </c>
      <c r="S15" s="249">
        <f t="shared" si="16"/>
        <v>0</v>
      </c>
      <c r="T15" s="249">
        <f t="shared" si="16"/>
        <v>245869</v>
      </c>
      <c r="U15" s="249">
        <f t="shared" si="16"/>
        <v>6914131</v>
      </c>
      <c r="V15" s="249">
        <f t="shared" si="16"/>
        <v>6568378</v>
      </c>
      <c r="W15" s="249">
        <f t="shared" si="16"/>
        <v>0</v>
      </c>
      <c r="X15" s="249">
        <f t="shared" si="16"/>
        <v>0</v>
      </c>
      <c r="Y15" s="249">
        <f t="shared" si="16"/>
        <v>0</v>
      </c>
      <c r="Z15" s="249">
        <f t="shared" si="16"/>
        <v>0</v>
      </c>
      <c r="AA15" s="249">
        <f t="shared" si="16"/>
        <v>345753</v>
      </c>
      <c r="AB15" s="20"/>
      <c r="AC15" s="20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45"/>
      <c r="AO15" s="245"/>
      <c r="AP15" s="245"/>
      <c r="AQ15" s="245"/>
      <c r="AR15" s="245"/>
      <c r="AS15" s="245"/>
      <c r="AT15" s="245"/>
      <c r="AU15" s="245"/>
      <c r="AV15" s="359"/>
      <c r="AW15" s="359"/>
      <c r="AX15" s="359"/>
      <c r="AY15" s="359"/>
      <c r="AZ15" s="359"/>
      <c r="BA15" s="359"/>
      <c r="BB15" s="359"/>
      <c r="BC15" s="359"/>
      <c r="BD15" s="359"/>
    </row>
    <row r="16" spans="1:56" hidden="1">
      <c r="D16" s="348">
        <f>SUM(L15:O15)</f>
        <v>213102131</v>
      </c>
      <c r="F16" s="132">
        <f>D15-E15</f>
        <v>196039131</v>
      </c>
      <c r="L16" s="348">
        <f>H15+K15</f>
        <v>5061257</v>
      </c>
      <c r="P16" s="348">
        <f>G15-L16</f>
        <v>246025</v>
      </c>
      <c r="T16" s="348">
        <f>P16+S16-M15</f>
        <v>245869</v>
      </c>
      <c r="U16" s="348">
        <f>N15-T16</f>
        <v>6914131</v>
      </c>
    </row>
    <row r="17" spans="1:21" hidden="1">
      <c r="D17" s="520">
        <f>D15-D16</f>
        <v>0</v>
      </c>
      <c r="L17" s="348">
        <f>L15-L16</f>
        <v>0</v>
      </c>
      <c r="P17" s="348">
        <f>P15-P16</f>
        <v>0</v>
      </c>
      <c r="T17" s="348">
        <f>T15-T16</f>
        <v>0</v>
      </c>
      <c r="U17" s="348">
        <f>U15-U16</f>
        <v>0</v>
      </c>
    </row>
    <row r="18" spans="1:21" hidden="1">
      <c r="D18" s="753"/>
      <c r="L18" s="754"/>
      <c r="P18" s="754"/>
      <c r="T18" s="754"/>
      <c r="U18" s="754"/>
    </row>
    <row r="19" spans="1:21">
      <c r="A19" s="755"/>
    </row>
    <row r="20" spans="1:21">
      <c r="A20" s="755"/>
    </row>
    <row r="125" spans="1:1">
      <c r="A125" s="131">
        <f>COUNT(A5:A124)</f>
        <v>11</v>
      </c>
    </row>
    <row r="128" spans="1:1">
      <c r="A128" s="131">
        <f>A125+1</f>
        <v>12</v>
      </c>
    </row>
    <row r="131" ht="37.950000000000003" customHeight="1"/>
    <row r="134" ht="70.95" customHeight="1"/>
    <row r="137" ht="72" customHeight="1"/>
    <row r="139" ht="43.95" customHeight="1"/>
    <row r="141" ht="30" customHeight="1"/>
  </sheetData>
  <sheetProtection formatCells="0" formatColumns="0" formatRows="0" insertColumns="0" insertRows="0" insertHyperlinks="0" deleteColumns="0" deleteRows="0" sort="0" autoFilter="0" pivotTables="0"/>
  <sortState ref="A13:BA31">
    <sortCondition ref="B13:B31"/>
  </sortState>
  <conditionalFormatting sqref="U5:U6">
    <cfRule type="cellIs" dxfId="274" priority="6" operator="equal">
      <formula>0</formula>
    </cfRule>
  </conditionalFormatting>
  <conditionalFormatting sqref="AF4">
    <cfRule type="cellIs" dxfId="273" priority="5" operator="equal">
      <formula>0</formula>
    </cfRule>
  </conditionalFormatting>
  <conditionalFormatting sqref="AH4">
    <cfRule type="cellIs" dxfId="272" priority="3" operator="equal">
      <formula>0</formula>
    </cfRule>
  </conditionalFormatting>
  <conditionalFormatting sqref="AK5:AK6">
    <cfRule type="cellIs" dxfId="271" priority="2" operator="equal">
      <formula>0</formula>
    </cfRule>
  </conditionalFormatting>
  <conditionalFormatting sqref="AL5:AL6">
    <cfRule type="cellIs" dxfId="27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"/>
  <sheetViews>
    <sheetView showZeros="0" rightToLeft="1" zoomScaleNormal="100" workbookViewId="0">
      <pane xSplit="3" ySplit="4" topLeftCell="D5" activePane="bottomRight" state="frozen"/>
      <selection activeCell="F25" sqref="F25"/>
      <selection pane="topRight" activeCell="F25" sqref="F25"/>
      <selection pane="bottomLeft" activeCell="F25" sqref="F25"/>
      <selection pane="bottomRight" sqref="A1:AC7"/>
    </sheetView>
  </sheetViews>
  <sheetFormatPr defaultColWidth="9.109375" defaultRowHeight="18"/>
  <cols>
    <col min="1" max="1" width="3.33203125" style="131" customWidth="1"/>
    <col min="2" max="2" width="4.6640625" style="131" customWidth="1"/>
    <col min="3" max="3" width="21.6640625" style="131" customWidth="1"/>
    <col min="4" max="6" width="10.109375" style="132" customWidth="1"/>
    <col min="7" max="11" width="9.6640625" style="132" hidden="1" customWidth="1"/>
    <col min="12" max="15" width="10.109375" style="132" customWidth="1"/>
    <col min="16" max="19" width="9.6640625" style="132" hidden="1" customWidth="1"/>
    <col min="20" max="20" width="10.109375" style="132" customWidth="1"/>
    <col min="21" max="22" width="10.109375" style="131" customWidth="1"/>
    <col min="23" max="26" width="9.6640625" style="131" hidden="1" customWidth="1"/>
    <col min="27" max="27" width="10.109375" style="131" customWidth="1"/>
    <col min="28" max="28" width="19.5546875" style="131" customWidth="1"/>
    <col min="29" max="29" width="9.6640625" style="131" customWidth="1"/>
    <col min="30" max="32" width="22" style="288" customWidth="1"/>
    <col min="33" max="33" width="24.33203125" style="141" customWidth="1"/>
    <col min="34" max="16384" width="9.109375" style="131"/>
  </cols>
  <sheetData>
    <row r="1" spans="1:33" s="141" customForma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228"/>
      <c r="Y1" s="228"/>
      <c r="Z1" s="228"/>
      <c r="AD1" s="288"/>
      <c r="AE1" s="288"/>
      <c r="AF1" s="288"/>
    </row>
    <row r="2" spans="1:33">
      <c r="A2" s="154" t="s">
        <v>92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1:33" ht="24" customHeight="1"/>
    <row r="4" spans="1:33" s="217" customFormat="1" ht="86.25" customHeight="1">
      <c r="A4" s="133" t="s">
        <v>0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133" t="s">
        <v>11</v>
      </c>
      <c r="M4" s="133" t="s">
        <v>707</v>
      </c>
      <c r="N4" s="133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3" t="s">
        <v>13</v>
      </c>
      <c r="W4" s="13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13" t="s">
        <v>242</v>
      </c>
      <c r="AC4" s="133" t="s">
        <v>16</v>
      </c>
      <c r="AD4" s="288"/>
      <c r="AE4" s="288"/>
      <c r="AF4" s="288"/>
      <c r="AG4" s="141"/>
    </row>
    <row r="5" spans="1:33" s="136" customFormat="1" ht="45" customHeight="1">
      <c r="A5" s="135">
        <v>1</v>
      </c>
      <c r="B5" s="135">
        <v>1519</v>
      </c>
      <c r="C5" s="135" t="s">
        <v>73</v>
      </c>
      <c r="D5" s="120">
        <v>8493000</v>
      </c>
      <c r="E5" s="120">
        <v>8493000</v>
      </c>
      <c r="F5" s="120">
        <f>D5-E5</f>
        <v>0</v>
      </c>
      <c r="G5" s="120">
        <v>3451068</v>
      </c>
      <c r="H5" s="120">
        <v>3440609</v>
      </c>
      <c r="I5" s="120">
        <v>0</v>
      </c>
      <c r="J5" s="120">
        <v>0</v>
      </c>
      <c r="K5" s="120">
        <f>SUM(I5:J5)</f>
        <v>0</v>
      </c>
      <c r="L5" s="120">
        <f>H5+K5</f>
        <v>3440609</v>
      </c>
      <c r="M5" s="120">
        <f>P5+S5</f>
        <v>10459</v>
      </c>
      <c r="N5" s="120">
        <v>1600000</v>
      </c>
      <c r="O5" s="120">
        <f>D5-L5-M5-N5</f>
        <v>3441932</v>
      </c>
      <c r="P5" s="120">
        <f>G5-L5</f>
        <v>10459</v>
      </c>
      <c r="Q5" s="120"/>
      <c r="R5" s="120"/>
      <c r="S5" s="120">
        <f>SUM(Q5:R5)</f>
        <v>0</v>
      </c>
      <c r="T5" s="120">
        <f>P5-M5+S5</f>
        <v>0</v>
      </c>
      <c r="U5" s="384">
        <f>N5-T5</f>
        <v>1600000</v>
      </c>
      <c r="V5" s="120">
        <f>U5-AA5</f>
        <v>859101</v>
      </c>
      <c r="W5" s="120"/>
      <c r="X5" s="120"/>
      <c r="Y5" s="120"/>
      <c r="Z5" s="120"/>
      <c r="AA5" s="120">
        <f>987865-246966</f>
        <v>740899</v>
      </c>
      <c r="AB5" s="135" t="s">
        <v>646</v>
      </c>
      <c r="AC5" s="135">
        <v>732000</v>
      </c>
      <c r="AD5" s="288"/>
      <c r="AE5" s="288"/>
      <c r="AF5" s="288"/>
      <c r="AG5" s="141"/>
    </row>
    <row r="6" spans="1:33" s="134" customFormat="1" ht="45" customHeight="1">
      <c r="A6" s="135">
        <f>A5+1</f>
        <v>2</v>
      </c>
      <c r="B6" s="135">
        <v>1867</v>
      </c>
      <c r="C6" s="135" t="s">
        <v>111</v>
      </c>
      <c r="D6" s="120">
        <f>1520000-950000</f>
        <v>570000</v>
      </c>
      <c r="E6" s="120">
        <v>1520000</v>
      </c>
      <c r="F6" s="120">
        <f>D6-E6</f>
        <v>-950000</v>
      </c>
      <c r="G6" s="120">
        <v>570000</v>
      </c>
      <c r="H6" s="120">
        <v>369131</v>
      </c>
      <c r="I6" s="120">
        <v>0</v>
      </c>
      <c r="J6" s="120">
        <v>0</v>
      </c>
      <c r="K6" s="120">
        <f>SUM(I6:J6)</f>
        <v>0</v>
      </c>
      <c r="L6" s="120">
        <f>H6+K6</f>
        <v>369131</v>
      </c>
      <c r="M6" s="120">
        <f>P6+S6</f>
        <v>200869</v>
      </c>
      <c r="N6" s="120"/>
      <c r="O6" s="120">
        <f>D6-L6-M6-N6</f>
        <v>0</v>
      </c>
      <c r="P6" s="120">
        <f>G6-L6</f>
        <v>200869</v>
      </c>
      <c r="Q6" s="120"/>
      <c r="R6" s="120"/>
      <c r="S6" s="120">
        <f>SUM(Q6:R6)</f>
        <v>0</v>
      </c>
      <c r="T6" s="120">
        <f>P6-M6+S6</f>
        <v>0</v>
      </c>
      <c r="U6" s="384">
        <f>N6-T6</f>
        <v>0</v>
      </c>
      <c r="V6" s="120">
        <f>U6</f>
        <v>0</v>
      </c>
      <c r="W6" s="120"/>
      <c r="X6" s="120"/>
      <c r="Y6" s="120"/>
      <c r="Z6" s="120"/>
      <c r="AA6" s="120">
        <f>987864-987864</f>
        <v>0</v>
      </c>
      <c r="AB6" s="135" t="s">
        <v>804</v>
      </c>
      <c r="AC6" s="135">
        <v>732000</v>
      </c>
      <c r="AD6" s="288"/>
      <c r="AE6" s="288"/>
      <c r="AF6" s="288"/>
      <c r="AG6" s="141"/>
    </row>
    <row r="7" spans="1:33" s="288" customFormat="1" ht="45" customHeight="1">
      <c r="A7" s="246">
        <f>A6</f>
        <v>2</v>
      </c>
      <c r="B7" s="246"/>
      <c r="C7" s="20" t="s">
        <v>525</v>
      </c>
      <c r="D7" s="287">
        <f t="shared" ref="D7:AA7" si="0">SUM(D5:D6)</f>
        <v>9063000</v>
      </c>
      <c r="E7" s="287">
        <f t="shared" si="0"/>
        <v>10013000</v>
      </c>
      <c r="F7" s="287">
        <f t="shared" si="0"/>
        <v>-950000</v>
      </c>
      <c r="G7" s="287">
        <f t="shared" si="0"/>
        <v>4021068</v>
      </c>
      <c r="H7" s="287">
        <f t="shared" si="0"/>
        <v>3809740</v>
      </c>
      <c r="I7" s="287">
        <f t="shared" si="0"/>
        <v>0</v>
      </c>
      <c r="J7" s="287">
        <f t="shared" si="0"/>
        <v>0</v>
      </c>
      <c r="K7" s="287">
        <f t="shared" si="0"/>
        <v>0</v>
      </c>
      <c r="L7" s="287">
        <f t="shared" si="0"/>
        <v>3809740</v>
      </c>
      <c r="M7" s="287">
        <f t="shared" si="0"/>
        <v>211328</v>
      </c>
      <c r="N7" s="287">
        <f t="shared" si="0"/>
        <v>1600000</v>
      </c>
      <c r="O7" s="287">
        <f t="shared" si="0"/>
        <v>3441932</v>
      </c>
      <c r="P7" s="287">
        <f t="shared" si="0"/>
        <v>211328</v>
      </c>
      <c r="Q7" s="287">
        <f t="shared" si="0"/>
        <v>0</v>
      </c>
      <c r="R7" s="287">
        <f t="shared" si="0"/>
        <v>0</v>
      </c>
      <c r="S7" s="287">
        <f t="shared" si="0"/>
        <v>0</v>
      </c>
      <c r="T7" s="287">
        <f t="shared" si="0"/>
        <v>0</v>
      </c>
      <c r="U7" s="287">
        <f t="shared" si="0"/>
        <v>1600000</v>
      </c>
      <c r="V7" s="287">
        <f t="shared" si="0"/>
        <v>859101</v>
      </c>
      <c r="W7" s="287">
        <f t="shared" si="0"/>
        <v>0</v>
      </c>
      <c r="X7" s="287">
        <f t="shared" si="0"/>
        <v>0</v>
      </c>
      <c r="Y7" s="287">
        <f t="shared" si="0"/>
        <v>0</v>
      </c>
      <c r="Z7" s="287">
        <f t="shared" si="0"/>
        <v>0</v>
      </c>
      <c r="AA7" s="287">
        <f t="shared" si="0"/>
        <v>740899</v>
      </c>
      <c r="AB7" s="287"/>
      <c r="AC7" s="246"/>
    </row>
    <row r="8" spans="1:33" s="245" customFormat="1"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>
        <f>G7-L7</f>
        <v>211328</v>
      </c>
      <c r="Q8" s="402"/>
      <c r="R8" s="402"/>
      <c r="S8" s="402"/>
      <c r="T8" s="402">
        <f>P8+S7-M7</f>
        <v>0</v>
      </c>
      <c r="AD8" s="288"/>
      <c r="AE8" s="288"/>
      <c r="AF8" s="288"/>
      <c r="AG8" s="403"/>
    </row>
    <row r="9" spans="1:33">
      <c r="C9" s="353"/>
    </row>
  </sheetData>
  <sheetProtection formatCells="0" formatColumns="0" formatRows="0" insertColumns="0" insertRows="0" insertHyperlinks="0" deleteColumns="0" deleteRows="0" sort="0" autoFilter="0" pivotTables="0"/>
  <conditionalFormatting sqref="U5:U6">
    <cfRule type="cellIs" dxfId="269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2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71" customWidth="1"/>
    <col min="4" max="4" width="33" style="71" customWidth="1"/>
    <col min="5" max="9" width="12.109375" style="71" customWidth="1"/>
    <col min="10" max="10" width="7.88671875" style="71" customWidth="1"/>
    <col min="11" max="16384" width="9.109375" style="71"/>
  </cols>
  <sheetData>
    <row r="3" spans="1:17" ht="21">
      <c r="E3" s="72"/>
    </row>
    <row r="4" spans="1:17" s="81" customFormat="1" ht="18">
      <c r="A4" s="79" t="s">
        <v>169</v>
      </c>
      <c r="C4" s="80" t="s">
        <v>1246</v>
      </c>
    </row>
    <row r="5" spans="1:17" ht="15.6">
      <c r="A5" s="73"/>
      <c r="C5" s="74"/>
      <c r="G5" s="74" t="s">
        <v>158</v>
      </c>
    </row>
    <row r="6" spans="1:17" ht="16.2" thickBot="1">
      <c r="A6" s="73"/>
      <c r="C6" s="74"/>
    </row>
    <row r="7" spans="1:17" ht="16.2" thickBot="1">
      <c r="A7" s="73">
        <v>3.1</v>
      </c>
      <c r="C7" s="73" t="s">
        <v>168</v>
      </c>
      <c r="D7" s="73"/>
      <c r="E7" s="73"/>
      <c r="F7" s="73"/>
      <c r="G7" s="346">
        <f>מבוא!E27</f>
        <v>452663.94500000001</v>
      </c>
    </row>
    <row r="8" spans="1:17" ht="16.2" thickBot="1">
      <c r="A8" s="73"/>
      <c r="C8" s="73"/>
      <c r="D8" s="73"/>
      <c r="E8" s="73"/>
      <c r="F8" s="73"/>
      <c r="G8" s="73"/>
    </row>
    <row r="9" spans="1:17" ht="16.2" thickBot="1">
      <c r="A9" s="73"/>
      <c r="C9" s="73" t="s">
        <v>1013</v>
      </c>
      <c r="D9" s="73"/>
      <c r="E9" s="73"/>
      <c r="F9" s="73"/>
      <c r="G9" s="346">
        <f>מבוא!E29</f>
        <v>659697.41500000004</v>
      </c>
      <c r="I9" s="73"/>
      <c r="J9" s="73"/>
      <c r="K9" s="73"/>
      <c r="L9" s="73"/>
    </row>
    <row r="10" spans="1:17" ht="16.2" thickBot="1">
      <c r="A10" s="73"/>
      <c r="C10" s="73"/>
      <c r="D10" s="73"/>
      <c r="E10" s="73"/>
      <c r="F10" s="73"/>
      <c r="G10" s="73"/>
      <c r="I10" s="73"/>
      <c r="J10" s="73"/>
      <c r="K10" s="73"/>
      <c r="L10" s="73"/>
    </row>
    <row r="11" spans="1:17" ht="16.2" thickBot="1">
      <c r="A11" s="73"/>
      <c r="C11" s="73" t="s">
        <v>1588</v>
      </c>
      <c r="D11" s="73"/>
      <c r="E11" s="73"/>
      <c r="F11" s="73"/>
      <c r="G11" s="346">
        <f>מבוא!E30</f>
        <v>2405191.7599999998</v>
      </c>
      <c r="I11" s="73"/>
      <c r="J11" s="73"/>
      <c r="K11" s="73"/>
      <c r="L11" s="73"/>
    </row>
    <row r="12" spans="1:17" ht="16.2" thickBot="1">
      <c r="A12" s="73"/>
      <c r="C12" s="73"/>
      <c r="D12" s="73"/>
      <c r="E12" s="73"/>
      <c r="F12" s="73"/>
      <c r="G12" s="73"/>
      <c r="I12" s="73"/>
      <c r="J12" s="73"/>
      <c r="K12" s="73"/>
      <c r="L12" s="73"/>
    </row>
    <row r="13" spans="1:17" ht="16.2" thickBot="1">
      <c r="A13" s="73"/>
      <c r="C13" s="73" t="s">
        <v>159</v>
      </c>
      <c r="D13" s="73"/>
      <c r="E13" s="73"/>
      <c r="F13" s="73"/>
      <c r="G13" s="346">
        <f>מבוא!E31</f>
        <v>5913581.9170000004</v>
      </c>
      <c r="I13" s="73"/>
      <c r="J13" s="73"/>
      <c r="K13" s="73"/>
      <c r="L13" s="73"/>
      <c r="O13" s="73"/>
      <c r="P13" s="73"/>
      <c r="Q13" s="73"/>
    </row>
    <row r="14" spans="1:17" ht="15.6">
      <c r="A14" s="73"/>
      <c r="C14" s="73"/>
      <c r="D14" s="73"/>
      <c r="E14" s="73"/>
      <c r="F14" s="73"/>
      <c r="G14" s="90"/>
      <c r="I14" s="73"/>
      <c r="J14" s="73"/>
      <c r="K14" s="73"/>
      <c r="L14" s="73"/>
      <c r="O14" s="73"/>
      <c r="P14" s="73"/>
      <c r="Q14" s="73"/>
    </row>
    <row r="15" spans="1:17" ht="15.6">
      <c r="A15" s="73"/>
      <c r="C15" s="73"/>
      <c r="D15" s="73"/>
      <c r="E15" s="73"/>
      <c r="F15" s="73"/>
      <c r="G15" s="90"/>
      <c r="I15" s="73"/>
      <c r="J15" s="73"/>
      <c r="K15" s="73"/>
      <c r="L15" s="73"/>
      <c r="O15" s="73"/>
      <c r="P15" s="73"/>
      <c r="Q15" s="73"/>
    </row>
    <row r="16" spans="1:17" ht="15.6">
      <c r="A16" s="73"/>
      <c r="C16" s="73"/>
      <c r="D16" s="155"/>
      <c r="E16" s="73"/>
      <c r="F16" s="73"/>
      <c r="G16" s="73"/>
      <c r="H16" s="73"/>
      <c r="I16" s="73"/>
      <c r="J16" s="73"/>
      <c r="K16" s="73"/>
      <c r="L16" s="73"/>
      <c r="O16" s="73"/>
      <c r="P16" s="73"/>
      <c r="Q16" s="73"/>
    </row>
    <row r="17" spans="1:17" ht="15.6">
      <c r="A17" s="73">
        <v>3.2</v>
      </c>
      <c r="C17" s="795" t="s">
        <v>1247</v>
      </c>
      <c r="D17" s="73"/>
      <c r="E17" s="333"/>
      <c r="F17" s="73"/>
      <c r="G17" s="73"/>
      <c r="H17" s="73"/>
      <c r="I17" s="73"/>
      <c r="J17" s="73"/>
      <c r="K17" s="73"/>
      <c r="L17" s="73"/>
      <c r="O17" s="73"/>
      <c r="P17" s="73"/>
      <c r="Q17" s="73"/>
    </row>
    <row r="18" spans="1:17" ht="15.6">
      <c r="A18" s="73"/>
      <c r="B18" s="76" t="s">
        <v>129</v>
      </c>
      <c r="C18" s="73" t="s">
        <v>692</v>
      </c>
      <c r="D18" s="73"/>
      <c r="E18" s="73"/>
      <c r="F18" s="73"/>
      <c r="G18" s="73"/>
      <c r="H18" s="73"/>
      <c r="I18" s="73"/>
      <c r="J18" s="73"/>
      <c r="K18" s="73"/>
      <c r="L18" s="73"/>
      <c r="O18" s="73"/>
      <c r="P18" s="73"/>
      <c r="Q18" s="73"/>
    </row>
    <row r="19" spans="1:17" ht="15.6">
      <c r="A19" s="73"/>
      <c r="B19" s="76" t="s">
        <v>129</v>
      </c>
      <c r="C19" s="73" t="s">
        <v>539</v>
      </c>
      <c r="D19" s="73"/>
      <c r="E19" s="73"/>
      <c r="F19" s="73"/>
      <c r="G19" s="73"/>
      <c r="H19" s="73"/>
      <c r="I19" s="73"/>
      <c r="J19" s="73"/>
      <c r="K19" s="73"/>
      <c r="L19" s="73"/>
      <c r="O19" s="73"/>
      <c r="P19" s="73"/>
      <c r="Q19" s="73"/>
    </row>
    <row r="20" spans="1:17" ht="15.6">
      <c r="A20" s="73"/>
      <c r="B20" s="76" t="s">
        <v>129</v>
      </c>
      <c r="C20" s="73" t="s">
        <v>690</v>
      </c>
      <c r="D20" s="73"/>
      <c r="E20" s="73"/>
      <c r="F20" s="73"/>
      <c r="G20" s="73"/>
      <c r="H20" s="73"/>
      <c r="I20" s="73"/>
      <c r="J20" s="73"/>
      <c r="K20" s="73"/>
      <c r="L20" s="73"/>
      <c r="O20" s="73"/>
      <c r="P20" s="73"/>
      <c r="Q20" s="73"/>
    </row>
    <row r="21" spans="1:17" ht="15.6">
      <c r="B21" s="76" t="s">
        <v>129</v>
      </c>
      <c r="C21" s="73" t="s">
        <v>691</v>
      </c>
    </row>
    <row r="22" spans="1:17" ht="15.6">
      <c r="A22" s="73"/>
      <c r="B22" s="76" t="s">
        <v>129</v>
      </c>
      <c r="C22" s="73" t="s">
        <v>866</v>
      </c>
      <c r="D22" s="73"/>
      <c r="E22" s="73"/>
      <c r="F22" s="73"/>
      <c r="G22" s="73"/>
      <c r="H22" s="73"/>
      <c r="I22" s="73"/>
      <c r="J22" s="73"/>
      <c r="K22" s="73"/>
      <c r="L22" s="73"/>
      <c r="O22" s="73"/>
      <c r="P22" s="73"/>
      <c r="Q22" s="73"/>
    </row>
    <row r="23" spans="1:17" ht="15.6">
      <c r="A23" s="73"/>
      <c r="B23" s="76" t="s">
        <v>129</v>
      </c>
      <c r="C23" s="73" t="s">
        <v>871</v>
      </c>
      <c r="D23" s="73"/>
      <c r="E23" s="73"/>
      <c r="F23" s="73"/>
      <c r="G23" s="73"/>
      <c r="H23" s="73"/>
      <c r="I23" s="73"/>
      <c r="J23" s="73"/>
      <c r="K23" s="73"/>
      <c r="L23" s="73"/>
      <c r="O23" s="73"/>
      <c r="P23" s="73"/>
      <c r="Q23" s="73"/>
    </row>
    <row r="24" spans="1:17" ht="15.6">
      <c r="A24" s="73"/>
      <c r="B24" s="76" t="s">
        <v>129</v>
      </c>
      <c r="C24" s="73" t="s">
        <v>421</v>
      </c>
      <c r="D24" s="73"/>
      <c r="E24" s="73"/>
      <c r="F24" s="73"/>
      <c r="G24" s="73"/>
      <c r="H24" s="73"/>
      <c r="I24" s="73"/>
      <c r="J24" s="73"/>
      <c r="K24" s="73"/>
      <c r="L24" s="73"/>
      <c r="O24" s="73"/>
      <c r="P24" s="73"/>
      <c r="Q24" s="73"/>
    </row>
    <row r="25" spans="1:17" ht="15.6">
      <c r="A25" s="73"/>
      <c r="B25" s="76" t="s">
        <v>129</v>
      </c>
      <c r="C25" s="73" t="s">
        <v>693</v>
      </c>
      <c r="D25" s="73"/>
      <c r="E25" s="73"/>
      <c r="F25" s="73"/>
      <c r="G25" s="73"/>
      <c r="H25" s="73"/>
      <c r="I25" s="73"/>
      <c r="J25" s="73"/>
      <c r="K25" s="73"/>
      <c r="L25" s="73"/>
      <c r="O25" s="73"/>
      <c r="P25" s="73"/>
      <c r="Q25" s="73"/>
    </row>
    <row r="26" spans="1:17" ht="15.6">
      <c r="A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O26" s="73"/>
      <c r="P26" s="73"/>
      <c r="Q26" s="73"/>
    </row>
    <row r="27" spans="1:17" ht="15.6">
      <c r="A27" s="73"/>
      <c r="N27" s="73"/>
      <c r="O27" s="73"/>
      <c r="P27" s="73"/>
      <c r="Q27" s="73"/>
    </row>
    <row r="28" spans="1:17" ht="15.6">
      <c r="A28" s="73"/>
      <c r="N28" s="73"/>
      <c r="O28" s="73"/>
      <c r="P28" s="73"/>
      <c r="Q28" s="73"/>
    </row>
    <row r="29" spans="1:17" ht="22.8">
      <c r="A29" s="73"/>
      <c r="B29" s="78"/>
      <c r="C29" s="78"/>
      <c r="D29" s="229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</row>
    <row r="30" spans="1:17" ht="15.6">
      <c r="A30" s="78"/>
      <c r="B30" s="78"/>
      <c r="C30" s="78"/>
      <c r="D30" s="78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</row>
    <row r="31" spans="1:17" ht="15.6"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</row>
    <row r="32" spans="1:17" ht="15.6"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51"/>
  <sheetViews>
    <sheetView showZeros="0" rightToLeft="1" zoomScaleNormal="100" workbookViewId="0">
      <pane xSplit="3" ySplit="4" topLeftCell="D14" activePane="bottomRight" state="frozen"/>
      <selection activeCell="S45" sqref="S45"/>
      <selection pane="topRight" activeCell="S45" sqref="S45"/>
      <selection pane="bottomLeft" activeCell="S45" sqref="S45"/>
      <selection pane="bottomRight" activeCell="AB1" sqref="AB1:AB1048576"/>
    </sheetView>
  </sheetViews>
  <sheetFormatPr defaultColWidth="9.109375" defaultRowHeight="18"/>
  <cols>
    <col min="1" max="1" width="3.6640625" style="131" customWidth="1"/>
    <col min="2" max="2" width="5.6640625" style="131" customWidth="1"/>
    <col min="3" max="3" width="17.6640625" style="139" customWidth="1"/>
    <col min="4" max="4" width="10.6640625" style="132" customWidth="1"/>
    <col min="5" max="5" width="9.6640625" style="132" customWidth="1"/>
    <col min="6" max="6" width="11.6640625" style="132" customWidth="1"/>
    <col min="7" max="11" width="9.6640625" style="132" hidden="1" customWidth="1"/>
    <col min="12" max="12" width="8.88671875" style="132" customWidth="1"/>
    <col min="13" max="13" width="6.33203125" style="132" customWidth="1"/>
    <col min="14" max="14" width="9.88671875" style="132" customWidth="1"/>
    <col min="15" max="15" width="10.5546875" style="132" customWidth="1"/>
    <col min="16" max="19" width="9.6640625" style="132" hidden="1" customWidth="1"/>
    <col min="20" max="20" width="9" style="132" customWidth="1"/>
    <col min="21" max="22" width="9.6640625" style="131" customWidth="1"/>
    <col min="23" max="26" width="9.6640625" style="131" hidden="1" customWidth="1"/>
    <col min="27" max="27" width="7.88671875" style="131" customWidth="1"/>
    <col min="28" max="28" width="45.6640625" style="131" customWidth="1"/>
    <col min="29" max="29" width="9.6640625" style="131" customWidth="1"/>
    <col min="30" max="30" width="17.44140625" style="215" customWidth="1"/>
    <col min="31" max="31" width="20.88671875" style="215" customWidth="1"/>
    <col min="32" max="32" width="11.88671875" style="215" customWidth="1"/>
    <col min="33" max="33" width="21.33203125" style="215" customWidth="1"/>
    <col min="34" max="34" width="11.88671875" style="215" customWidth="1"/>
    <col min="35" max="35" width="16.109375" style="215" customWidth="1"/>
    <col min="36" max="36" width="17.6640625" style="215" customWidth="1"/>
    <col min="37" max="38" width="9.6640625" style="215" customWidth="1"/>
    <col min="39" max="39" width="17.6640625" style="215" customWidth="1"/>
    <col min="40" max="47" width="10.6640625" style="141" customWidth="1"/>
    <col min="48" max="16384" width="9.109375" style="131"/>
  </cols>
  <sheetData>
    <row r="1" spans="1:56" s="141" customFormat="1">
      <c r="A1" s="154"/>
      <c r="B1" s="154"/>
      <c r="C1" s="236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228"/>
      <c r="Y1" s="228"/>
      <c r="Z1" s="228"/>
      <c r="AD1" s="215"/>
      <c r="AE1" s="215"/>
      <c r="AF1" s="215"/>
      <c r="AG1" s="215"/>
      <c r="AH1" s="215"/>
      <c r="AI1" s="215"/>
      <c r="AJ1" s="215"/>
      <c r="AK1" s="215"/>
      <c r="AL1" s="215"/>
      <c r="AM1" s="215"/>
    </row>
    <row r="2" spans="1:56">
      <c r="A2" s="154" t="s">
        <v>92</v>
      </c>
      <c r="B2" s="154"/>
      <c r="C2" s="236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1:56" ht="24" customHeight="1">
      <c r="V3" s="896" t="s">
        <v>79</v>
      </c>
      <c r="W3" s="896"/>
      <c r="X3" s="896"/>
      <c r="Y3" s="896"/>
      <c r="Z3" s="896"/>
      <c r="AA3" s="896"/>
    </row>
    <row r="4" spans="1:56" s="217" customFormat="1" ht="86.25" customHeight="1">
      <c r="A4" s="133" t="s">
        <v>0</v>
      </c>
      <c r="B4" s="133" t="s">
        <v>1</v>
      </c>
      <c r="C4" s="133" t="s">
        <v>2</v>
      </c>
      <c r="D4" s="133" t="s">
        <v>3</v>
      </c>
      <c r="E4" s="133" t="s">
        <v>4</v>
      </c>
      <c r="F4" s="133" t="s">
        <v>5</v>
      </c>
      <c r="G4" s="133" t="s">
        <v>6</v>
      </c>
      <c r="H4" s="133" t="s">
        <v>7</v>
      </c>
      <c r="I4" s="133" t="s">
        <v>9</v>
      </c>
      <c r="J4" s="133" t="s">
        <v>125</v>
      </c>
      <c r="K4" s="133" t="s">
        <v>10</v>
      </c>
      <c r="L4" s="133" t="s">
        <v>11</v>
      </c>
      <c r="M4" s="133" t="s">
        <v>917</v>
      </c>
      <c r="N4" s="133" t="s">
        <v>918</v>
      </c>
      <c r="O4" s="2" t="s">
        <v>919</v>
      </c>
      <c r="P4" s="2" t="s">
        <v>12</v>
      </c>
      <c r="Q4" s="2" t="s">
        <v>920</v>
      </c>
      <c r="R4" s="2" t="s">
        <v>921</v>
      </c>
      <c r="S4" s="2" t="s">
        <v>922</v>
      </c>
      <c r="T4" s="2" t="s">
        <v>923</v>
      </c>
      <c r="U4" s="2" t="s">
        <v>924</v>
      </c>
      <c r="V4" s="133" t="s">
        <v>13</v>
      </c>
      <c r="W4" s="133" t="s">
        <v>14</v>
      </c>
      <c r="X4" s="133" t="s">
        <v>15</v>
      </c>
      <c r="Y4" s="133" t="s">
        <v>214</v>
      </c>
      <c r="Z4" s="133" t="s">
        <v>502</v>
      </c>
      <c r="AA4" s="133" t="s">
        <v>75</v>
      </c>
      <c r="AB4" s="13" t="s">
        <v>242</v>
      </c>
      <c r="AC4" s="133" t="s">
        <v>16</v>
      </c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141"/>
      <c r="AO4" s="141"/>
      <c r="AP4" s="141"/>
      <c r="AQ4" s="141"/>
      <c r="AR4" s="141"/>
      <c r="AS4" s="141"/>
      <c r="AT4" s="141"/>
      <c r="AU4" s="141"/>
    </row>
    <row r="5" spans="1:56" s="217" customFormat="1" ht="34.200000000000003" customHeight="1">
      <c r="A5" s="133"/>
      <c r="B5" s="133"/>
      <c r="C5" s="138">
        <v>73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2"/>
      <c r="P5" s="2"/>
      <c r="Q5" s="2"/>
      <c r="R5" s="2"/>
      <c r="S5" s="2"/>
      <c r="T5" s="2"/>
      <c r="U5" s="2"/>
      <c r="V5" s="133"/>
      <c r="W5" s="133"/>
      <c r="X5" s="133"/>
      <c r="Y5" s="133"/>
      <c r="Z5" s="133"/>
      <c r="AA5" s="133"/>
      <c r="AB5" s="13"/>
      <c r="AC5" s="133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141"/>
      <c r="AO5" s="141"/>
      <c r="AP5" s="141"/>
      <c r="AQ5" s="141"/>
      <c r="AR5" s="141"/>
      <c r="AS5" s="141"/>
      <c r="AT5" s="141"/>
      <c r="AU5" s="141"/>
    </row>
    <row r="6" spans="1:56" s="136" customFormat="1" ht="49.2" customHeight="1">
      <c r="A6" s="135">
        <v>1</v>
      </c>
      <c r="B6" s="135">
        <v>1519</v>
      </c>
      <c r="C6" s="135" t="s">
        <v>73</v>
      </c>
      <c r="D6" s="120">
        <v>8493000</v>
      </c>
      <c r="E6" s="120">
        <v>8493000</v>
      </c>
      <c r="F6" s="120">
        <f>D6-E6</f>
        <v>0</v>
      </c>
      <c r="G6" s="120">
        <v>4687282</v>
      </c>
      <c r="H6" s="120">
        <v>4687145</v>
      </c>
      <c r="I6" s="120">
        <v>0</v>
      </c>
      <c r="J6" s="120">
        <v>0</v>
      </c>
      <c r="K6" s="120">
        <f>SUM(I6:J6)</f>
        <v>0</v>
      </c>
      <c r="L6" s="120">
        <f>H6+K6</f>
        <v>4687145</v>
      </c>
      <c r="M6" s="120">
        <f>P6+S6</f>
        <v>137</v>
      </c>
      <c r="N6" s="120">
        <f>1000000+125000</f>
        <v>1125000</v>
      </c>
      <c r="O6" s="120">
        <f>D6-L6-M6-N6</f>
        <v>2680718</v>
      </c>
      <c r="P6" s="120">
        <f>G6-L6</f>
        <v>137</v>
      </c>
      <c r="Q6" s="120"/>
      <c r="R6" s="120"/>
      <c r="S6" s="120">
        <f>SUM(Q6:R6)</f>
        <v>0</v>
      </c>
      <c r="T6" s="120">
        <f>P6-M6+S6</f>
        <v>0</v>
      </c>
      <c r="U6" s="519">
        <f>N6-T6</f>
        <v>1125000</v>
      </c>
      <c r="V6" s="120">
        <f>U6-AA6</f>
        <v>779247</v>
      </c>
      <c r="W6" s="120"/>
      <c r="X6" s="120"/>
      <c r="Y6" s="120"/>
      <c r="Z6" s="120"/>
      <c r="AA6" s="120">
        <v>345753</v>
      </c>
      <c r="AB6" s="224" t="s">
        <v>1401</v>
      </c>
      <c r="AC6" s="135">
        <v>732000</v>
      </c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141"/>
      <c r="AO6" s="141"/>
      <c r="AP6" s="141"/>
      <c r="AQ6" s="141"/>
      <c r="AR6" s="141"/>
      <c r="AS6" s="141"/>
      <c r="AT6" s="141"/>
      <c r="AU6" s="141"/>
    </row>
    <row r="7" spans="1:56" s="134" customFormat="1" ht="25.2" customHeight="1">
      <c r="A7" s="135">
        <f>A6+1</f>
        <v>2</v>
      </c>
      <c r="B7" s="135">
        <v>1867</v>
      </c>
      <c r="C7" s="135" t="s">
        <v>111</v>
      </c>
      <c r="D7" s="120">
        <f>570000-200869</f>
        <v>369131</v>
      </c>
      <c r="E7" s="120">
        <v>570000</v>
      </c>
      <c r="F7" s="120">
        <f>D7-E7</f>
        <v>-200869</v>
      </c>
      <c r="G7" s="120">
        <v>570000</v>
      </c>
      <c r="H7" s="120">
        <v>369131</v>
      </c>
      <c r="I7" s="120">
        <v>0</v>
      </c>
      <c r="J7" s="120">
        <v>0</v>
      </c>
      <c r="K7" s="120">
        <f>SUM(I7:J7)</f>
        <v>0</v>
      </c>
      <c r="L7" s="120">
        <f>H7+K7</f>
        <v>369131</v>
      </c>
      <c r="M7" s="120">
        <f>P7+S7-200869</f>
        <v>0</v>
      </c>
      <c r="N7" s="120"/>
      <c r="O7" s="120">
        <f>D7-L7-M7-N7</f>
        <v>0</v>
      </c>
      <c r="P7" s="120">
        <f>G7-L7</f>
        <v>200869</v>
      </c>
      <c r="Q7" s="120"/>
      <c r="R7" s="120"/>
      <c r="S7" s="120">
        <f>SUM(Q7:R7)</f>
        <v>0</v>
      </c>
      <c r="T7" s="120">
        <f>P7-M7+S7</f>
        <v>200869</v>
      </c>
      <c r="U7" s="519">
        <f>N7-T7</f>
        <v>-200869</v>
      </c>
      <c r="V7" s="120">
        <f>U7-AA7</f>
        <v>-200869</v>
      </c>
      <c r="W7" s="120"/>
      <c r="X7" s="120"/>
      <c r="Y7" s="120"/>
      <c r="Z7" s="120"/>
      <c r="AA7" s="120"/>
      <c r="AB7" s="135" t="s">
        <v>1526</v>
      </c>
      <c r="AC7" s="135">
        <v>732000</v>
      </c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141"/>
      <c r="AO7" s="141"/>
      <c r="AP7" s="141"/>
      <c r="AQ7" s="141"/>
      <c r="AR7" s="141"/>
      <c r="AS7" s="141"/>
      <c r="AT7" s="141"/>
      <c r="AU7" s="141"/>
    </row>
    <row r="8" spans="1:56" s="452" customFormat="1" ht="33" customHeight="1">
      <c r="A8" s="135">
        <f>A7+1</f>
        <v>3</v>
      </c>
      <c r="B8" s="19">
        <v>20131</v>
      </c>
      <c r="C8" s="218" t="s">
        <v>999</v>
      </c>
      <c r="D8" s="120">
        <v>1000000</v>
      </c>
      <c r="E8" s="120"/>
      <c r="F8" s="120">
        <f>D8-E8</f>
        <v>1000000</v>
      </c>
      <c r="G8" s="120"/>
      <c r="H8" s="120"/>
      <c r="I8" s="120"/>
      <c r="J8" s="120"/>
      <c r="K8" s="120"/>
      <c r="L8" s="120"/>
      <c r="M8" s="120"/>
      <c r="N8" s="120">
        <f>1000000-800000</f>
        <v>200000</v>
      </c>
      <c r="O8" s="120">
        <f>D8-L8-M8-N8</f>
        <v>800000</v>
      </c>
      <c r="P8" s="120"/>
      <c r="Q8" s="120"/>
      <c r="R8" s="120"/>
      <c r="S8" s="120"/>
      <c r="T8" s="120"/>
      <c r="U8" s="120">
        <f>N8-T8</f>
        <v>200000</v>
      </c>
      <c r="V8" s="120">
        <f>U8-W8-Z8-AA8</f>
        <v>200000</v>
      </c>
      <c r="W8" s="120"/>
      <c r="X8" s="120"/>
      <c r="Y8" s="120"/>
      <c r="Z8" s="120"/>
      <c r="AA8" s="120"/>
      <c r="AB8" s="19" t="s">
        <v>1000</v>
      </c>
      <c r="AC8" s="3">
        <v>732000</v>
      </c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131"/>
      <c r="AO8" s="131"/>
      <c r="AP8" s="131"/>
      <c r="AQ8" s="131"/>
      <c r="AR8" s="131"/>
      <c r="AS8" s="131"/>
      <c r="AT8" s="131"/>
      <c r="AU8" s="131"/>
      <c r="AV8" s="272"/>
      <c r="AW8" s="272"/>
      <c r="AX8" s="272"/>
      <c r="AY8" s="272"/>
      <c r="AZ8" s="272"/>
      <c r="BA8" s="272"/>
      <c r="BB8" s="272"/>
      <c r="BC8" s="272"/>
      <c r="BD8" s="272"/>
    </row>
    <row r="9" spans="1:56" s="5" customFormat="1" ht="48" customHeight="1">
      <c r="A9" s="135">
        <f>A8+1</f>
        <v>4</v>
      </c>
      <c r="B9" s="19">
        <v>20132</v>
      </c>
      <c r="C9" s="218" t="s">
        <v>32</v>
      </c>
      <c r="D9" s="120">
        <v>300000</v>
      </c>
      <c r="E9" s="120"/>
      <c r="F9" s="120">
        <f>D9-E9</f>
        <v>300000</v>
      </c>
      <c r="G9" s="120"/>
      <c r="H9" s="120"/>
      <c r="I9" s="120"/>
      <c r="J9" s="120"/>
      <c r="K9" s="120"/>
      <c r="L9" s="120"/>
      <c r="M9" s="120"/>
      <c r="N9" s="120">
        <f>300000-100000</f>
        <v>200000</v>
      </c>
      <c r="O9" s="120">
        <f>D9-L9-M9-N9</f>
        <v>100000</v>
      </c>
      <c r="P9" s="120"/>
      <c r="Q9" s="120"/>
      <c r="R9" s="120"/>
      <c r="S9" s="120"/>
      <c r="T9" s="120"/>
      <c r="U9" s="120">
        <f>N9-T9</f>
        <v>200000</v>
      </c>
      <c r="V9" s="120">
        <f>U9-W9-Z9-AA9</f>
        <v>200000</v>
      </c>
      <c r="W9" s="120"/>
      <c r="X9" s="120"/>
      <c r="Y9" s="120"/>
      <c r="Z9" s="120"/>
      <c r="AA9" s="120"/>
      <c r="AB9" s="19" t="s">
        <v>1001</v>
      </c>
      <c r="AC9" s="3">
        <v>732000</v>
      </c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131"/>
      <c r="AO9" s="131"/>
      <c r="AP9" s="131"/>
      <c r="AQ9" s="131"/>
      <c r="AR9" s="131"/>
      <c r="AS9" s="131"/>
      <c r="AT9" s="131"/>
      <c r="AU9" s="131"/>
      <c r="AV9" s="272"/>
      <c r="AW9" s="272"/>
      <c r="AX9" s="272"/>
      <c r="AY9" s="272"/>
      <c r="AZ9" s="272"/>
      <c r="BA9" s="272"/>
      <c r="BB9" s="272"/>
      <c r="BC9" s="272"/>
      <c r="BD9" s="272"/>
    </row>
    <row r="10" spans="1:56" s="48" customFormat="1" ht="24.6" customHeight="1">
      <c r="A10" s="219"/>
      <c r="B10" s="20"/>
      <c r="C10" s="286" t="s">
        <v>1557</v>
      </c>
      <c r="D10" s="249">
        <f>SUM(D6:D9)</f>
        <v>10162131</v>
      </c>
      <c r="E10" s="249">
        <f t="shared" ref="E10:AA10" si="0">SUM(E6:E9)</f>
        <v>9063000</v>
      </c>
      <c r="F10" s="249">
        <f t="shared" si="0"/>
        <v>1099131</v>
      </c>
      <c r="G10" s="249">
        <f t="shared" si="0"/>
        <v>5257282</v>
      </c>
      <c r="H10" s="249">
        <f t="shared" si="0"/>
        <v>5056276</v>
      </c>
      <c r="I10" s="249">
        <f t="shared" si="0"/>
        <v>0</v>
      </c>
      <c r="J10" s="249">
        <f t="shared" si="0"/>
        <v>0</v>
      </c>
      <c r="K10" s="249">
        <f t="shared" si="0"/>
        <v>0</v>
      </c>
      <c r="L10" s="249">
        <f t="shared" si="0"/>
        <v>5056276</v>
      </c>
      <c r="M10" s="249">
        <f t="shared" si="0"/>
        <v>137</v>
      </c>
      <c r="N10" s="249">
        <f t="shared" si="0"/>
        <v>1525000</v>
      </c>
      <c r="O10" s="249">
        <f t="shared" si="0"/>
        <v>3580718</v>
      </c>
      <c r="P10" s="249">
        <f t="shared" si="0"/>
        <v>201006</v>
      </c>
      <c r="Q10" s="249">
        <f t="shared" si="0"/>
        <v>0</v>
      </c>
      <c r="R10" s="249">
        <f t="shared" si="0"/>
        <v>0</v>
      </c>
      <c r="S10" s="249">
        <f t="shared" si="0"/>
        <v>0</v>
      </c>
      <c r="T10" s="249">
        <f t="shared" si="0"/>
        <v>200869</v>
      </c>
      <c r="U10" s="249">
        <f t="shared" si="0"/>
        <v>1324131</v>
      </c>
      <c r="V10" s="249">
        <f t="shared" si="0"/>
        <v>978378</v>
      </c>
      <c r="W10" s="249">
        <f t="shared" si="0"/>
        <v>0</v>
      </c>
      <c r="X10" s="249">
        <f t="shared" si="0"/>
        <v>0</v>
      </c>
      <c r="Y10" s="249">
        <f t="shared" si="0"/>
        <v>0</v>
      </c>
      <c r="Z10" s="249">
        <f t="shared" si="0"/>
        <v>0</v>
      </c>
      <c r="AA10" s="249">
        <f t="shared" si="0"/>
        <v>345753</v>
      </c>
      <c r="AB10" s="20"/>
      <c r="AC10" s="20"/>
      <c r="AD10" s="826"/>
      <c r="AE10" s="826"/>
      <c r="AF10" s="826"/>
      <c r="AG10" s="826"/>
      <c r="AH10" s="826"/>
      <c r="AI10" s="826"/>
      <c r="AJ10" s="826"/>
      <c r="AK10" s="826"/>
      <c r="AL10" s="826"/>
      <c r="AM10" s="826"/>
      <c r="AN10" s="245"/>
      <c r="AO10" s="245"/>
      <c r="AP10" s="245"/>
      <c r="AQ10" s="245"/>
      <c r="AR10" s="245"/>
      <c r="AS10" s="245"/>
      <c r="AT10" s="245"/>
      <c r="AU10" s="245"/>
      <c r="AV10" s="359"/>
      <c r="AW10" s="359"/>
      <c r="AX10" s="359"/>
      <c r="AY10" s="359"/>
      <c r="AZ10" s="359"/>
      <c r="BA10" s="359"/>
      <c r="BB10" s="359"/>
      <c r="BC10" s="359"/>
      <c r="BD10" s="359"/>
    </row>
    <row r="11" spans="1:56" s="48" customFormat="1" ht="36" customHeight="1">
      <c r="A11" s="219"/>
      <c r="B11" s="20"/>
      <c r="C11" s="219">
        <v>74</v>
      </c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0"/>
      <c r="AC11" s="20"/>
      <c r="AD11" s="826"/>
      <c r="AE11" s="826"/>
      <c r="AF11" s="826"/>
      <c r="AG11" s="826"/>
      <c r="AH11" s="826"/>
      <c r="AI11" s="826"/>
      <c r="AJ11" s="826"/>
      <c r="AK11" s="826"/>
      <c r="AL11" s="826"/>
      <c r="AM11" s="826"/>
      <c r="AN11" s="245"/>
      <c r="AO11" s="245"/>
      <c r="AP11" s="245"/>
      <c r="AQ11" s="245"/>
      <c r="AR11" s="245"/>
      <c r="AS11" s="245"/>
      <c r="AT11" s="245"/>
      <c r="AU11" s="245"/>
      <c r="AV11" s="359"/>
      <c r="AW11" s="359"/>
      <c r="AX11" s="359"/>
      <c r="AY11" s="359"/>
      <c r="AZ11" s="359"/>
      <c r="BA11" s="359"/>
      <c r="BB11" s="359"/>
      <c r="BC11" s="359"/>
      <c r="BD11" s="359"/>
    </row>
    <row r="12" spans="1:56" s="5" customFormat="1" ht="48" customHeight="1">
      <c r="A12" s="135">
        <f>A9+1</f>
        <v>5</v>
      </c>
      <c r="B12" s="455">
        <v>20080</v>
      </c>
      <c r="C12" s="458" t="s">
        <v>914</v>
      </c>
      <c r="D12" s="120">
        <v>8000000</v>
      </c>
      <c r="E12" s="120">
        <v>8000000</v>
      </c>
      <c r="F12" s="120">
        <f>D12-E12</f>
        <v>0</v>
      </c>
      <c r="G12" s="120">
        <v>50000</v>
      </c>
      <c r="H12" s="120">
        <v>4981</v>
      </c>
      <c r="I12" s="120"/>
      <c r="J12" s="120"/>
      <c r="K12" s="120">
        <f>I12+J12</f>
        <v>0</v>
      </c>
      <c r="L12" s="120">
        <f>H12+K12</f>
        <v>4981</v>
      </c>
      <c r="M12" s="120">
        <f>P12+S12-45000</f>
        <v>19</v>
      </c>
      <c r="N12" s="120">
        <f>300000-150000+45000</f>
        <v>195000</v>
      </c>
      <c r="O12" s="120">
        <f>D12-L12-M12-N12</f>
        <v>7800000</v>
      </c>
      <c r="P12" s="120">
        <f>G12-L12</f>
        <v>45019</v>
      </c>
      <c r="Q12" s="120"/>
      <c r="R12" s="120"/>
      <c r="S12" s="120">
        <f>SUM(Q12:R12)</f>
        <v>0</v>
      </c>
      <c r="T12" s="120">
        <f>P12-M12+S12</f>
        <v>45000</v>
      </c>
      <c r="U12" s="120">
        <f>N12-T12</f>
        <v>150000</v>
      </c>
      <c r="V12" s="120">
        <f>U12-W12-Z12-AA12</f>
        <v>150000</v>
      </c>
      <c r="W12" s="120"/>
      <c r="X12" s="120"/>
      <c r="Y12" s="120"/>
      <c r="Z12" s="120"/>
      <c r="AA12" s="120"/>
      <c r="AB12" s="458" t="s">
        <v>916</v>
      </c>
      <c r="AC12" s="448">
        <v>742000</v>
      </c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141"/>
      <c r="AO12" s="465"/>
      <c r="AP12" s="465"/>
      <c r="AQ12" s="465"/>
      <c r="AR12" s="465"/>
      <c r="AS12" s="465"/>
      <c r="AT12" s="465"/>
      <c r="AU12" s="465"/>
      <c r="AV12" s="452"/>
      <c r="AW12" s="452"/>
      <c r="AX12" s="452"/>
      <c r="AY12" s="452"/>
      <c r="AZ12" s="452"/>
      <c r="BA12" s="452"/>
      <c r="BB12" s="452"/>
      <c r="BC12" s="452"/>
      <c r="BD12" s="452"/>
    </row>
    <row r="13" spans="1:56" s="5" customFormat="1" ht="51.6" customHeight="1">
      <c r="A13" s="135">
        <f>A12+1</f>
        <v>6</v>
      </c>
      <c r="B13" s="19">
        <v>20129</v>
      </c>
      <c r="C13" s="218" t="s">
        <v>1504</v>
      </c>
      <c r="D13" s="120">
        <v>117500000</v>
      </c>
      <c r="E13" s="120"/>
      <c r="F13" s="120">
        <f>D13-E13</f>
        <v>117500000</v>
      </c>
      <c r="G13" s="120">
        <v>0</v>
      </c>
      <c r="H13" s="120"/>
      <c r="I13" s="120"/>
      <c r="J13" s="120"/>
      <c r="K13" s="120">
        <f>I13+J13</f>
        <v>0</v>
      </c>
      <c r="L13" s="120">
        <f>H13+K13</f>
        <v>0</v>
      </c>
      <c r="M13" s="120">
        <f>P13+S13</f>
        <v>0</v>
      </c>
      <c r="N13" s="419">
        <v>500000</v>
      </c>
      <c r="O13" s="120">
        <f>D13-L13-M13-N13</f>
        <v>117000000</v>
      </c>
      <c r="P13" s="120">
        <f>G13-L13</f>
        <v>0</v>
      </c>
      <c r="Q13" s="120"/>
      <c r="R13" s="120"/>
      <c r="S13" s="120">
        <f>SUM(Q13:R13)</f>
        <v>0</v>
      </c>
      <c r="T13" s="120">
        <f>P13-M13+S13</f>
        <v>0</v>
      </c>
      <c r="U13" s="120">
        <f>N13-T13</f>
        <v>500000</v>
      </c>
      <c r="V13" s="120">
        <f>U13-W13-Z13-AA13</f>
        <v>500000</v>
      </c>
      <c r="W13" s="120"/>
      <c r="X13" s="120"/>
      <c r="Y13" s="120"/>
      <c r="Z13" s="120"/>
      <c r="AA13" s="120"/>
      <c r="AB13" s="3" t="s">
        <v>1499</v>
      </c>
      <c r="AC13" s="3">
        <v>742000</v>
      </c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131"/>
      <c r="AO13" s="131"/>
      <c r="AP13" s="131"/>
      <c r="AQ13" s="131"/>
      <c r="AR13" s="131"/>
      <c r="AS13" s="131"/>
      <c r="AT13" s="131"/>
      <c r="AU13" s="131"/>
      <c r="AV13" s="272"/>
      <c r="AW13" s="272"/>
      <c r="AX13" s="272"/>
      <c r="AY13" s="272"/>
      <c r="AZ13" s="272"/>
      <c r="BA13" s="272"/>
      <c r="BB13" s="272"/>
      <c r="BC13" s="272"/>
      <c r="BD13" s="272"/>
    </row>
    <row r="14" spans="1:56" s="48" customFormat="1" ht="30" customHeight="1">
      <c r="A14" s="219"/>
      <c r="B14" s="20"/>
      <c r="C14" s="286" t="s">
        <v>1558</v>
      </c>
      <c r="D14" s="249">
        <f>SUM(D12:D13)</f>
        <v>125500000</v>
      </c>
      <c r="E14" s="249">
        <f t="shared" ref="E14:AA14" si="1">SUM(E12:E13)</f>
        <v>8000000</v>
      </c>
      <c r="F14" s="249">
        <f t="shared" si="1"/>
        <v>117500000</v>
      </c>
      <c r="G14" s="249">
        <f t="shared" si="1"/>
        <v>50000</v>
      </c>
      <c r="H14" s="249">
        <f t="shared" si="1"/>
        <v>4981</v>
      </c>
      <c r="I14" s="249">
        <f t="shared" si="1"/>
        <v>0</v>
      </c>
      <c r="J14" s="249">
        <f t="shared" si="1"/>
        <v>0</v>
      </c>
      <c r="K14" s="249">
        <f t="shared" si="1"/>
        <v>0</v>
      </c>
      <c r="L14" s="249">
        <f t="shared" si="1"/>
        <v>4981</v>
      </c>
      <c r="M14" s="249">
        <f t="shared" si="1"/>
        <v>19</v>
      </c>
      <c r="N14" s="249">
        <f t="shared" si="1"/>
        <v>695000</v>
      </c>
      <c r="O14" s="249">
        <f t="shared" si="1"/>
        <v>124800000</v>
      </c>
      <c r="P14" s="249">
        <f t="shared" si="1"/>
        <v>45019</v>
      </c>
      <c r="Q14" s="249">
        <f t="shared" si="1"/>
        <v>0</v>
      </c>
      <c r="R14" s="249">
        <f t="shared" si="1"/>
        <v>0</v>
      </c>
      <c r="S14" s="249">
        <f t="shared" si="1"/>
        <v>0</v>
      </c>
      <c r="T14" s="249">
        <f t="shared" si="1"/>
        <v>45000</v>
      </c>
      <c r="U14" s="249">
        <f t="shared" si="1"/>
        <v>650000</v>
      </c>
      <c r="V14" s="249">
        <f t="shared" si="1"/>
        <v>650000</v>
      </c>
      <c r="W14" s="249">
        <f t="shared" si="1"/>
        <v>0</v>
      </c>
      <c r="X14" s="249">
        <f t="shared" si="1"/>
        <v>0</v>
      </c>
      <c r="Y14" s="249">
        <f t="shared" si="1"/>
        <v>0</v>
      </c>
      <c r="Z14" s="249">
        <f t="shared" si="1"/>
        <v>0</v>
      </c>
      <c r="AA14" s="249">
        <f t="shared" si="1"/>
        <v>0</v>
      </c>
      <c r="AB14" s="20"/>
      <c r="AC14" s="20"/>
      <c r="AD14" s="826"/>
      <c r="AE14" s="826"/>
      <c r="AF14" s="826"/>
      <c r="AG14" s="826"/>
      <c r="AH14" s="826"/>
      <c r="AI14" s="826"/>
      <c r="AJ14" s="826"/>
      <c r="AK14" s="826"/>
      <c r="AL14" s="826"/>
      <c r="AM14" s="826"/>
      <c r="AN14" s="245"/>
      <c r="AO14" s="245"/>
      <c r="AP14" s="245"/>
      <c r="AQ14" s="245"/>
      <c r="AR14" s="245"/>
      <c r="AS14" s="245"/>
      <c r="AT14" s="245"/>
      <c r="AU14" s="245"/>
      <c r="AV14" s="359"/>
      <c r="AW14" s="359"/>
      <c r="AX14" s="359"/>
      <c r="AY14" s="359"/>
      <c r="AZ14" s="359"/>
      <c r="BA14" s="359"/>
      <c r="BB14" s="359"/>
      <c r="BC14" s="359"/>
      <c r="BD14" s="359"/>
    </row>
    <row r="15" spans="1:56" s="48" customFormat="1" ht="30" customHeight="1">
      <c r="A15" s="219"/>
      <c r="B15" s="20"/>
      <c r="C15" s="219">
        <v>747</v>
      </c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80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0"/>
      <c r="AC15" s="20"/>
      <c r="AD15" s="826"/>
      <c r="AE15" s="826"/>
      <c r="AF15" s="826"/>
      <c r="AG15" s="826"/>
      <c r="AH15" s="826"/>
      <c r="AI15" s="826"/>
      <c r="AJ15" s="826"/>
      <c r="AK15" s="826"/>
      <c r="AL15" s="826"/>
      <c r="AM15" s="826"/>
      <c r="AN15" s="245"/>
      <c r="AO15" s="245"/>
      <c r="AP15" s="245"/>
      <c r="AQ15" s="245"/>
      <c r="AR15" s="245"/>
      <c r="AS15" s="245"/>
      <c r="AT15" s="245"/>
      <c r="AU15" s="245"/>
      <c r="AV15" s="359"/>
      <c r="AW15" s="359"/>
      <c r="AX15" s="359"/>
      <c r="AY15" s="359"/>
      <c r="AZ15" s="359"/>
      <c r="BA15" s="359"/>
      <c r="BB15" s="359"/>
      <c r="BC15" s="359"/>
      <c r="BD15" s="359"/>
    </row>
    <row r="16" spans="1:56" s="5" customFormat="1" ht="31.95" customHeight="1">
      <c r="A16" s="135">
        <f>A13+1</f>
        <v>7</v>
      </c>
      <c r="B16" s="19">
        <v>20130</v>
      </c>
      <c r="C16" s="794" t="s">
        <v>1353</v>
      </c>
      <c r="D16" s="120">
        <v>540000</v>
      </c>
      <c r="E16" s="120"/>
      <c r="F16" s="120">
        <f>D16-E16</f>
        <v>540000</v>
      </c>
      <c r="G16" s="120">
        <v>0</v>
      </c>
      <c r="H16" s="120"/>
      <c r="I16" s="120"/>
      <c r="J16" s="120"/>
      <c r="K16" s="120">
        <f>I16+J16</f>
        <v>0</v>
      </c>
      <c r="L16" s="120">
        <f>H16+K16</f>
        <v>0</v>
      </c>
      <c r="M16" s="120">
        <f>P16+S16</f>
        <v>0</v>
      </c>
      <c r="N16" s="120">
        <v>540000</v>
      </c>
      <c r="O16" s="120">
        <f>D16-L16-M16-N16</f>
        <v>0</v>
      </c>
      <c r="P16" s="120">
        <f>G16-L16</f>
        <v>0</v>
      </c>
      <c r="Q16" s="120"/>
      <c r="R16" s="120"/>
      <c r="S16" s="120">
        <f>SUM(Q16:R16)</f>
        <v>0</v>
      </c>
      <c r="T16" s="120">
        <f>P16-M16+S16</f>
        <v>0</v>
      </c>
      <c r="U16" s="120">
        <f>N16-T16</f>
        <v>540000</v>
      </c>
      <c r="V16" s="120">
        <f>U16-W16-Z16-AA16</f>
        <v>540000</v>
      </c>
      <c r="W16" s="120"/>
      <c r="X16" s="120"/>
      <c r="Y16" s="120"/>
      <c r="Z16" s="120"/>
      <c r="AA16" s="120"/>
      <c r="AB16" s="19" t="s">
        <v>1354</v>
      </c>
      <c r="AC16" s="3">
        <v>747000</v>
      </c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131"/>
      <c r="AO16" s="131"/>
      <c r="AP16" s="131"/>
      <c r="AQ16" s="131"/>
      <c r="AR16" s="131"/>
      <c r="AS16" s="131"/>
      <c r="AT16" s="131"/>
      <c r="AU16" s="131"/>
      <c r="AV16" s="272"/>
      <c r="AW16" s="272"/>
      <c r="AX16" s="272"/>
      <c r="AY16" s="272"/>
      <c r="AZ16" s="272"/>
      <c r="BA16" s="272"/>
      <c r="BB16" s="272"/>
      <c r="BC16" s="272"/>
      <c r="BD16" s="272"/>
    </row>
    <row r="17" spans="1:56" s="48" customFormat="1" ht="31.95" customHeight="1">
      <c r="A17" s="219"/>
      <c r="B17" s="20"/>
      <c r="C17" s="827" t="s">
        <v>1561</v>
      </c>
      <c r="D17" s="249">
        <f>SUM(D16)</f>
        <v>540000</v>
      </c>
      <c r="E17" s="249">
        <f t="shared" ref="E17:AA17" si="2">SUM(E16)</f>
        <v>0</v>
      </c>
      <c r="F17" s="249">
        <f t="shared" si="2"/>
        <v>540000</v>
      </c>
      <c r="G17" s="249">
        <f t="shared" si="2"/>
        <v>0</v>
      </c>
      <c r="H17" s="249">
        <f t="shared" si="2"/>
        <v>0</v>
      </c>
      <c r="I17" s="249">
        <f t="shared" si="2"/>
        <v>0</v>
      </c>
      <c r="J17" s="249">
        <f t="shared" si="2"/>
        <v>0</v>
      </c>
      <c r="K17" s="249">
        <f t="shared" si="2"/>
        <v>0</v>
      </c>
      <c r="L17" s="249">
        <f t="shared" si="2"/>
        <v>0</v>
      </c>
      <c r="M17" s="249">
        <f t="shared" si="2"/>
        <v>0</v>
      </c>
      <c r="N17" s="249">
        <f t="shared" si="2"/>
        <v>540000</v>
      </c>
      <c r="O17" s="249">
        <f t="shared" si="2"/>
        <v>0</v>
      </c>
      <c r="P17" s="249">
        <f t="shared" si="2"/>
        <v>0</v>
      </c>
      <c r="Q17" s="249">
        <f t="shared" si="2"/>
        <v>0</v>
      </c>
      <c r="R17" s="249">
        <f t="shared" si="2"/>
        <v>0</v>
      </c>
      <c r="S17" s="249">
        <f t="shared" si="2"/>
        <v>0</v>
      </c>
      <c r="T17" s="249">
        <f t="shared" si="2"/>
        <v>0</v>
      </c>
      <c r="U17" s="249">
        <f t="shared" si="2"/>
        <v>540000</v>
      </c>
      <c r="V17" s="249">
        <f t="shared" si="2"/>
        <v>540000</v>
      </c>
      <c r="W17" s="249">
        <f t="shared" si="2"/>
        <v>0</v>
      </c>
      <c r="X17" s="249">
        <f t="shared" si="2"/>
        <v>0</v>
      </c>
      <c r="Y17" s="249">
        <f t="shared" si="2"/>
        <v>0</v>
      </c>
      <c r="Z17" s="249">
        <f t="shared" si="2"/>
        <v>0</v>
      </c>
      <c r="AA17" s="249">
        <f t="shared" si="2"/>
        <v>0</v>
      </c>
      <c r="AB17" s="20"/>
      <c r="AC17" s="20"/>
      <c r="AD17" s="826"/>
      <c r="AE17" s="826"/>
      <c r="AF17" s="826"/>
      <c r="AG17" s="826"/>
      <c r="AH17" s="826"/>
      <c r="AI17" s="826"/>
      <c r="AJ17" s="826"/>
      <c r="AK17" s="826"/>
      <c r="AL17" s="826"/>
      <c r="AM17" s="826"/>
      <c r="AN17" s="245"/>
      <c r="AO17" s="245"/>
      <c r="AP17" s="245"/>
      <c r="AQ17" s="245"/>
      <c r="AR17" s="245"/>
      <c r="AS17" s="245"/>
      <c r="AT17" s="245"/>
      <c r="AU17" s="245"/>
      <c r="AV17" s="359"/>
      <c r="AW17" s="359"/>
      <c r="AX17" s="359"/>
      <c r="AY17" s="359"/>
      <c r="AZ17" s="359"/>
      <c r="BA17" s="359"/>
      <c r="BB17" s="359"/>
      <c r="BC17" s="359"/>
      <c r="BD17" s="359"/>
    </row>
    <row r="18" spans="1:56" s="48" customFormat="1" ht="31.95" customHeight="1">
      <c r="A18" s="219"/>
      <c r="B18" s="20"/>
      <c r="C18" s="828">
        <v>87</v>
      </c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0"/>
      <c r="AC18" s="20"/>
      <c r="AD18" s="826"/>
      <c r="AE18" s="826"/>
      <c r="AF18" s="826"/>
      <c r="AG18" s="826"/>
      <c r="AH18" s="826"/>
      <c r="AI18" s="826"/>
      <c r="AJ18" s="826"/>
      <c r="AK18" s="826"/>
      <c r="AL18" s="826"/>
      <c r="AM18" s="826"/>
      <c r="AN18" s="245"/>
      <c r="AO18" s="245"/>
      <c r="AP18" s="245"/>
      <c r="AQ18" s="245"/>
      <c r="AR18" s="245"/>
      <c r="AS18" s="245"/>
      <c r="AT18" s="245"/>
      <c r="AU18" s="245"/>
      <c r="AV18" s="359"/>
      <c r="AW18" s="359"/>
      <c r="AX18" s="359"/>
      <c r="AY18" s="359"/>
      <c r="AZ18" s="359"/>
      <c r="BA18" s="359"/>
      <c r="BB18" s="359"/>
      <c r="BC18" s="359"/>
      <c r="BD18" s="359"/>
    </row>
    <row r="19" spans="1:56" s="5" customFormat="1" ht="27.6" customHeight="1">
      <c r="A19" s="135">
        <f>A16+1</f>
        <v>8</v>
      </c>
      <c r="B19" s="19">
        <v>20133</v>
      </c>
      <c r="C19" s="794" t="s">
        <v>1355</v>
      </c>
      <c r="D19" s="120">
        <v>700000</v>
      </c>
      <c r="E19" s="120"/>
      <c r="F19" s="120">
        <f>D19-E19</f>
        <v>700000</v>
      </c>
      <c r="G19" s="120"/>
      <c r="H19" s="120"/>
      <c r="I19" s="120"/>
      <c r="J19" s="120"/>
      <c r="K19" s="120"/>
      <c r="L19" s="120"/>
      <c r="M19" s="120"/>
      <c r="N19" s="120">
        <f>700000-300000</f>
        <v>400000</v>
      </c>
      <c r="O19" s="120">
        <f>D19-L19-M19-N19</f>
        <v>300000</v>
      </c>
      <c r="P19" s="120"/>
      <c r="Q19" s="120"/>
      <c r="R19" s="120"/>
      <c r="S19" s="120"/>
      <c r="T19" s="120"/>
      <c r="U19" s="120">
        <f>N19-T19</f>
        <v>400000</v>
      </c>
      <c r="V19" s="120">
        <f>U19-W19-Z19-AA19</f>
        <v>400000</v>
      </c>
      <c r="W19" s="120"/>
      <c r="X19" s="120"/>
      <c r="Y19" s="120"/>
      <c r="Z19" s="120"/>
      <c r="AA19" s="120"/>
      <c r="AB19" s="3" t="s">
        <v>1500</v>
      </c>
      <c r="AC19" s="3">
        <v>870000</v>
      </c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131"/>
      <c r="AO19" s="131"/>
      <c r="AP19" s="131"/>
      <c r="AQ19" s="131"/>
      <c r="AR19" s="131"/>
      <c r="AS19" s="131"/>
      <c r="AT19" s="131"/>
      <c r="AU19" s="131"/>
      <c r="AV19" s="272"/>
      <c r="AW19" s="272"/>
      <c r="AX19" s="272"/>
      <c r="AY19" s="272"/>
      <c r="AZ19" s="272"/>
      <c r="BA19" s="272"/>
      <c r="BB19" s="272"/>
      <c r="BC19" s="272"/>
      <c r="BD19" s="272"/>
    </row>
    <row r="20" spans="1:56" s="48" customFormat="1" ht="27.6" customHeight="1">
      <c r="A20" s="219"/>
      <c r="B20" s="20"/>
      <c r="C20" s="827" t="s">
        <v>1560</v>
      </c>
      <c r="D20" s="249">
        <f>SUM(D19)</f>
        <v>700000</v>
      </c>
      <c r="E20" s="249">
        <f t="shared" ref="E20:AA20" si="3">SUM(E19)</f>
        <v>0</v>
      </c>
      <c r="F20" s="249">
        <f t="shared" si="3"/>
        <v>700000</v>
      </c>
      <c r="G20" s="249">
        <f t="shared" si="3"/>
        <v>0</v>
      </c>
      <c r="H20" s="249">
        <f t="shared" si="3"/>
        <v>0</v>
      </c>
      <c r="I20" s="249">
        <f t="shared" si="3"/>
        <v>0</v>
      </c>
      <c r="J20" s="249">
        <f t="shared" si="3"/>
        <v>0</v>
      </c>
      <c r="K20" s="249">
        <f t="shared" si="3"/>
        <v>0</v>
      </c>
      <c r="L20" s="249">
        <f t="shared" si="3"/>
        <v>0</v>
      </c>
      <c r="M20" s="249">
        <f t="shared" si="3"/>
        <v>0</v>
      </c>
      <c r="N20" s="249">
        <f t="shared" si="3"/>
        <v>400000</v>
      </c>
      <c r="O20" s="249">
        <f t="shared" si="3"/>
        <v>300000</v>
      </c>
      <c r="P20" s="249">
        <f t="shared" si="3"/>
        <v>0</v>
      </c>
      <c r="Q20" s="249">
        <f t="shared" si="3"/>
        <v>0</v>
      </c>
      <c r="R20" s="249">
        <f t="shared" si="3"/>
        <v>0</v>
      </c>
      <c r="S20" s="249">
        <f t="shared" si="3"/>
        <v>0</v>
      </c>
      <c r="T20" s="249">
        <f t="shared" si="3"/>
        <v>0</v>
      </c>
      <c r="U20" s="249">
        <f t="shared" si="3"/>
        <v>400000</v>
      </c>
      <c r="V20" s="249">
        <f t="shared" si="3"/>
        <v>400000</v>
      </c>
      <c r="W20" s="249">
        <f t="shared" si="3"/>
        <v>0</v>
      </c>
      <c r="X20" s="249">
        <f t="shared" si="3"/>
        <v>0</v>
      </c>
      <c r="Y20" s="249">
        <f t="shared" si="3"/>
        <v>0</v>
      </c>
      <c r="Z20" s="249">
        <f t="shared" si="3"/>
        <v>0</v>
      </c>
      <c r="AA20" s="249">
        <f t="shared" si="3"/>
        <v>0</v>
      </c>
      <c r="AB20" s="20"/>
      <c r="AC20" s="20"/>
      <c r="AD20" s="826"/>
      <c r="AE20" s="826"/>
      <c r="AF20" s="826"/>
      <c r="AG20" s="826"/>
      <c r="AH20" s="826"/>
      <c r="AI20" s="826"/>
      <c r="AJ20" s="826"/>
      <c r="AK20" s="826"/>
      <c r="AL20" s="826"/>
      <c r="AM20" s="826"/>
      <c r="AN20" s="245"/>
      <c r="AO20" s="245"/>
      <c r="AP20" s="245"/>
      <c r="AQ20" s="245"/>
      <c r="AR20" s="245"/>
      <c r="AS20" s="245"/>
      <c r="AT20" s="245"/>
      <c r="AU20" s="245"/>
      <c r="AV20" s="359"/>
      <c r="AW20" s="359"/>
      <c r="AX20" s="359"/>
      <c r="AY20" s="359"/>
      <c r="AZ20" s="359"/>
      <c r="BA20" s="359"/>
      <c r="BB20" s="359"/>
      <c r="BC20" s="359"/>
      <c r="BD20" s="359"/>
    </row>
    <row r="21" spans="1:56" s="48" customFormat="1" ht="27.6" customHeight="1">
      <c r="A21" s="219"/>
      <c r="B21" s="20"/>
      <c r="C21" s="828">
        <v>93</v>
      </c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0"/>
      <c r="AC21" s="20"/>
      <c r="AD21" s="826"/>
      <c r="AE21" s="826"/>
      <c r="AF21" s="826"/>
      <c r="AG21" s="826"/>
      <c r="AH21" s="826"/>
      <c r="AI21" s="826"/>
      <c r="AJ21" s="826"/>
      <c r="AK21" s="826"/>
      <c r="AL21" s="826"/>
      <c r="AM21" s="826"/>
      <c r="AN21" s="245"/>
      <c r="AO21" s="245"/>
      <c r="AP21" s="245"/>
      <c r="AQ21" s="245"/>
      <c r="AR21" s="245"/>
      <c r="AS21" s="245"/>
      <c r="AT21" s="245"/>
      <c r="AU21" s="245"/>
      <c r="AV21" s="359"/>
      <c r="AW21" s="359"/>
      <c r="AX21" s="359"/>
      <c r="AY21" s="359"/>
      <c r="AZ21" s="359"/>
      <c r="BA21" s="359"/>
      <c r="BB21" s="359"/>
      <c r="BC21" s="359"/>
      <c r="BD21" s="359"/>
    </row>
    <row r="22" spans="1:56" s="5" customFormat="1" ht="24" customHeight="1">
      <c r="A22" s="135">
        <f>A19+1</f>
        <v>9</v>
      </c>
      <c r="B22" s="19">
        <v>20127</v>
      </c>
      <c r="C22" s="794" t="s">
        <v>1501</v>
      </c>
      <c r="D22" s="120">
        <v>11200000</v>
      </c>
      <c r="E22" s="120"/>
      <c r="F22" s="120">
        <f>D22-E22</f>
        <v>11200000</v>
      </c>
      <c r="G22" s="120">
        <v>0</v>
      </c>
      <c r="H22" s="120"/>
      <c r="I22" s="120"/>
      <c r="J22" s="120"/>
      <c r="K22" s="120">
        <f>I22+J22</f>
        <v>0</v>
      </c>
      <c r="L22" s="120">
        <f>H22+K22</f>
        <v>0</v>
      </c>
      <c r="M22" s="120">
        <f>P22+S22</f>
        <v>0</v>
      </c>
      <c r="N22" s="120">
        <f>11200000-8700000-500000</f>
        <v>2000000</v>
      </c>
      <c r="O22" s="120">
        <f>D22-L22-M22-N22</f>
        <v>9200000</v>
      </c>
      <c r="P22" s="120">
        <f>G22-L22</f>
        <v>0</v>
      </c>
      <c r="Q22" s="120"/>
      <c r="R22" s="120"/>
      <c r="S22" s="120">
        <f>SUM(Q22:R22)</f>
        <v>0</v>
      </c>
      <c r="T22" s="120">
        <f>P22-M22+S22</f>
        <v>0</v>
      </c>
      <c r="U22" s="120">
        <f>N22-T22</f>
        <v>2000000</v>
      </c>
      <c r="V22" s="120">
        <f>U22-W22-Z22-AA22</f>
        <v>2000000</v>
      </c>
      <c r="W22" s="120"/>
      <c r="X22" s="120"/>
      <c r="Y22" s="120"/>
      <c r="Z22" s="120"/>
      <c r="AA22" s="120"/>
      <c r="AB22" s="19" t="s">
        <v>1402</v>
      </c>
      <c r="AC22" s="3">
        <v>930000</v>
      </c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131"/>
      <c r="AO22" s="131"/>
      <c r="AP22" s="131"/>
      <c r="AQ22" s="131"/>
      <c r="AR22" s="131"/>
      <c r="AS22" s="131"/>
      <c r="AT22" s="131"/>
      <c r="AU22" s="131"/>
      <c r="AV22" s="272"/>
      <c r="AW22" s="272"/>
      <c r="AX22" s="272"/>
      <c r="AY22" s="272"/>
      <c r="AZ22" s="272"/>
      <c r="BA22" s="272"/>
      <c r="BB22" s="272"/>
      <c r="BC22" s="272"/>
      <c r="BD22" s="272"/>
    </row>
    <row r="23" spans="1:56" s="5" customFormat="1" ht="27.6">
      <c r="A23" s="135">
        <f>A22+1</f>
        <v>10</v>
      </c>
      <c r="B23" s="19">
        <v>20128</v>
      </c>
      <c r="C23" s="794" t="s">
        <v>1503</v>
      </c>
      <c r="D23" s="120">
        <v>65000000</v>
      </c>
      <c r="E23" s="120"/>
      <c r="F23" s="120">
        <f>D23-E23</f>
        <v>65000000</v>
      </c>
      <c r="G23" s="120">
        <v>0</v>
      </c>
      <c r="H23" s="120"/>
      <c r="I23" s="120"/>
      <c r="J23" s="120"/>
      <c r="K23" s="120">
        <f>I23+J23</f>
        <v>0</v>
      </c>
      <c r="L23" s="120">
        <f>H23+K23</f>
        <v>0</v>
      </c>
      <c r="M23" s="120">
        <f>P23+S23</f>
        <v>0</v>
      </c>
      <c r="N23" s="120">
        <f>10000000-7500000-500000</f>
        <v>2000000</v>
      </c>
      <c r="O23" s="120">
        <f>D23-L23-M23-N23</f>
        <v>63000000</v>
      </c>
      <c r="P23" s="120">
        <f>G23-L23</f>
        <v>0</v>
      </c>
      <c r="Q23" s="120"/>
      <c r="R23" s="120"/>
      <c r="S23" s="120">
        <f>SUM(Q23:R23)</f>
        <v>0</v>
      </c>
      <c r="T23" s="120">
        <f>P23-M23+S23</f>
        <v>0</v>
      </c>
      <c r="U23" s="120">
        <f>N23-T23</f>
        <v>2000000</v>
      </c>
      <c r="V23" s="120">
        <f>U23-W23-Z23-AA23</f>
        <v>2000000</v>
      </c>
      <c r="W23" s="120"/>
      <c r="X23" s="120"/>
      <c r="Y23" s="120"/>
      <c r="Z23" s="120"/>
      <c r="AA23" s="120"/>
      <c r="AB23" s="19" t="s">
        <v>1502</v>
      </c>
      <c r="AC23" s="3">
        <v>930000</v>
      </c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131"/>
      <c r="AO23" s="131"/>
      <c r="AP23" s="131"/>
      <c r="AQ23" s="131"/>
      <c r="AR23" s="131"/>
      <c r="AS23" s="131"/>
      <c r="AT23" s="131"/>
      <c r="AU23" s="131"/>
      <c r="AV23" s="272"/>
      <c r="AW23" s="272"/>
      <c r="AX23" s="272"/>
      <c r="AY23" s="272"/>
      <c r="AZ23" s="272"/>
      <c r="BA23" s="272"/>
      <c r="BB23" s="272"/>
      <c r="BC23" s="272"/>
      <c r="BD23" s="272"/>
    </row>
    <row r="24" spans="1:56" s="48" customFormat="1">
      <c r="A24" s="219"/>
      <c r="B24" s="20"/>
      <c r="C24" s="827" t="s">
        <v>1570</v>
      </c>
      <c r="D24" s="249">
        <f>SUM(D22:D23)</f>
        <v>76200000</v>
      </c>
      <c r="E24" s="249">
        <f t="shared" ref="E24:AA24" si="4">SUM(E22:E23)</f>
        <v>0</v>
      </c>
      <c r="F24" s="249">
        <f t="shared" si="4"/>
        <v>76200000</v>
      </c>
      <c r="G24" s="249">
        <f t="shared" si="4"/>
        <v>0</v>
      </c>
      <c r="H24" s="249">
        <f t="shared" si="4"/>
        <v>0</v>
      </c>
      <c r="I24" s="249">
        <f t="shared" si="4"/>
        <v>0</v>
      </c>
      <c r="J24" s="249">
        <f t="shared" si="4"/>
        <v>0</v>
      </c>
      <c r="K24" s="249">
        <f t="shared" si="4"/>
        <v>0</v>
      </c>
      <c r="L24" s="249">
        <f t="shared" si="4"/>
        <v>0</v>
      </c>
      <c r="M24" s="249">
        <f t="shared" si="4"/>
        <v>0</v>
      </c>
      <c r="N24" s="249">
        <f t="shared" si="4"/>
        <v>4000000</v>
      </c>
      <c r="O24" s="249">
        <f t="shared" si="4"/>
        <v>72200000</v>
      </c>
      <c r="P24" s="249">
        <f t="shared" si="4"/>
        <v>0</v>
      </c>
      <c r="Q24" s="249">
        <f t="shared" si="4"/>
        <v>0</v>
      </c>
      <c r="R24" s="249">
        <f t="shared" si="4"/>
        <v>0</v>
      </c>
      <c r="S24" s="249">
        <f t="shared" si="4"/>
        <v>0</v>
      </c>
      <c r="T24" s="249">
        <f t="shared" si="4"/>
        <v>0</v>
      </c>
      <c r="U24" s="249">
        <f t="shared" si="4"/>
        <v>4000000</v>
      </c>
      <c r="V24" s="249">
        <f t="shared" si="4"/>
        <v>4000000</v>
      </c>
      <c r="W24" s="249">
        <f t="shared" si="4"/>
        <v>0</v>
      </c>
      <c r="X24" s="249">
        <f t="shared" si="4"/>
        <v>0</v>
      </c>
      <c r="Y24" s="249">
        <f t="shared" si="4"/>
        <v>0</v>
      </c>
      <c r="Z24" s="249">
        <f t="shared" si="4"/>
        <v>0</v>
      </c>
      <c r="AA24" s="249">
        <f t="shared" si="4"/>
        <v>0</v>
      </c>
      <c r="AB24" s="20"/>
      <c r="AC24" s="20"/>
      <c r="AD24" s="826"/>
      <c r="AE24" s="826"/>
      <c r="AF24" s="826"/>
      <c r="AG24" s="826"/>
      <c r="AH24" s="826"/>
      <c r="AI24" s="826"/>
      <c r="AJ24" s="826"/>
      <c r="AK24" s="826"/>
      <c r="AL24" s="826"/>
      <c r="AM24" s="826"/>
      <c r="AN24" s="245"/>
      <c r="AO24" s="245"/>
      <c r="AP24" s="245"/>
      <c r="AQ24" s="245"/>
      <c r="AR24" s="245"/>
      <c r="AS24" s="245"/>
      <c r="AT24" s="245"/>
      <c r="AU24" s="245"/>
      <c r="AV24" s="359"/>
      <c r="AW24" s="359"/>
      <c r="AX24" s="359"/>
      <c r="AY24" s="359"/>
      <c r="AZ24" s="359"/>
      <c r="BA24" s="359"/>
      <c r="BB24" s="359"/>
      <c r="BC24" s="359"/>
      <c r="BD24" s="359"/>
    </row>
    <row r="25" spans="1:56" s="48" customFormat="1" ht="25.2" customHeight="1">
      <c r="A25" s="249">
        <f>COUNT(A6:A23)</f>
        <v>10</v>
      </c>
      <c r="B25" s="20"/>
      <c r="C25" s="219" t="s">
        <v>1011</v>
      </c>
      <c r="D25" s="249">
        <f>D24+D20+D17+D14+D10</f>
        <v>213102131</v>
      </c>
      <c r="E25" s="249">
        <f t="shared" ref="E25:AA25" si="5">E24+E20+E17+E14+E10</f>
        <v>17063000</v>
      </c>
      <c r="F25" s="249">
        <f t="shared" si="5"/>
        <v>196039131</v>
      </c>
      <c r="G25" s="249">
        <f t="shared" si="5"/>
        <v>5307282</v>
      </c>
      <c r="H25" s="249">
        <f t="shared" si="5"/>
        <v>5061257</v>
      </c>
      <c r="I25" s="249">
        <f t="shared" si="5"/>
        <v>0</v>
      </c>
      <c r="J25" s="249">
        <f t="shared" si="5"/>
        <v>0</v>
      </c>
      <c r="K25" s="249">
        <f t="shared" si="5"/>
        <v>0</v>
      </c>
      <c r="L25" s="249">
        <f t="shared" si="5"/>
        <v>5061257</v>
      </c>
      <c r="M25" s="249">
        <f t="shared" si="5"/>
        <v>156</v>
      </c>
      <c r="N25" s="249">
        <f t="shared" si="5"/>
        <v>7160000</v>
      </c>
      <c r="O25" s="249">
        <f t="shared" si="5"/>
        <v>200880718</v>
      </c>
      <c r="P25" s="249">
        <f t="shared" si="5"/>
        <v>246025</v>
      </c>
      <c r="Q25" s="249">
        <f t="shared" si="5"/>
        <v>0</v>
      </c>
      <c r="R25" s="249">
        <f t="shared" si="5"/>
        <v>0</v>
      </c>
      <c r="S25" s="249">
        <f t="shared" si="5"/>
        <v>0</v>
      </c>
      <c r="T25" s="249">
        <f t="shared" si="5"/>
        <v>245869</v>
      </c>
      <c r="U25" s="249">
        <f t="shared" si="5"/>
        <v>6914131</v>
      </c>
      <c r="V25" s="249">
        <f t="shared" si="5"/>
        <v>6568378</v>
      </c>
      <c r="W25" s="249">
        <f t="shared" si="5"/>
        <v>0</v>
      </c>
      <c r="X25" s="249">
        <f t="shared" si="5"/>
        <v>0</v>
      </c>
      <c r="Y25" s="249">
        <f t="shared" si="5"/>
        <v>0</v>
      </c>
      <c r="Z25" s="249">
        <f t="shared" si="5"/>
        <v>0</v>
      </c>
      <c r="AA25" s="249">
        <f t="shared" si="5"/>
        <v>345753</v>
      </c>
      <c r="AB25" s="20"/>
      <c r="AC25" s="20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45"/>
      <c r="AO25" s="245"/>
      <c r="AP25" s="245"/>
      <c r="AQ25" s="245"/>
      <c r="AR25" s="245"/>
      <c r="AS25" s="245"/>
      <c r="AT25" s="245"/>
      <c r="AU25" s="245"/>
      <c r="AV25" s="359"/>
      <c r="AW25" s="359"/>
      <c r="AX25" s="359"/>
      <c r="AY25" s="359"/>
      <c r="AZ25" s="359"/>
      <c r="BA25" s="359"/>
      <c r="BB25" s="359"/>
      <c r="BC25" s="359"/>
      <c r="BD25" s="359"/>
    </row>
    <row r="26" spans="1:56">
      <c r="D26" s="348">
        <f>SUM(L25:O25)</f>
        <v>213102131</v>
      </c>
      <c r="F26" s="132">
        <f>D25-E25</f>
        <v>196039131</v>
      </c>
      <c r="L26" s="348">
        <f>H25+K25</f>
        <v>5061257</v>
      </c>
      <c r="P26" s="348">
        <f>G25-L26</f>
        <v>246025</v>
      </c>
      <c r="T26" s="348">
        <f>P26+S26-M25</f>
        <v>245869</v>
      </c>
      <c r="U26" s="348">
        <f>N25-T26</f>
        <v>6914131</v>
      </c>
    </row>
    <row r="27" spans="1:56">
      <c r="D27" s="520">
        <f>D25-D26</f>
        <v>0</v>
      </c>
      <c r="L27" s="348">
        <f>L25-L26</f>
        <v>0</v>
      </c>
      <c r="P27" s="348">
        <f>P25-P26</f>
        <v>0</v>
      </c>
      <c r="T27" s="348">
        <f>T25-T26</f>
        <v>0</v>
      </c>
      <c r="U27" s="348">
        <f>U25-U26</f>
        <v>0</v>
      </c>
    </row>
    <row r="28" spans="1:56">
      <c r="D28" s="753"/>
      <c r="L28" s="754"/>
      <c r="P28" s="754"/>
      <c r="T28" s="754"/>
      <c r="U28" s="754"/>
    </row>
    <row r="29" spans="1:56">
      <c r="A29" s="755"/>
    </row>
    <row r="30" spans="1:56">
      <c r="A30" s="755"/>
    </row>
    <row r="135" spans="1:1">
      <c r="A135" s="131">
        <f>COUNT(A6:A134)</f>
        <v>11</v>
      </c>
    </row>
    <row r="138" spans="1:1">
      <c r="A138" s="131">
        <f>A135+1</f>
        <v>12</v>
      </c>
    </row>
    <row r="141" spans="1:1" ht="37.950000000000003" customHeight="1"/>
    <row r="144" spans="1:1" ht="70.95" customHeight="1"/>
    <row r="147" ht="72" customHeight="1"/>
    <row r="149" ht="43.95" customHeight="1"/>
    <row r="151" ht="30" customHeight="1"/>
  </sheetData>
  <sheetProtection formatCells="0" formatColumns="0" formatRows="0" insertColumns="0" insertRows="0" insertHyperlinks="0" deleteColumns="0" deleteRows="0" sort="0" autoFilter="0" pivotTables="0"/>
  <sortState ref="A5:BD14">
    <sortCondition ref="AC5:AC14"/>
  </sortState>
  <mergeCells count="1">
    <mergeCell ref="V3:AA3"/>
  </mergeCells>
  <conditionalFormatting sqref="U6:U7">
    <cfRule type="cellIs" dxfId="268" priority="5" operator="equal">
      <formula>0</formula>
    </cfRule>
  </conditionalFormatting>
  <conditionalFormatting sqref="AF4:AF5">
    <cfRule type="cellIs" dxfId="267" priority="4" operator="equal">
      <formula>0</formula>
    </cfRule>
  </conditionalFormatting>
  <conditionalFormatting sqref="AH4:AH5">
    <cfRule type="cellIs" dxfId="266" priority="3" operator="equal">
      <formula>0</formula>
    </cfRule>
  </conditionalFormatting>
  <conditionalFormatting sqref="AK6:AK7">
    <cfRule type="cellIs" dxfId="265" priority="2" operator="equal">
      <formula>0</formula>
    </cfRule>
  </conditionalFormatting>
  <conditionalFormatting sqref="AL6:AL7">
    <cfRule type="cellIs" dxfId="264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4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7" width="5.5546875" style="176" customWidth="1"/>
    <col min="8" max="9" width="12.109375" style="176" customWidth="1"/>
    <col min="10" max="10" width="7.88671875" style="176" customWidth="1"/>
    <col min="11" max="16384" width="9.109375" style="176"/>
  </cols>
  <sheetData>
    <row r="3" spans="1:17" ht="21">
      <c r="A3" s="175"/>
      <c r="C3" s="177" t="s">
        <v>230</v>
      </c>
      <c r="D3" s="175"/>
      <c r="E3" s="175"/>
      <c r="F3" s="175"/>
      <c r="G3" s="175"/>
      <c r="H3" s="175"/>
      <c r="I3" s="175"/>
      <c r="J3" s="175"/>
      <c r="K3" s="175"/>
      <c r="L3" s="175"/>
    </row>
    <row r="4" spans="1:17" ht="21">
      <c r="A4" s="175"/>
      <c r="C4" s="177"/>
      <c r="D4" s="175"/>
      <c r="E4" s="175"/>
      <c r="F4" s="175"/>
      <c r="G4" s="175"/>
      <c r="H4" s="175"/>
      <c r="I4" s="175"/>
      <c r="J4" s="175"/>
      <c r="K4" s="175"/>
      <c r="L4" s="175"/>
    </row>
    <row r="5" spans="1:17" ht="21">
      <c r="A5" s="175"/>
      <c r="C5" s="177"/>
      <c r="D5" s="175"/>
      <c r="E5" s="175"/>
      <c r="F5" s="175"/>
      <c r="G5" s="175"/>
      <c r="H5" s="175"/>
      <c r="I5" s="175"/>
      <c r="J5" s="175"/>
      <c r="K5" s="175"/>
      <c r="L5" s="175"/>
    </row>
    <row r="6" spans="1:17" ht="21.6" thickBot="1">
      <c r="A6" s="175"/>
      <c r="C6" s="177"/>
      <c r="D6" s="175"/>
      <c r="E6" s="175"/>
      <c r="F6" s="175"/>
      <c r="G6" s="175"/>
      <c r="H6" s="175"/>
      <c r="I6" s="175"/>
      <c r="J6" s="175"/>
      <c r="K6" s="175"/>
      <c r="L6" s="175"/>
    </row>
    <row r="7" spans="1:17" ht="16.2" thickBot="1">
      <c r="A7" s="175"/>
      <c r="B7" s="178" t="s">
        <v>129</v>
      </c>
      <c r="C7" s="175" t="s">
        <v>1277</v>
      </c>
      <c r="D7" s="175"/>
      <c r="E7" s="175"/>
      <c r="F7" s="179">
        <f>'תקציב אגף המיחשוב 2024 '!U19</f>
        <v>7802793</v>
      </c>
      <c r="I7" s="175"/>
      <c r="J7" s="175"/>
      <c r="K7" s="175"/>
      <c r="L7" s="175"/>
    </row>
    <row r="8" spans="1:17" ht="21.6" thickBot="1">
      <c r="A8" s="175"/>
      <c r="C8" s="177"/>
      <c r="D8" s="175"/>
      <c r="E8" s="175"/>
      <c r="F8" s="175"/>
      <c r="H8" s="175"/>
      <c r="I8" s="175"/>
      <c r="J8" s="175"/>
      <c r="K8" s="175"/>
      <c r="L8" s="175"/>
    </row>
    <row r="9" spans="1:17" ht="16.2" thickBot="1">
      <c r="B9" s="178" t="s">
        <v>129</v>
      </c>
      <c r="C9" s="175" t="s">
        <v>1642</v>
      </c>
      <c r="D9" s="175"/>
      <c r="F9" s="179">
        <f>'תקציב אגף המיחשוב 2024 '!A19</f>
        <v>14</v>
      </c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.6">
      <c r="B10" s="178"/>
      <c r="C10" s="175"/>
      <c r="D10" s="175"/>
      <c r="F10" s="181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.6">
      <c r="B11" s="178"/>
      <c r="C11" s="175"/>
      <c r="D11" s="175"/>
      <c r="F11" s="181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15.6">
      <c r="B12" s="178" t="s">
        <v>129</v>
      </c>
      <c r="C12" s="175" t="s">
        <v>219</v>
      </c>
      <c r="D12" s="175"/>
      <c r="E12" s="175"/>
      <c r="F12" s="175"/>
      <c r="G12" s="175"/>
      <c r="H12" s="175"/>
      <c r="I12" s="175"/>
      <c r="J12" s="175"/>
      <c r="K12" s="175"/>
      <c r="L12" s="175"/>
    </row>
    <row r="13" spans="1:17" ht="16.2" thickBot="1"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.6">
      <c r="D14" s="186" t="s">
        <v>220</v>
      </c>
      <c r="E14" s="187" t="s">
        <v>221</v>
      </c>
      <c r="F14" s="188" t="s">
        <v>222</v>
      </c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.6">
      <c r="C15" s="178"/>
      <c r="D15" s="182" t="s">
        <v>13</v>
      </c>
      <c r="E15" s="189">
        <f>'תקציב אגף המיחשוב 2024 '!V19</f>
        <v>2380000</v>
      </c>
      <c r="F15" s="197">
        <f>E15/$E$18</f>
        <v>0.30501898486862333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.6">
      <c r="C16" s="178"/>
      <c r="D16" s="182" t="s">
        <v>14</v>
      </c>
      <c r="E16" s="189">
        <f>'תקציב אגף המיחשוב 2024 '!W19</f>
        <v>4575000</v>
      </c>
      <c r="F16" s="197">
        <f>E16/$E$18</f>
        <v>0.58632851082939152</v>
      </c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.6">
      <c r="C17" s="178"/>
      <c r="D17" s="182" t="s">
        <v>75</v>
      </c>
      <c r="E17" s="244">
        <f>'תקציב אגף המיחשוב 2024 '!AA19</f>
        <v>847793</v>
      </c>
      <c r="F17" s="197">
        <f>E17/$E$18</f>
        <v>0.1086525043019852</v>
      </c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6.2" thickBot="1">
      <c r="C18" s="178"/>
      <c r="D18" s="184" t="s">
        <v>84</v>
      </c>
      <c r="E18" s="247">
        <f>SUM(E15:E17)</f>
        <v>7802793</v>
      </c>
      <c r="F18" s="256">
        <f>SUM(F15:F17)</f>
        <v>1</v>
      </c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1:17" ht="15.6">
      <c r="B19" s="178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1:17" ht="15.6">
      <c r="B20" s="178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ht="15.6">
      <c r="B21" s="178" t="s">
        <v>129</v>
      </c>
      <c r="C21" s="803" t="s">
        <v>1270</v>
      </c>
      <c r="D21" s="175"/>
      <c r="F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17" ht="15.6">
      <c r="C22" s="175"/>
      <c r="D22" s="175" t="s">
        <v>234</v>
      </c>
      <c r="E22" s="175"/>
      <c r="F22" s="175"/>
      <c r="H22" s="175"/>
      <c r="I22" s="175"/>
      <c r="J22" s="175"/>
      <c r="K22" s="175"/>
      <c r="L22" s="175"/>
    </row>
    <row r="23" spans="1:17" ht="15.6">
      <c r="B23" s="178"/>
      <c r="C23" s="175"/>
      <c r="D23" s="175" t="s">
        <v>323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1:17" ht="15.6">
      <c r="B24" s="178"/>
      <c r="C24" s="175"/>
      <c r="D24" s="175" t="s">
        <v>1554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1:17" s="240" customFormat="1" ht="15.6">
      <c r="C25" s="242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17" s="240" customFormat="1" ht="15.6">
      <c r="C26" s="242"/>
      <c r="D26" s="734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17" s="240" customFormat="1" ht="15.6">
      <c r="C27" s="242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  <row r="28" spans="1:17" s="240" customFormat="1" ht="15.6">
      <c r="A28" s="239"/>
      <c r="B28" s="239"/>
      <c r="C28" s="239"/>
      <c r="D28" s="417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</row>
    <row r="29" spans="1:17" s="240" customFormat="1" ht="15.6">
      <c r="A29" s="239"/>
      <c r="B29" s="239"/>
      <c r="C29" s="239"/>
      <c r="D29" s="418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</row>
    <row r="30" spans="1:17" s="240" customFormat="1" ht="15.6">
      <c r="C30" s="242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</row>
    <row r="31" spans="1:17" s="240" customFormat="1" ht="15.6">
      <c r="A31" s="239"/>
      <c r="B31" s="239"/>
      <c r="C31" s="239"/>
      <c r="D31" s="281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</row>
    <row r="32" spans="1:17" s="240" customFormat="1" ht="15.6">
      <c r="C32" s="242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</row>
    <row r="34" spans="1:17" ht="15.6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46"/>
  <sheetViews>
    <sheetView showZeros="0" rightToLeft="1" workbookViewId="0">
      <pane xSplit="6" ySplit="4" topLeftCell="L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33203125" defaultRowHeight="13.8"/>
  <cols>
    <col min="1" max="1" width="3.5546875" style="157" customWidth="1"/>
    <col min="2" max="2" width="5.6640625" style="157" customWidth="1"/>
    <col min="3" max="3" width="17.6640625" style="157" customWidth="1"/>
    <col min="4" max="4" width="10.109375" style="157" customWidth="1"/>
    <col min="5" max="5" width="9.5546875" style="157" customWidth="1"/>
    <col min="6" max="6" width="9.44140625" style="157" customWidth="1"/>
    <col min="7" max="7" width="14" style="157" hidden="1" customWidth="1"/>
    <col min="8" max="8" width="13" style="157" hidden="1" customWidth="1"/>
    <col min="9" max="9" width="9.109375" style="157" hidden="1" customWidth="1"/>
    <col min="10" max="10" width="10.5546875" style="157" hidden="1" customWidth="1"/>
    <col min="11" max="11" width="10" style="157" hidden="1" customWidth="1"/>
    <col min="12" max="12" width="10.44140625" style="157" customWidth="1"/>
    <col min="13" max="13" width="8.33203125" style="157" customWidth="1"/>
    <col min="14" max="14" width="9.6640625" style="157" customWidth="1"/>
    <col min="15" max="15" width="10.33203125" style="157" customWidth="1"/>
    <col min="16" max="16" width="12.109375" style="157" hidden="1" customWidth="1"/>
    <col min="17" max="19" width="9.109375" style="157" hidden="1" customWidth="1"/>
    <col min="20" max="20" width="9" style="157" customWidth="1"/>
    <col min="21" max="21" width="9.6640625" style="157" customWidth="1"/>
    <col min="22" max="22" width="9.109375" style="157" customWidth="1"/>
    <col min="23" max="23" width="9.6640625" style="157" customWidth="1"/>
    <col min="24" max="26" width="8.33203125" style="157" hidden="1" customWidth="1"/>
    <col min="27" max="27" width="8.5546875" style="157" customWidth="1"/>
    <col min="28" max="28" width="32.44140625" style="157" customWidth="1"/>
    <col min="29" max="29" width="8.33203125" style="157" hidden="1" customWidth="1"/>
    <col min="30" max="30" width="27" style="566" customWidth="1"/>
    <col min="31" max="31" width="24.33203125" style="318" customWidth="1"/>
    <col min="32" max="32" width="13.5546875" style="318" customWidth="1"/>
    <col min="33" max="33" width="27" style="318" customWidth="1"/>
    <col min="34" max="34" width="12.88671875" style="318" customWidth="1"/>
    <col min="35" max="35" width="23.5546875" style="318" customWidth="1"/>
    <col min="36" max="36" width="10.5546875" style="318" customWidth="1"/>
    <col min="37" max="37" width="20.5546875" style="318" customWidth="1"/>
    <col min="38" max="38" width="9.6640625" style="318" customWidth="1"/>
    <col min="39" max="43" width="10.6640625" style="157" customWidth="1"/>
    <col min="44" max="46" width="10.6640625" style="157" hidden="1" customWidth="1"/>
    <col min="47" max="47" width="10.6640625" style="157" customWidth="1"/>
    <col min="48" max="16384" width="8.33203125" style="157"/>
  </cols>
  <sheetData>
    <row r="1" spans="1:61" ht="18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O1" s="522"/>
      <c r="P1" s="522"/>
      <c r="Q1" s="522"/>
      <c r="R1" s="522"/>
      <c r="S1" s="522"/>
      <c r="T1" s="522"/>
      <c r="U1" s="522"/>
      <c r="V1" s="522"/>
      <c r="W1" s="522"/>
      <c r="X1" s="523"/>
      <c r="Y1" s="523"/>
      <c r="Z1" s="523"/>
      <c r="AA1" s="524"/>
      <c r="AB1" s="525"/>
      <c r="AC1" s="524"/>
    </row>
    <row r="2" spans="1:61" ht="18">
      <c r="A2" s="522" t="s">
        <v>301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6"/>
      <c r="Y2" s="526"/>
      <c r="Z2" s="526"/>
      <c r="AA2" s="526"/>
      <c r="AB2" s="527"/>
      <c r="AC2" s="526"/>
    </row>
    <row r="3" spans="1:61">
      <c r="A3" s="528"/>
      <c r="B3" s="526"/>
      <c r="C3" s="526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6"/>
      <c r="V3" s="527"/>
      <c r="W3" s="527"/>
      <c r="X3" s="527"/>
      <c r="Y3" s="527"/>
      <c r="Z3" s="527"/>
      <c r="AA3" s="527"/>
      <c r="AB3" s="528"/>
      <c r="AC3" s="526"/>
    </row>
    <row r="4" spans="1:61" ht="73.5" customHeight="1">
      <c r="A4" s="130" t="s">
        <v>0</v>
      </c>
      <c r="B4" s="530" t="s">
        <v>413</v>
      </c>
      <c r="C4" s="530" t="s">
        <v>2</v>
      </c>
      <c r="D4" s="530" t="s">
        <v>752</v>
      </c>
      <c r="E4" s="530" t="s">
        <v>4</v>
      </c>
      <c r="F4" s="530" t="s">
        <v>5</v>
      </c>
      <c r="G4" s="530" t="s">
        <v>6</v>
      </c>
      <c r="H4" s="530" t="s">
        <v>7</v>
      </c>
      <c r="I4" s="530" t="s">
        <v>9</v>
      </c>
      <c r="J4" s="530" t="s">
        <v>125</v>
      </c>
      <c r="K4" s="530" t="s">
        <v>10</v>
      </c>
      <c r="L4" s="530" t="s">
        <v>11</v>
      </c>
      <c r="M4" s="530" t="s">
        <v>917</v>
      </c>
      <c r="N4" s="53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530" t="s">
        <v>13</v>
      </c>
      <c r="W4" s="530" t="s">
        <v>14</v>
      </c>
      <c r="X4" s="530" t="s">
        <v>15</v>
      </c>
      <c r="Y4" s="530" t="s">
        <v>214</v>
      </c>
      <c r="Z4" s="530" t="s">
        <v>502</v>
      </c>
      <c r="AA4" s="530" t="s">
        <v>75</v>
      </c>
      <c r="AB4" s="531" t="s">
        <v>242</v>
      </c>
      <c r="AC4" s="530" t="s">
        <v>16</v>
      </c>
    </row>
    <row r="5" spans="1:61" ht="45" customHeight="1">
      <c r="A5" s="532">
        <v>1</v>
      </c>
      <c r="B5" s="532">
        <v>1002</v>
      </c>
      <c r="C5" s="532" t="s">
        <v>113</v>
      </c>
      <c r="D5" s="519">
        <v>3290000</v>
      </c>
      <c r="E5" s="519">
        <v>3290000</v>
      </c>
      <c r="F5" s="519">
        <f t="shared" ref="F5:F17" si="0">D5-E5</f>
        <v>0</v>
      </c>
      <c r="G5" s="519">
        <v>2310000</v>
      </c>
      <c r="H5" s="519">
        <v>2237464</v>
      </c>
      <c r="I5" s="519"/>
      <c r="J5" s="519"/>
      <c r="K5" s="519">
        <f t="shared" ref="K5:K17" si="1">I5+J5</f>
        <v>0</v>
      </c>
      <c r="L5" s="519">
        <f t="shared" ref="L5:L17" si="2">H5+K5</f>
        <v>2237464</v>
      </c>
      <c r="M5" s="533">
        <f>P5+S5-70000</f>
        <v>2536</v>
      </c>
      <c r="N5" s="533">
        <f>646000-46000</f>
        <v>600000</v>
      </c>
      <c r="O5" s="533">
        <f t="shared" ref="O5:O17" si="3">D5-L5-M5-N5</f>
        <v>450000</v>
      </c>
      <c r="P5" s="533">
        <f t="shared" ref="P5:P17" si="4">G5-L5</f>
        <v>72536</v>
      </c>
      <c r="Q5" s="533"/>
      <c r="R5" s="533"/>
      <c r="S5" s="533">
        <f t="shared" ref="S5:S17" si="5">SUM(Q5:R5)</f>
        <v>0</v>
      </c>
      <c r="T5" s="533">
        <f t="shared" ref="T5:T17" si="6">P5-M5+S5</f>
        <v>70000</v>
      </c>
      <c r="U5" s="533">
        <f t="shared" ref="U5:U17" si="7">N5-T5</f>
        <v>530000</v>
      </c>
      <c r="V5" s="533"/>
      <c r="W5" s="533">
        <f t="shared" ref="W5:W17" si="8">U5-V5-X5-Z5-AA5</f>
        <v>530000</v>
      </c>
      <c r="X5" s="519"/>
      <c r="Y5" s="519"/>
      <c r="Z5" s="519"/>
      <c r="AA5" s="532"/>
      <c r="AB5" s="532" t="s">
        <v>1002</v>
      </c>
      <c r="AC5" s="532">
        <v>760000</v>
      </c>
    </row>
    <row r="6" spans="1:61" s="319" customFormat="1" ht="45" customHeight="1">
      <c r="A6" s="532">
        <f>1+A5</f>
        <v>2</v>
      </c>
      <c r="B6" s="532">
        <v>1497</v>
      </c>
      <c r="C6" s="532" t="s">
        <v>55</v>
      </c>
      <c r="D6" s="519">
        <v>8820000</v>
      </c>
      <c r="E6" s="519">
        <v>8820000</v>
      </c>
      <c r="F6" s="519">
        <f t="shared" si="0"/>
        <v>0</v>
      </c>
      <c r="G6" s="519">
        <v>3473000</v>
      </c>
      <c r="H6" s="519">
        <v>3219746</v>
      </c>
      <c r="I6" s="519">
        <v>43536</v>
      </c>
      <c r="J6" s="519">
        <v>104859</v>
      </c>
      <c r="K6" s="519">
        <f t="shared" si="1"/>
        <v>148395</v>
      </c>
      <c r="L6" s="519">
        <f t="shared" si="2"/>
        <v>3368141</v>
      </c>
      <c r="M6" s="533">
        <f>P6+S6-80000-20000</f>
        <v>4859</v>
      </c>
      <c r="N6" s="533">
        <f>150000+80000+20000</f>
        <v>250000</v>
      </c>
      <c r="O6" s="533">
        <f t="shared" si="3"/>
        <v>5197000</v>
      </c>
      <c r="P6" s="533">
        <f t="shared" si="4"/>
        <v>104859</v>
      </c>
      <c r="Q6" s="533"/>
      <c r="R6" s="533"/>
      <c r="S6" s="533">
        <f t="shared" si="5"/>
        <v>0</v>
      </c>
      <c r="T6" s="533">
        <f t="shared" si="6"/>
        <v>100000</v>
      </c>
      <c r="U6" s="533">
        <f t="shared" si="7"/>
        <v>150000</v>
      </c>
      <c r="V6" s="533"/>
      <c r="W6" s="533">
        <f t="shared" si="8"/>
        <v>150000</v>
      </c>
      <c r="X6" s="519"/>
      <c r="Y6" s="519"/>
      <c r="Z6" s="519"/>
      <c r="AA6" s="532"/>
      <c r="AB6" s="532" t="s">
        <v>1527</v>
      </c>
      <c r="AC6" s="532">
        <v>610000</v>
      </c>
      <c r="AD6" s="566"/>
      <c r="AE6" s="318"/>
      <c r="AF6" s="318"/>
      <c r="AG6" s="318"/>
      <c r="AH6" s="318"/>
      <c r="AI6" s="318"/>
      <c r="AJ6" s="318"/>
      <c r="AK6" s="318"/>
      <c r="AL6" s="318"/>
    </row>
    <row r="7" spans="1:61" ht="45" customHeight="1">
      <c r="A7" s="532">
        <f t="shared" ref="A7:A18" si="9">1+A6</f>
        <v>3</v>
      </c>
      <c r="B7" s="532">
        <v>1647</v>
      </c>
      <c r="C7" s="532" t="s">
        <v>285</v>
      </c>
      <c r="D7" s="519">
        <v>4700000</v>
      </c>
      <c r="E7" s="519">
        <v>4700000</v>
      </c>
      <c r="F7" s="519">
        <f t="shared" si="0"/>
        <v>0</v>
      </c>
      <c r="G7" s="519">
        <v>4450000</v>
      </c>
      <c r="H7" s="519">
        <v>4423055</v>
      </c>
      <c r="I7" s="519"/>
      <c r="J7" s="519">
        <v>15735</v>
      </c>
      <c r="K7" s="519">
        <f t="shared" si="1"/>
        <v>15735</v>
      </c>
      <c r="L7" s="519">
        <f t="shared" si="2"/>
        <v>4438790</v>
      </c>
      <c r="M7" s="533">
        <f t="shared" ref="M7:M17" si="10">P7+S7</f>
        <v>11210</v>
      </c>
      <c r="N7" s="533">
        <v>150000</v>
      </c>
      <c r="O7" s="533">
        <f t="shared" si="3"/>
        <v>100000</v>
      </c>
      <c r="P7" s="533">
        <f t="shared" si="4"/>
        <v>11210</v>
      </c>
      <c r="Q7" s="533"/>
      <c r="R7" s="533"/>
      <c r="S7" s="533">
        <f t="shared" si="5"/>
        <v>0</v>
      </c>
      <c r="T7" s="533">
        <f t="shared" si="6"/>
        <v>0</v>
      </c>
      <c r="U7" s="533">
        <f t="shared" si="7"/>
        <v>150000</v>
      </c>
      <c r="V7" s="533"/>
      <c r="W7" s="533">
        <f t="shared" si="8"/>
        <v>150000</v>
      </c>
      <c r="X7" s="519"/>
      <c r="Y7" s="519"/>
      <c r="Z7" s="519"/>
      <c r="AA7" s="532"/>
      <c r="AB7" s="532" t="s">
        <v>314</v>
      </c>
      <c r="AC7" s="532">
        <v>810000</v>
      </c>
    </row>
    <row r="8" spans="1:61" s="319" customFormat="1" ht="45" customHeight="1">
      <c r="A8" s="532">
        <f t="shared" si="9"/>
        <v>4</v>
      </c>
      <c r="B8" s="532">
        <v>1871</v>
      </c>
      <c r="C8" s="532" t="s">
        <v>337</v>
      </c>
      <c r="D8" s="519">
        <f>23340000+23500000</f>
        <v>46840000</v>
      </c>
      <c r="E8" s="519">
        <v>23340000</v>
      </c>
      <c r="F8" s="519">
        <f t="shared" si="0"/>
        <v>23500000</v>
      </c>
      <c r="G8" s="519">
        <v>23340000</v>
      </c>
      <c r="H8" s="519">
        <v>17971191</v>
      </c>
      <c r="I8" s="519"/>
      <c r="J8" s="519">
        <v>5344902</v>
      </c>
      <c r="K8" s="519">
        <f t="shared" si="1"/>
        <v>5344902</v>
      </c>
      <c r="L8" s="519">
        <f t="shared" si="2"/>
        <v>23316093</v>
      </c>
      <c r="M8" s="533">
        <f>P8+S8-20000</f>
        <v>3907</v>
      </c>
      <c r="N8" s="533">
        <f>4500000+1000000-2500000-400000</f>
        <v>2600000</v>
      </c>
      <c r="O8" s="533">
        <f t="shared" si="3"/>
        <v>20920000</v>
      </c>
      <c r="P8" s="533">
        <f t="shared" si="4"/>
        <v>23907</v>
      </c>
      <c r="Q8" s="533"/>
      <c r="R8" s="533"/>
      <c r="S8" s="533">
        <f t="shared" si="5"/>
        <v>0</v>
      </c>
      <c r="T8" s="533">
        <f t="shared" si="6"/>
        <v>20000</v>
      </c>
      <c r="U8" s="533">
        <f t="shared" si="7"/>
        <v>2580000</v>
      </c>
      <c r="V8" s="533">
        <v>2580000</v>
      </c>
      <c r="W8" s="533">
        <f t="shared" si="8"/>
        <v>0</v>
      </c>
      <c r="X8" s="519"/>
      <c r="Y8" s="519"/>
      <c r="Z8" s="519"/>
      <c r="AA8" s="532"/>
      <c r="AB8" s="532" t="s">
        <v>284</v>
      </c>
      <c r="AC8" s="532">
        <v>760000</v>
      </c>
      <c r="AD8" s="566"/>
      <c r="AE8" s="318"/>
      <c r="AF8" s="318"/>
      <c r="AG8" s="318"/>
      <c r="AH8" s="318"/>
      <c r="AI8" s="318"/>
      <c r="AJ8" s="318"/>
      <c r="AK8" s="318"/>
      <c r="AL8" s="318"/>
    </row>
    <row r="9" spans="1:61" s="319" customFormat="1" ht="55.2">
      <c r="A9" s="532">
        <f t="shared" si="9"/>
        <v>5</v>
      </c>
      <c r="B9" s="532">
        <v>1982</v>
      </c>
      <c r="C9" s="532" t="s">
        <v>699</v>
      </c>
      <c r="D9" s="519">
        <f>19550000+12000000</f>
        <v>31550000</v>
      </c>
      <c r="E9" s="519">
        <v>19550000</v>
      </c>
      <c r="F9" s="519">
        <f t="shared" si="0"/>
        <v>12000000</v>
      </c>
      <c r="G9" s="519">
        <v>19550000</v>
      </c>
      <c r="H9" s="519">
        <v>16635269</v>
      </c>
      <c r="I9" s="519"/>
      <c r="J9" s="519">
        <v>2761869</v>
      </c>
      <c r="K9" s="519">
        <f t="shared" si="1"/>
        <v>2761869</v>
      </c>
      <c r="L9" s="519">
        <f t="shared" si="2"/>
        <v>19397138</v>
      </c>
      <c r="M9" s="533">
        <f>P9+S9-150000</f>
        <v>2862</v>
      </c>
      <c r="N9" s="533">
        <f>2500000-1000000-200000</f>
        <v>1300000</v>
      </c>
      <c r="O9" s="533">
        <f t="shared" si="3"/>
        <v>10850000</v>
      </c>
      <c r="P9" s="533">
        <f t="shared" si="4"/>
        <v>152862</v>
      </c>
      <c r="Q9" s="533"/>
      <c r="R9" s="533"/>
      <c r="S9" s="533">
        <f t="shared" si="5"/>
        <v>0</v>
      </c>
      <c r="T9" s="533">
        <f t="shared" si="6"/>
        <v>150000</v>
      </c>
      <c r="U9" s="533">
        <f t="shared" si="7"/>
        <v>1150000</v>
      </c>
      <c r="V9" s="533"/>
      <c r="W9" s="533">
        <f t="shared" si="8"/>
        <v>1150000</v>
      </c>
      <c r="X9" s="519"/>
      <c r="Y9" s="519"/>
      <c r="Z9" s="519"/>
      <c r="AA9" s="532"/>
      <c r="AB9" s="532" t="s">
        <v>1528</v>
      </c>
      <c r="AC9" s="532">
        <v>722000</v>
      </c>
      <c r="AD9" s="566"/>
      <c r="AE9" s="318"/>
      <c r="AF9" s="318"/>
      <c r="AG9" s="318"/>
      <c r="AH9" s="318"/>
      <c r="AI9" s="318"/>
      <c r="AJ9" s="318"/>
      <c r="AK9" s="318"/>
      <c r="AL9" s="318"/>
    </row>
    <row r="10" spans="1:61" s="319" customFormat="1" ht="82.8">
      <c r="A10" s="532">
        <f t="shared" si="9"/>
        <v>6</v>
      </c>
      <c r="B10" s="532">
        <v>2082</v>
      </c>
      <c r="C10" s="532" t="s">
        <v>926</v>
      </c>
      <c r="D10" s="519">
        <v>1600000</v>
      </c>
      <c r="E10" s="519">
        <v>1600000</v>
      </c>
      <c r="F10" s="519">
        <f t="shared" si="0"/>
        <v>0</v>
      </c>
      <c r="G10" s="519">
        <v>1160000</v>
      </c>
      <c r="H10" s="519">
        <v>808264</v>
      </c>
      <c r="I10" s="519"/>
      <c r="J10" s="519"/>
      <c r="K10" s="519">
        <f t="shared" si="1"/>
        <v>0</v>
      </c>
      <c r="L10" s="519">
        <f t="shared" si="2"/>
        <v>808264</v>
      </c>
      <c r="M10" s="533">
        <f>P10+S10-350000</f>
        <v>1736</v>
      </c>
      <c r="N10" s="533">
        <f>440000+350000</f>
        <v>790000</v>
      </c>
      <c r="O10" s="533">
        <f t="shared" si="3"/>
        <v>0</v>
      </c>
      <c r="P10" s="533">
        <f t="shared" si="4"/>
        <v>351736</v>
      </c>
      <c r="Q10" s="533"/>
      <c r="R10" s="533"/>
      <c r="S10" s="533">
        <f t="shared" si="5"/>
        <v>0</v>
      </c>
      <c r="T10" s="533">
        <f t="shared" si="6"/>
        <v>350000</v>
      </c>
      <c r="U10" s="533">
        <f t="shared" si="7"/>
        <v>440000</v>
      </c>
      <c r="V10" s="533"/>
      <c r="W10" s="533">
        <f t="shared" si="8"/>
        <v>440000</v>
      </c>
      <c r="X10" s="519"/>
      <c r="Y10" s="519"/>
      <c r="Z10" s="519"/>
      <c r="AA10" s="532"/>
      <c r="AB10" s="532" t="s">
        <v>338</v>
      </c>
      <c r="AC10" s="532">
        <v>760000</v>
      </c>
      <c r="AD10" s="566"/>
      <c r="AE10" s="318"/>
      <c r="AF10" s="318"/>
      <c r="AG10" s="318"/>
      <c r="AH10" s="318"/>
      <c r="AI10" s="318"/>
      <c r="AJ10" s="318"/>
      <c r="AK10" s="318"/>
      <c r="AL10" s="318"/>
    </row>
    <row r="11" spans="1:61" ht="55.2">
      <c r="A11" s="532">
        <f t="shared" si="9"/>
        <v>7</v>
      </c>
      <c r="B11" s="532">
        <v>2083</v>
      </c>
      <c r="C11" s="532" t="s">
        <v>297</v>
      </c>
      <c r="D11" s="519">
        <v>7880000</v>
      </c>
      <c r="E11" s="519">
        <v>7880000</v>
      </c>
      <c r="F11" s="519">
        <f t="shared" si="0"/>
        <v>0</v>
      </c>
      <c r="G11" s="519">
        <v>7880000</v>
      </c>
      <c r="H11" s="519">
        <v>7727793</v>
      </c>
      <c r="I11" s="519"/>
      <c r="J11" s="519"/>
      <c r="K11" s="519">
        <f t="shared" si="1"/>
        <v>0</v>
      </c>
      <c r="L11" s="519">
        <f t="shared" si="2"/>
        <v>7727793</v>
      </c>
      <c r="M11" s="533">
        <f>P11+S11-152207</f>
        <v>0</v>
      </c>
      <c r="N11" s="533">
        <v>0</v>
      </c>
      <c r="O11" s="533">
        <f t="shared" si="3"/>
        <v>152207</v>
      </c>
      <c r="P11" s="533">
        <f t="shared" si="4"/>
        <v>152207</v>
      </c>
      <c r="Q11" s="533"/>
      <c r="R11" s="533"/>
      <c r="S11" s="533">
        <f t="shared" si="5"/>
        <v>0</v>
      </c>
      <c r="T11" s="533">
        <f t="shared" si="6"/>
        <v>152207</v>
      </c>
      <c r="U11" s="533">
        <f t="shared" si="7"/>
        <v>-152207</v>
      </c>
      <c r="V11" s="533"/>
      <c r="W11" s="533">
        <f t="shared" si="8"/>
        <v>0</v>
      </c>
      <c r="X11" s="519"/>
      <c r="Y11" s="519"/>
      <c r="Z11" s="519"/>
      <c r="AA11" s="533">
        <v>-152207</v>
      </c>
      <c r="AB11" s="532" t="s">
        <v>1455</v>
      </c>
      <c r="AC11" s="532">
        <v>810000</v>
      </c>
    </row>
    <row r="12" spans="1:61" s="452" customFormat="1" ht="45" customHeight="1">
      <c r="A12" s="532">
        <f t="shared" si="9"/>
        <v>8</v>
      </c>
      <c r="B12" s="455">
        <v>2144</v>
      </c>
      <c r="C12" s="448" t="s">
        <v>408</v>
      </c>
      <c r="D12" s="449">
        <f>500000+2500000-2800000</f>
        <v>200000</v>
      </c>
      <c r="E12" s="449">
        <v>500000</v>
      </c>
      <c r="F12" s="449">
        <f t="shared" si="0"/>
        <v>-300000</v>
      </c>
      <c r="G12" s="449">
        <v>200000</v>
      </c>
      <c r="H12" s="449"/>
      <c r="I12" s="449"/>
      <c r="J12" s="449"/>
      <c r="K12" s="449">
        <f>SUM(I12:J12)</f>
        <v>0</v>
      </c>
      <c r="L12" s="449">
        <f t="shared" si="2"/>
        <v>0</v>
      </c>
      <c r="M12" s="449">
        <f>P12+S12-200000</f>
        <v>0</v>
      </c>
      <c r="N12" s="449">
        <f>3000000-2800000-200000</f>
        <v>0</v>
      </c>
      <c r="O12" s="449">
        <f t="shared" si="3"/>
        <v>200000</v>
      </c>
      <c r="P12" s="449">
        <f t="shared" si="4"/>
        <v>200000</v>
      </c>
      <c r="Q12" s="451"/>
      <c r="R12" s="449"/>
      <c r="S12" s="449">
        <f t="shared" si="5"/>
        <v>0</v>
      </c>
      <c r="T12" s="450">
        <f t="shared" si="6"/>
        <v>200000</v>
      </c>
      <c r="U12" s="449">
        <f t="shared" si="7"/>
        <v>-200000</v>
      </c>
      <c r="V12" s="449">
        <f>U12-AA12-W12-Z12-Y12-X12</f>
        <v>-200000</v>
      </c>
      <c r="W12" s="449"/>
      <c r="X12" s="449"/>
      <c r="Y12" s="449"/>
      <c r="Z12" s="449"/>
      <c r="AA12" s="448"/>
      <c r="AB12" s="448" t="s">
        <v>420</v>
      </c>
      <c r="AC12" s="448">
        <v>732000</v>
      </c>
      <c r="AD12" s="566"/>
      <c r="AE12" s="318"/>
      <c r="AF12" s="318"/>
      <c r="AG12" s="318"/>
      <c r="AH12" s="318"/>
      <c r="AI12" s="318"/>
      <c r="AJ12" s="318"/>
      <c r="AK12" s="318"/>
      <c r="AL12" s="318"/>
      <c r="AM12" s="422"/>
      <c r="AN12" s="422"/>
      <c r="AO12" s="422"/>
      <c r="AP12" s="422"/>
      <c r="AQ12" s="422"/>
      <c r="AR12" s="422"/>
      <c r="AS12" s="422"/>
      <c r="AT12" s="422"/>
      <c r="AU12" s="422"/>
      <c r="AV12" s="422"/>
      <c r="AW12" s="422"/>
      <c r="AX12" s="422"/>
      <c r="AY12" s="422"/>
    </row>
    <row r="13" spans="1:61" s="319" customFormat="1" ht="55.2">
      <c r="A13" s="532">
        <f t="shared" si="9"/>
        <v>9</v>
      </c>
      <c r="B13" s="534">
        <v>2170</v>
      </c>
      <c r="C13" s="448" t="s">
        <v>403</v>
      </c>
      <c r="D13" s="519">
        <f>860000+500000</f>
        <v>1360000</v>
      </c>
      <c r="E13" s="519">
        <v>860000</v>
      </c>
      <c r="F13" s="519">
        <f t="shared" si="0"/>
        <v>500000</v>
      </c>
      <c r="G13" s="519">
        <v>510000</v>
      </c>
      <c r="H13" s="519">
        <v>366580</v>
      </c>
      <c r="I13" s="519"/>
      <c r="J13" s="519">
        <v>64265</v>
      </c>
      <c r="K13" s="519">
        <f t="shared" si="1"/>
        <v>64265</v>
      </c>
      <c r="L13" s="519">
        <f t="shared" si="2"/>
        <v>430845</v>
      </c>
      <c r="M13" s="533">
        <f>P13+S13-70000-5000</f>
        <v>4155</v>
      </c>
      <c r="N13" s="533">
        <f>70000+350000+500000-480000+5000</f>
        <v>445000</v>
      </c>
      <c r="O13" s="533">
        <f t="shared" si="3"/>
        <v>480000</v>
      </c>
      <c r="P13" s="533">
        <f t="shared" si="4"/>
        <v>79155</v>
      </c>
      <c r="Q13" s="533"/>
      <c r="R13" s="533"/>
      <c r="S13" s="533">
        <f t="shared" si="5"/>
        <v>0</v>
      </c>
      <c r="T13" s="533">
        <f t="shared" si="6"/>
        <v>75000</v>
      </c>
      <c r="U13" s="533">
        <f t="shared" si="7"/>
        <v>370000</v>
      </c>
      <c r="V13" s="533"/>
      <c r="W13" s="533">
        <f t="shared" si="8"/>
        <v>370000</v>
      </c>
      <c r="X13" s="519"/>
      <c r="Y13" s="519"/>
      <c r="Z13" s="519"/>
      <c r="AA13" s="532"/>
      <c r="AB13" s="448" t="s">
        <v>1392</v>
      </c>
      <c r="AC13" s="532">
        <v>760000</v>
      </c>
      <c r="AD13" s="566"/>
      <c r="AE13" s="318"/>
      <c r="AF13" s="318"/>
      <c r="AG13" s="318"/>
      <c r="AH13" s="318"/>
      <c r="AI13" s="318"/>
      <c r="AJ13" s="318"/>
      <c r="AK13" s="318"/>
      <c r="AL13" s="318"/>
    </row>
    <row r="14" spans="1:61" s="452" customFormat="1" ht="45" customHeight="1">
      <c r="A14" s="532">
        <f t="shared" si="9"/>
        <v>10</v>
      </c>
      <c r="B14" s="455">
        <v>20076</v>
      </c>
      <c r="C14" s="448" t="s">
        <v>754</v>
      </c>
      <c r="D14" s="519">
        <v>220000</v>
      </c>
      <c r="E14" s="519">
        <v>220000</v>
      </c>
      <c r="F14" s="519">
        <f t="shared" si="0"/>
        <v>0</v>
      </c>
      <c r="G14" s="519">
        <v>0</v>
      </c>
      <c r="H14" s="519"/>
      <c r="I14" s="519"/>
      <c r="J14" s="519"/>
      <c r="K14" s="519">
        <f t="shared" si="1"/>
        <v>0</v>
      </c>
      <c r="L14" s="519">
        <f>H14+K14</f>
        <v>0</v>
      </c>
      <c r="M14" s="533">
        <f t="shared" si="10"/>
        <v>0</v>
      </c>
      <c r="N14" s="533">
        <v>220000</v>
      </c>
      <c r="O14" s="533">
        <f t="shared" si="3"/>
        <v>0</v>
      </c>
      <c r="P14" s="533">
        <f t="shared" si="4"/>
        <v>0</v>
      </c>
      <c r="Q14" s="533"/>
      <c r="R14" s="533"/>
      <c r="S14" s="533">
        <f t="shared" si="5"/>
        <v>0</v>
      </c>
      <c r="T14" s="533">
        <f t="shared" si="6"/>
        <v>0</v>
      </c>
      <c r="U14" s="533">
        <f t="shared" si="7"/>
        <v>220000</v>
      </c>
      <c r="V14" s="533"/>
      <c r="W14" s="533">
        <f t="shared" si="8"/>
        <v>220000</v>
      </c>
      <c r="X14" s="519"/>
      <c r="Y14" s="519"/>
      <c r="Z14" s="519"/>
      <c r="AA14" s="533"/>
      <c r="AB14" s="448" t="s">
        <v>865</v>
      </c>
      <c r="AC14" s="448">
        <v>610000</v>
      </c>
      <c r="AD14" s="566"/>
      <c r="AE14" s="318"/>
      <c r="AF14" s="318"/>
      <c r="AG14" s="318"/>
      <c r="AH14" s="318"/>
      <c r="AI14" s="318"/>
      <c r="AJ14" s="318"/>
      <c r="AK14" s="318"/>
      <c r="AL14" s="318"/>
      <c r="AM14" s="319"/>
      <c r="AN14" s="319"/>
      <c r="AO14" s="319"/>
      <c r="AP14" s="319"/>
      <c r="AQ14" s="319"/>
      <c r="AR14" s="319"/>
      <c r="AS14" s="319"/>
      <c r="AT14" s="319"/>
      <c r="AU14" s="319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</row>
    <row r="15" spans="1:61" s="452" customFormat="1" ht="45" customHeight="1">
      <c r="A15" s="532">
        <f t="shared" si="9"/>
        <v>11</v>
      </c>
      <c r="B15" s="455">
        <v>20077</v>
      </c>
      <c r="C15" s="532" t="s">
        <v>297</v>
      </c>
      <c r="D15" s="533">
        <f>1000000+1000000</f>
        <v>2000000</v>
      </c>
      <c r="E15" s="533">
        <v>1000000</v>
      </c>
      <c r="F15" s="533">
        <f t="shared" si="0"/>
        <v>1000000</v>
      </c>
      <c r="G15" s="533">
        <v>0</v>
      </c>
      <c r="H15" s="533">
        <v>14055</v>
      </c>
      <c r="I15" s="533"/>
      <c r="J15" s="533">
        <v>984301</v>
      </c>
      <c r="K15" s="533">
        <f t="shared" si="1"/>
        <v>984301</v>
      </c>
      <c r="L15" s="533">
        <f t="shared" si="2"/>
        <v>998356</v>
      </c>
      <c r="M15" s="533">
        <f>P15+S15</f>
        <v>1644</v>
      </c>
      <c r="N15" s="533">
        <f>1000000</f>
        <v>1000000</v>
      </c>
      <c r="O15" s="533">
        <f t="shared" si="3"/>
        <v>0</v>
      </c>
      <c r="P15" s="533">
        <f t="shared" si="4"/>
        <v>-998356</v>
      </c>
      <c r="Q15" s="533">
        <v>1000000</v>
      </c>
      <c r="R15" s="533"/>
      <c r="S15" s="533">
        <f t="shared" si="5"/>
        <v>1000000</v>
      </c>
      <c r="T15" s="533">
        <f t="shared" si="6"/>
        <v>0</v>
      </c>
      <c r="U15" s="533">
        <f t="shared" si="7"/>
        <v>1000000</v>
      </c>
      <c r="V15" s="533"/>
      <c r="W15" s="533">
        <f t="shared" si="8"/>
        <v>0</v>
      </c>
      <c r="X15" s="519"/>
      <c r="Y15" s="519"/>
      <c r="Z15" s="519"/>
      <c r="AA15" s="533">
        <v>1000000</v>
      </c>
      <c r="AB15" s="532" t="s">
        <v>776</v>
      </c>
      <c r="AC15" s="448">
        <v>810000</v>
      </c>
      <c r="AD15" s="566"/>
      <c r="AE15" s="318"/>
      <c r="AF15" s="318"/>
      <c r="AG15" s="318"/>
      <c r="AH15" s="318"/>
      <c r="AI15" s="318"/>
      <c r="AJ15" s="318"/>
      <c r="AK15" s="318"/>
      <c r="AL15" s="318"/>
      <c r="AM15" s="157"/>
      <c r="AN15" s="157"/>
      <c r="AO15" s="157"/>
      <c r="AP15" s="157"/>
      <c r="AQ15" s="157"/>
      <c r="AR15" s="157"/>
      <c r="AS15" s="157"/>
      <c r="AT15" s="157"/>
      <c r="AU15" s="157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</row>
    <row r="16" spans="1:61" s="452" customFormat="1" ht="45" customHeight="1">
      <c r="A16" s="532">
        <f t="shared" si="9"/>
        <v>12</v>
      </c>
      <c r="B16" s="455">
        <v>20078</v>
      </c>
      <c r="C16" s="448" t="s">
        <v>761</v>
      </c>
      <c r="D16" s="533">
        <f>1200000+2200000</f>
        <v>3400000</v>
      </c>
      <c r="E16" s="533">
        <v>1200000</v>
      </c>
      <c r="F16" s="533">
        <f t="shared" si="0"/>
        <v>2200000</v>
      </c>
      <c r="G16" s="533">
        <v>1200000</v>
      </c>
      <c r="H16" s="533">
        <v>1195251</v>
      </c>
      <c r="I16" s="533"/>
      <c r="J16" s="533"/>
      <c r="K16" s="533">
        <f t="shared" si="1"/>
        <v>0</v>
      </c>
      <c r="L16" s="533">
        <f t="shared" si="2"/>
        <v>1195251</v>
      </c>
      <c r="M16" s="533">
        <f>P16+S16</f>
        <v>4749</v>
      </c>
      <c r="N16" s="533">
        <f>2200000-1200000</f>
        <v>1000000</v>
      </c>
      <c r="O16" s="533">
        <f t="shared" si="3"/>
        <v>1200000</v>
      </c>
      <c r="P16" s="533">
        <f t="shared" si="4"/>
        <v>4749</v>
      </c>
      <c r="Q16" s="533"/>
      <c r="R16" s="533"/>
      <c r="S16" s="533">
        <f t="shared" si="5"/>
        <v>0</v>
      </c>
      <c r="T16" s="533">
        <f t="shared" si="6"/>
        <v>0</v>
      </c>
      <c r="U16" s="533">
        <f t="shared" si="7"/>
        <v>1000000</v>
      </c>
      <c r="V16" s="533"/>
      <c r="W16" s="533">
        <f t="shared" si="8"/>
        <v>1000000</v>
      </c>
      <c r="X16" s="519"/>
      <c r="Y16" s="519"/>
      <c r="Z16" s="519"/>
      <c r="AA16" s="533"/>
      <c r="AB16" s="448" t="s">
        <v>760</v>
      </c>
      <c r="AC16" s="448">
        <v>610000</v>
      </c>
      <c r="AD16" s="566"/>
      <c r="AE16" s="318"/>
      <c r="AF16" s="318"/>
      <c r="AG16" s="318"/>
      <c r="AH16" s="318"/>
      <c r="AI16" s="318"/>
      <c r="AJ16" s="318"/>
      <c r="AK16" s="318"/>
      <c r="AL16" s="318"/>
      <c r="AM16" s="319"/>
      <c r="AN16" s="319"/>
      <c r="AO16" s="319"/>
      <c r="AP16" s="319"/>
      <c r="AQ16" s="319"/>
      <c r="AR16" s="319"/>
      <c r="AS16" s="319"/>
      <c r="AT16" s="319"/>
      <c r="AU16" s="319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</row>
    <row r="17" spans="1:61" s="452" customFormat="1" ht="45" customHeight="1">
      <c r="A17" s="532">
        <f t="shared" si="9"/>
        <v>13</v>
      </c>
      <c r="B17" s="455">
        <v>20085</v>
      </c>
      <c r="C17" s="448" t="s">
        <v>925</v>
      </c>
      <c r="D17" s="533">
        <f>200000+250000+250000</f>
        <v>700000</v>
      </c>
      <c r="E17" s="533">
        <v>200000</v>
      </c>
      <c r="F17" s="533">
        <f t="shared" si="0"/>
        <v>500000</v>
      </c>
      <c r="G17" s="533">
        <v>200000</v>
      </c>
      <c r="H17" s="533">
        <v>199534</v>
      </c>
      <c r="I17" s="533"/>
      <c r="J17" s="533"/>
      <c r="K17" s="533">
        <f t="shared" si="1"/>
        <v>0</v>
      </c>
      <c r="L17" s="533">
        <f t="shared" si="2"/>
        <v>199534</v>
      </c>
      <c r="M17" s="533">
        <f t="shared" si="10"/>
        <v>466</v>
      </c>
      <c r="N17" s="533">
        <f>500000-135000</f>
        <v>365000</v>
      </c>
      <c r="O17" s="533">
        <f t="shared" si="3"/>
        <v>135000</v>
      </c>
      <c r="P17" s="533">
        <f t="shared" si="4"/>
        <v>466</v>
      </c>
      <c r="Q17" s="533"/>
      <c r="R17" s="533"/>
      <c r="S17" s="533">
        <f t="shared" si="5"/>
        <v>0</v>
      </c>
      <c r="T17" s="533">
        <f t="shared" si="6"/>
        <v>0</v>
      </c>
      <c r="U17" s="533">
        <f t="shared" si="7"/>
        <v>365000</v>
      </c>
      <c r="V17" s="533"/>
      <c r="W17" s="533">
        <f t="shared" si="8"/>
        <v>365000</v>
      </c>
      <c r="X17" s="519"/>
      <c r="Y17" s="519"/>
      <c r="Z17" s="519"/>
      <c r="AA17" s="533"/>
      <c r="AB17" s="448" t="s">
        <v>1003</v>
      </c>
      <c r="AC17" s="448">
        <v>760000</v>
      </c>
      <c r="AD17" s="566"/>
      <c r="AE17" s="318"/>
      <c r="AF17" s="318"/>
      <c r="AG17" s="318"/>
      <c r="AH17" s="318"/>
      <c r="AI17" s="318"/>
      <c r="AJ17" s="318"/>
      <c r="AK17" s="318"/>
      <c r="AL17" s="318"/>
      <c r="AM17" s="319"/>
      <c r="AN17" s="319"/>
      <c r="AO17" s="319"/>
      <c r="AP17" s="319"/>
      <c r="AQ17" s="319"/>
      <c r="AR17" s="319"/>
      <c r="AS17" s="319"/>
      <c r="AT17" s="319"/>
      <c r="AU17" s="319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</row>
    <row r="18" spans="1:61" s="452" customFormat="1" ht="45" customHeight="1">
      <c r="A18" s="532">
        <f t="shared" si="9"/>
        <v>14</v>
      </c>
      <c r="B18" s="455">
        <v>20134</v>
      </c>
      <c r="C18" s="135" t="s">
        <v>1004</v>
      </c>
      <c r="D18" s="120">
        <v>200000</v>
      </c>
      <c r="E18" s="120"/>
      <c r="F18" s="120">
        <f>D18-E18</f>
        <v>200000</v>
      </c>
      <c r="G18" s="120">
        <v>0</v>
      </c>
      <c r="H18" s="120"/>
      <c r="I18" s="120"/>
      <c r="J18" s="120"/>
      <c r="K18" s="120">
        <f>I18+J18</f>
        <v>0</v>
      </c>
      <c r="L18" s="120">
        <f>H18+K18</f>
        <v>0</v>
      </c>
      <c r="M18" s="120">
        <v>0</v>
      </c>
      <c r="N18" s="419">
        <v>200000</v>
      </c>
      <c r="O18" s="120">
        <f>D18-L18-M18-N18</f>
        <v>0</v>
      </c>
      <c r="P18" s="120">
        <f>G18-L18</f>
        <v>0</v>
      </c>
      <c r="Q18" s="120"/>
      <c r="R18" s="120"/>
      <c r="S18" s="120">
        <f>SUM(Q18:R18)</f>
        <v>0</v>
      </c>
      <c r="T18" s="120">
        <f>P18-M18+S18</f>
        <v>0</v>
      </c>
      <c r="U18" s="120">
        <f>N18-T18</f>
        <v>200000</v>
      </c>
      <c r="V18" s="120">
        <f>U18-W18-Z18-AA18</f>
        <v>0</v>
      </c>
      <c r="W18" s="120">
        <v>200000</v>
      </c>
      <c r="X18" s="120"/>
      <c r="Y18" s="120"/>
      <c r="Z18" s="120"/>
      <c r="AA18" s="533"/>
      <c r="AB18" s="448" t="s">
        <v>1339</v>
      </c>
      <c r="AC18" s="448">
        <v>760000</v>
      </c>
      <c r="AD18" s="566"/>
      <c r="AE18" s="318"/>
      <c r="AF18" s="318"/>
      <c r="AG18" s="318"/>
      <c r="AH18" s="318"/>
      <c r="AI18" s="318"/>
      <c r="AJ18" s="318"/>
      <c r="AK18" s="318"/>
      <c r="AL18" s="318"/>
      <c r="AM18" s="491"/>
      <c r="AN18" s="491"/>
      <c r="AO18" s="491"/>
      <c r="AP18" s="491"/>
      <c r="AQ18" s="491"/>
      <c r="AR18" s="491"/>
      <c r="AS18" s="491"/>
      <c r="AT18" s="491"/>
      <c r="AU18" s="491"/>
      <c r="AV18" s="535"/>
      <c r="AW18" s="535"/>
      <c r="AX18" s="535"/>
      <c r="AY18" s="535"/>
      <c r="AZ18" s="535"/>
      <c r="BA18" s="535"/>
      <c r="BB18" s="535"/>
      <c r="BC18" s="535"/>
      <c r="BD18" s="535"/>
    </row>
    <row r="19" spans="1:61" s="473" customFormat="1" ht="45" customHeight="1">
      <c r="A19" s="249">
        <f>COUNT(A5:A18)</f>
        <v>14</v>
      </c>
      <c r="B19" s="454"/>
      <c r="C19" s="219" t="s">
        <v>313</v>
      </c>
      <c r="D19" s="249">
        <f>SUM(D5:D18)</f>
        <v>112760000</v>
      </c>
      <c r="E19" s="249">
        <f t="shared" ref="E19:AA19" si="11">SUM(E5:E18)</f>
        <v>73160000</v>
      </c>
      <c r="F19" s="249">
        <f t="shared" si="11"/>
        <v>39600000</v>
      </c>
      <c r="G19" s="249">
        <f t="shared" si="11"/>
        <v>64273000</v>
      </c>
      <c r="H19" s="249">
        <f t="shared" si="11"/>
        <v>54798202</v>
      </c>
      <c r="I19" s="249">
        <f t="shared" si="11"/>
        <v>43536</v>
      </c>
      <c r="J19" s="249">
        <f t="shared" si="11"/>
        <v>9275931</v>
      </c>
      <c r="K19" s="249">
        <f t="shared" si="11"/>
        <v>9319467</v>
      </c>
      <c r="L19" s="249">
        <f t="shared" si="11"/>
        <v>64117669</v>
      </c>
      <c r="M19" s="249">
        <f t="shared" si="11"/>
        <v>38124</v>
      </c>
      <c r="N19" s="249">
        <f t="shared" si="11"/>
        <v>8920000</v>
      </c>
      <c r="O19" s="249">
        <f t="shared" si="11"/>
        <v>39684207</v>
      </c>
      <c r="P19" s="249">
        <f t="shared" si="11"/>
        <v>155331</v>
      </c>
      <c r="Q19" s="249">
        <f t="shared" si="11"/>
        <v>1000000</v>
      </c>
      <c r="R19" s="249">
        <f t="shared" si="11"/>
        <v>0</v>
      </c>
      <c r="S19" s="249">
        <f t="shared" si="11"/>
        <v>1000000</v>
      </c>
      <c r="T19" s="249">
        <f t="shared" si="11"/>
        <v>1117207</v>
      </c>
      <c r="U19" s="249">
        <f t="shared" si="11"/>
        <v>7802793</v>
      </c>
      <c r="V19" s="249">
        <f t="shared" si="11"/>
        <v>2380000</v>
      </c>
      <c r="W19" s="249">
        <f t="shared" si="11"/>
        <v>4575000</v>
      </c>
      <c r="X19" s="249">
        <f t="shared" si="11"/>
        <v>0</v>
      </c>
      <c r="Y19" s="249">
        <f t="shared" si="11"/>
        <v>0</v>
      </c>
      <c r="Z19" s="249">
        <f t="shared" si="11"/>
        <v>0</v>
      </c>
      <c r="AA19" s="249">
        <f t="shared" si="11"/>
        <v>847793</v>
      </c>
      <c r="AB19" s="454"/>
      <c r="AC19" s="454"/>
      <c r="AD19" s="566"/>
      <c r="AE19" s="318"/>
      <c r="AF19" s="318"/>
      <c r="AG19" s="318"/>
      <c r="AH19" s="318"/>
      <c r="AI19" s="318"/>
      <c r="AJ19" s="318"/>
      <c r="AK19" s="318"/>
      <c r="AL19" s="318"/>
      <c r="AM19" s="472"/>
      <c r="AN19" s="472"/>
      <c r="AO19" s="472"/>
      <c r="AP19" s="472"/>
      <c r="AQ19" s="472"/>
      <c r="AR19" s="472"/>
      <c r="AS19" s="472"/>
      <c r="AT19" s="472"/>
      <c r="AU19" s="472"/>
      <c r="AV19" s="359"/>
      <c r="AW19" s="359"/>
      <c r="AX19" s="359"/>
      <c r="AY19" s="359"/>
      <c r="AZ19" s="359"/>
      <c r="BA19" s="359"/>
      <c r="BB19" s="359"/>
      <c r="BC19" s="359"/>
      <c r="BD19" s="359"/>
    </row>
    <row r="20" spans="1:61" s="473" customFormat="1" ht="34.950000000000003" hidden="1" customHeight="1">
      <c r="A20" s="428"/>
      <c r="B20" s="561"/>
      <c r="C20" s="427"/>
      <c r="D20" s="492">
        <f>SUM(L19:O19)</f>
        <v>112760000</v>
      </c>
      <c r="E20" s="467"/>
      <c r="F20" s="493">
        <f>D19-E19</f>
        <v>39600000</v>
      </c>
      <c r="G20" s="493"/>
      <c r="H20" s="493"/>
      <c r="I20" s="493"/>
      <c r="J20" s="493"/>
      <c r="K20" s="493"/>
      <c r="L20" s="492">
        <f>H19+K19</f>
        <v>64117669</v>
      </c>
      <c r="M20" s="493"/>
      <c r="N20" s="493"/>
      <c r="O20" s="493"/>
      <c r="P20" s="492">
        <f>G19-L20</f>
        <v>155331</v>
      </c>
      <c r="Q20" s="493"/>
      <c r="R20" s="493"/>
      <c r="S20" s="493"/>
      <c r="T20" s="492">
        <f>P20+S19-M19</f>
        <v>1117207</v>
      </c>
      <c r="U20" s="492">
        <f>N19-T20</f>
        <v>7802793</v>
      </c>
      <c r="V20" s="428"/>
      <c r="W20" s="428"/>
      <c r="X20" s="428"/>
      <c r="Y20" s="428"/>
      <c r="Z20" s="428"/>
      <c r="AA20" s="428"/>
      <c r="AB20" s="561"/>
      <c r="AC20" s="561"/>
      <c r="AD20" s="566"/>
      <c r="AE20" s="318"/>
      <c r="AF20" s="318"/>
      <c r="AG20" s="318"/>
      <c r="AH20" s="318"/>
      <c r="AI20" s="318"/>
      <c r="AJ20" s="318"/>
      <c r="AK20" s="318"/>
      <c r="AL20" s="318"/>
      <c r="AM20" s="472"/>
      <c r="AN20" s="472"/>
      <c r="AO20" s="472"/>
      <c r="AP20" s="472"/>
      <c r="AQ20" s="472"/>
      <c r="AR20" s="472"/>
      <c r="AS20" s="472"/>
      <c r="AT20" s="472"/>
      <c r="AU20" s="472"/>
      <c r="AV20" s="359"/>
      <c r="AW20" s="359"/>
      <c r="AX20" s="359"/>
      <c r="AY20" s="359"/>
      <c r="AZ20" s="359"/>
      <c r="BA20" s="359"/>
      <c r="BB20" s="359"/>
      <c r="BC20" s="359"/>
      <c r="BD20" s="359"/>
    </row>
    <row r="21" spans="1:61" s="473" customFormat="1" ht="34.950000000000003" hidden="1" customHeight="1">
      <c r="A21" s="428"/>
      <c r="B21" s="561"/>
      <c r="C21" s="427"/>
      <c r="D21" s="492">
        <f>D19-D20</f>
        <v>0</v>
      </c>
      <c r="E21" s="467"/>
      <c r="F21" s="493"/>
      <c r="G21" s="493"/>
      <c r="H21" s="493"/>
      <c r="I21" s="493"/>
      <c r="J21" s="493"/>
      <c r="K21" s="493"/>
      <c r="L21" s="492">
        <f>L19-L20</f>
        <v>0</v>
      </c>
      <c r="M21" s="493"/>
      <c r="N21" s="493"/>
      <c r="O21" s="493"/>
      <c r="P21" s="492">
        <f>P19-P20</f>
        <v>0</v>
      </c>
      <c r="Q21" s="493"/>
      <c r="R21" s="493"/>
      <c r="S21" s="493"/>
      <c r="T21" s="492">
        <f>T19-T20</f>
        <v>0</v>
      </c>
      <c r="U21" s="492">
        <f>U19-U20</f>
        <v>0</v>
      </c>
      <c r="V21" s="428"/>
      <c r="W21" s="428"/>
      <c r="X21" s="428"/>
      <c r="Y21" s="428"/>
      <c r="Z21" s="428"/>
      <c r="AA21" s="428"/>
      <c r="AB21" s="561"/>
      <c r="AC21" s="561"/>
      <c r="AD21" s="566"/>
      <c r="AE21" s="318"/>
      <c r="AF21" s="318"/>
      <c r="AG21" s="318"/>
      <c r="AH21" s="318"/>
      <c r="AI21" s="318"/>
      <c r="AJ21" s="318"/>
      <c r="AK21" s="318"/>
      <c r="AL21" s="318"/>
      <c r="AM21" s="472"/>
      <c r="AN21" s="472"/>
      <c r="AO21" s="472"/>
      <c r="AP21" s="472"/>
      <c r="AQ21" s="472"/>
      <c r="AR21" s="472"/>
      <c r="AS21" s="472"/>
      <c r="AT21" s="472"/>
      <c r="AU21" s="472"/>
      <c r="AV21" s="359"/>
      <c r="AW21" s="359"/>
      <c r="AX21" s="359"/>
      <c r="AY21" s="359"/>
      <c r="AZ21" s="359"/>
      <c r="BA21" s="359"/>
      <c r="BB21" s="359"/>
      <c r="BC21" s="359"/>
      <c r="BD21" s="359"/>
    </row>
    <row r="22" spans="1:61" hidden="1"/>
    <row r="130" spans="1:1">
      <c r="A130" s="157">
        <f>COUNT(A5:A129)</f>
        <v>15</v>
      </c>
    </row>
    <row r="133" spans="1:1">
      <c r="A133" s="157">
        <f>A130+1</f>
        <v>16</v>
      </c>
    </row>
    <row r="136" spans="1:1" ht="37.950000000000003" customHeight="1"/>
    <row r="139" spans="1:1" ht="70.95" customHeight="1"/>
    <row r="142" spans="1:1" ht="72" customHeight="1"/>
    <row r="144" spans="1:1" ht="43.95" customHeight="1"/>
    <row r="146" ht="30" customHeight="1"/>
  </sheetData>
  <conditionalFormatting sqref="F5:F11 F17 F13:F15">
    <cfRule type="cellIs" dxfId="263" priority="95" operator="equal">
      <formula>0</formula>
    </cfRule>
  </conditionalFormatting>
  <conditionalFormatting sqref="A2:W2 AB10:AC10 B6:C8 Z2:AA2 Z1:AB1 X1:Y2 V4:W4 AC1:AC9 A1:M1 O1:W1 AB3 X4:AB5 A3:U3 D17:G17 I17:Z17 B5:W5 B4:L4 D15:L15 N15:Z15 AD18 D13:AC13 A5:A18 D14:Z14 D6:AA11">
    <cfRule type="cellIs" dxfId="262" priority="94" operator="equal">
      <formula>0</formula>
    </cfRule>
  </conditionalFormatting>
  <conditionalFormatting sqref="AB8">
    <cfRule type="cellIs" dxfId="261" priority="91" operator="equal">
      <formula>0</formula>
    </cfRule>
  </conditionalFormatting>
  <conditionalFormatting sqref="AB6">
    <cfRule type="cellIs" dxfId="260" priority="93" operator="equal">
      <formula>0</formula>
    </cfRule>
  </conditionalFormatting>
  <conditionalFormatting sqref="AB7">
    <cfRule type="cellIs" dxfId="259" priority="92" operator="equal">
      <formula>0</formula>
    </cfRule>
  </conditionalFormatting>
  <conditionalFormatting sqref="B9:C9">
    <cfRule type="cellIs" dxfId="258" priority="90" operator="equal">
      <formula>0</formula>
    </cfRule>
  </conditionalFormatting>
  <conditionalFormatting sqref="AB9">
    <cfRule type="cellIs" dxfId="257" priority="89" operator="equal">
      <formula>0</formula>
    </cfRule>
  </conditionalFormatting>
  <conditionalFormatting sqref="B13:C13 B10">
    <cfRule type="cellIs" dxfId="256" priority="88" operator="equal">
      <formula>0</formula>
    </cfRule>
  </conditionalFormatting>
  <conditionalFormatting sqref="B10">
    <cfRule type="cellIs" dxfId="255" priority="87" operator="equal">
      <formula>0</formula>
    </cfRule>
  </conditionalFormatting>
  <conditionalFormatting sqref="AB11">
    <cfRule type="cellIs" dxfId="254" priority="86" operator="equal">
      <formula>0</formula>
    </cfRule>
  </conditionalFormatting>
  <conditionalFormatting sqref="B11:C11">
    <cfRule type="cellIs" dxfId="253" priority="85" operator="equal">
      <formula>0</formula>
    </cfRule>
  </conditionalFormatting>
  <conditionalFormatting sqref="AC11">
    <cfRule type="cellIs" dxfId="252" priority="84" operator="equal">
      <formula>0</formula>
    </cfRule>
  </conditionalFormatting>
  <conditionalFormatting sqref="AB2">
    <cfRule type="cellIs" dxfId="251" priority="83" operator="equal">
      <formula>0</formula>
    </cfRule>
  </conditionalFormatting>
  <conditionalFormatting sqref="C15">
    <cfRule type="cellIs" dxfId="250" priority="82" operator="equal">
      <formula>0</formula>
    </cfRule>
  </conditionalFormatting>
  <conditionalFormatting sqref="AB15">
    <cfRule type="cellIs" dxfId="249" priority="81" operator="equal">
      <formula>0</formula>
    </cfRule>
  </conditionalFormatting>
  <conditionalFormatting sqref="C10">
    <cfRule type="cellIs" dxfId="248" priority="80" operator="equal">
      <formula>0</formula>
    </cfRule>
  </conditionalFormatting>
  <conditionalFormatting sqref="C10">
    <cfRule type="cellIs" dxfId="247" priority="79" operator="equal">
      <formula>0</formula>
    </cfRule>
  </conditionalFormatting>
  <conditionalFormatting sqref="AQ8">
    <cfRule type="cellIs" dxfId="246" priority="72" operator="equal">
      <formula>0</formula>
    </cfRule>
  </conditionalFormatting>
  <conditionalFormatting sqref="AQ9:AQ10">
    <cfRule type="cellIs" dxfId="245" priority="71" operator="equal">
      <formula>0</formula>
    </cfRule>
  </conditionalFormatting>
  <conditionalFormatting sqref="AM9:AM10">
    <cfRule type="cellIs" dxfId="244" priority="78" operator="equal">
      <formula>0</formula>
    </cfRule>
  </conditionalFormatting>
  <conditionalFormatting sqref="AM5:AM8">
    <cfRule type="cellIs" dxfId="243" priority="77" operator="equal">
      <formula>0</formula>
    </cfRule>
  </conditionalFormatting>
  <conditionalFormatting sqref="AM11 AM13">
    <cfRule type="cellIs" dxfId="242" priority="76" operator="equal">
      <formula>0</formula>
    </cfRule>
  </conditionalFormatting>
  <conditionalFormatting sqref="D16:G16 I16:Z16 M15">
    <cfRule type="cellIs" dxfId="241" priority="66" operator="equal">
      <formula>0</formula>
    </cfRule>
  </conditionalFormatting>
  <conditionalFormatting sqref="F16">
    <cfRule type="cellIs" dxfId="240" priority="67" operator="equal">
      <formula>0</formula>
    </cfRule>
  </conditionalFormatting>
  <conditionalFormatting sqref="H16:H17">
    <cfRule type="cellIs" dxfId="239" priority="65" operator="equal">
      <formula>0</formula>
    </cfRule>
  </conditionalFormatting>
  <conditionalFormatting sqref="AF11 AF13:AF14">
    <cfRule type="cellIs" dxfId="238" priority="62" operator="equal">
      <formula>0</formula>
    </cfRule>
  </conditionalFormatting>
  <conditionalFormatting sqref="AF7:AF9">
    <cfRule type="cellIs" dxfId="237" priority="63" operator="equal">
      <formula>0</formula>
    </cfRule>
  </conditionalFormatting>
  <conditionalFormatting sqref="AD8">
    <cfRule type="cellIs" dxfId="236" priority="50" operator="equal">
      <formula>0</formula>
    </cfRule>
  </conditionalFormatting>
  <conditionalFormatting sqref="M4:N4">
    <cfRule type="cellIs" dxfId="235" priority="61" operator="equal">
      <formula>0</formula>
    </cfRule>
  </conditionalFormatting>
  <conditionalFormatting sqref="AF5:AF6">
    <cfRule type="cellIs" dxfId="234" priority="58" operator="equal">
      <formula>0</formula>
    </cfRule>
  </conditionalFormatting>
  <conditionalFormatting sqref="AD14">
    <cfRule type="cellIs" dxfId="233" priority="46" operator="equal">
      <formula>0</formula>
    </cfRule>
  </conditionalFormatting>
  <conditionalFormatting sqref="AD1:AD1048576">
    <cfRule type="cellIs" dxfId="232" priority="54" operator="equal">
      <formula>0</formula>
    </cfRule>
  </conditionalFormatting>
  <conditionalFormatting sqref="AD5">
    <cfRule type="cellIs" dxfId="231" priority="53" operator="equal">
      <formula>0</formula>
    </cfRule>
  </conditionalFormatting>
  <conditionalFormatting sqref="AD6">
    <cfRule type="cellIs" dxfId="230" priority="52" operator="equal">
      <formula>0</formula>
    </cfRule>
  </conditionalFormatting>
  <conditionalFormatting sqref="AD7">
    <cfRule type="cellIs" dxfId="229" priority="51" operator="equal">
      <formula>0</formula>
    </cfRule>
  </conditionalFormatting>
  <conditionalFormatting sqref="AD9">
    <cfRule type="cellIs" dxfId="228" priority="49" operator="equal">
      <formula>0</formula>
    </cfRule>
  </conditionalFormatting>
  <conditionalFormatting sqref="AD11">
    <cfRule type="cellIs" dxfId="227" priority="48" operator="equal">
      <formula>0</formula>
    </cfRule>
  </conditionalFormatting>
  <conditionalFormatting sqref="AD13">
    <cfRule type="cellIs" dxfId="226" priority="47" operator="equal">
      <formula>0</formula>
    </cfRule>
  </conditionalFormatting>
  <conditionalFormatting sqref="AE19:AE21">
    <cfRule type="cellIs" dxfId="225" priority="43" operator="equal">
      <formula>0</formula>
    </cfRule>
  </conditionalFormatting>
  <conditionalFormatting sqref="AE6">
    <cfRule type="cellIs" dxfId="224" priority="42" operator="equal">
      <formula>0</formula>
    </cfRule>
  </conditionalFormatting>
  <conditionalFormatting sqref="AE7">
    <cfRule type="cellIs" dxfId="223" priority="41" operator="equal">
      <formula>0</formula>
    </cfRule>
  </conditionalFormatting>
  <conditionalFormatting sqref="AE11">
    <cfRule type="cellIs" dxfId="222" priority="40" operator="equal">
      <formula>0</formula>
    </cfRule>
  </conditionalFormatting>
  <conditionalFormatting sqref="AE18">
    <cfRule type="cellIs" dxfId="221" priority="39" operator="equal">
      <formula>0</formula>
    </cfRule>
  </conditionalFormatting>
  <conditionalFormatting sqref="AE5">
    <cfRule type="cellIs" dxfId="220" priority="38" operator="equal">
      <formula>0</formula>
    </cfRule>
  </conditionalFormatting>
  <conditionalFormatting sqref="AE8">
    <cfRule type="cellIs" dxfId="219" priority="37" operator="equal">
      <formula>0</formula>
    </cfRule>
  </conditionalFormatting>
  <conditionalFormatting sqref="AE10">
    <cfRule type="cellIs" dxfId="218" priority="36" operator="equal">
      <formula>0</formula>
    </cfRule>
  </conditionalFormatting>
  <conditionalFormatting sqref="AE13">
    <cfRule type="cellIs" dxfId="217" priority="35" operator="equal">
      <formula>0</formula>
    </cfRule>
  </conditionalFormatting>
  <conditionalFormatting sqref="AE14">
    <cfRule type="cellIs" dxfId="216" priority="34" operator="equal">
      <formula>0</formula>
    </cfRule>
  </conditionalFormatting>
  <conditionalFormatting sqref="AF4">
    <cfRule type="cellIs" dxfId="215" priority="33" operator="equal">
      <formula>0</formula>
    </cfRule>
  </conditionalFormatting>
  <conditionalFormatting sqref="AG18">
    <cfRule type="cellIs" dxfId="214" priority="31" operator="equal">
      <formula>0</formula>
    </cfRule>
  </conditionalFormatting>
  <conditionalFormatting sqref="AG19:AG21">
    <cfRule type="cellIs" dxfId="213" priority="29" operator="equal">
      <formula>0</formula>
    </cfRule>
  </conditionalFormatting>
  <conditionalFormatting sqref="AG5">
    <cfRule type="cellIs" dxfId="212" priority="28" operator="equal">
      <formula>0</formula>
    </cfRule>
  </conditionalFormatting>
  <conditionalFormatting sqref="AG6">
    <cfRule type="cellIs" dxfId="211" priority="27" operator="equal">
      <formula>0</formula>
    </cfRule>
  </conditionalFormatting>
  <conditionalFormatting sqref="AG7">
    <cfRule type="cellIs" dxfId="210" priority="26" operator="equal">
      <formula>0</formula>
    </cfRule>
  </conditionalFormatting>
  <conditionalFormatting sqref="AG8">
    <cfRule type="cellIs" dxfId="209" priority="25" operator="equal">
      <formula>0</formula>
    </cfRule>
  </conditionalFormatting>
  <conditionalFormatting sqref="AG9">
    <cfRule type="cellIs" dxfId="208" priority="24" operator="equal">
      <formula>0</formula>
    </cfRule>
  </conditionalFormatting>
  <conditionalFormatting sqref="AG11">
    <cfRule type="cellIs" dxfId="207" priority="23" operator="equal">
      <formula>0</formula>
    </cfRule>
  </conditionalFormatting>
  <conditionalFormatting sqref="AG13">
    <cfRule type="cellIs" dxfId="206" priority="22" operator="equal">
      <formula>0</formula>
    </cfRule>
  </conditionalFormatting>
  <conditionalFormatting sqref="AG14">
    <cfRule type="cellIs" dxfId="205" priority="21" operator="equal">
      <formula>0</formula>
    </cfRule>
  </conditionalFormatting>
  <conditionalFormatting sqref="AF16">
    <cfRule type="cellIs" dxfId="204" priority="20" operator="equal">
      <formula>0</formula>
    </cfRule>
  </conditionalFormatting>
  <conditionalFormatting sqref="O12">
    <cfRule type="cellIs" dxfId="203" priority="19" operator="lessThan">
      <formula>0</formula>
    </cfRule>
  </conditionalFormatting>
  <conditionalFormatting sqref="AH16">
    <cfRule type="cellIs" dxfId="202" priority="11" operator="equal">
      <formula>0</formula>
    </cfRule>
  </conditionalFormatting>
  <conditionalFormatting sqref="AH1:AH3 AH17 AH5:AH11 AH13:AH15">
    <cfRule type="cellIs" dxfId="201" priority="12" operator="equal">
      <formula>0</formula>
    </cfRule>
  </conditionalFormatting>
  <conditionalFormatting sqref="AA14:AA18">
    <cfRule type="cellIs" dxfId="200" priority="10" operator="equal">
      <formula>0</formula>
    </cfRule>
  </conditionalFormatting>
  <conditionalFormatting sqref="AI5:AI9 AI11:AI19">
    <cfRule type="cellIs" dxfId="199" priority="8" operator="equal">
      <formula>0</formula>
    </cfRule>
  </conditionalFormatting>
  <conditionalFormatting sqref="AJ16">
    <cfRule type="cellIs" dxfId="198" priority="5" operator="equal">
      <formula>0</formula>
    </cfRule>
  </conditionalFormatting>
  <conditionalFormatting sqref="AJ1:AJ3 AJ17 AJ5:AJ11 AJ13:AJ15">
    <cfRule type="cellIs" dxfId="197" priority="6" operator="equal">
      <formula>0</formula>
    </cfRule>
  </conditionalFormatting>
  <conditionalFormatting sqref="AK5:AK9 AK11:AK19">
    <cfRule type="cellIs" dxfId="196" priority="4" operator="equal">
      <formula>0</formula>
    </cfRule>
  </conditionalFormatting>
  <conditionalFormatting sqref="AL1:AL2 AL17 AL4:AL11 AL13:AL15">
    <cfRule type="cellIs" dxfId="195" priority="3" operator="equal">
      <formula>0</formula>
    </cfRule>
  </conditionalFormatting>
  <conditionalFormatting sqref="AL16">
    <cfRule type="cellIs" dxfId="194" priority="2" operator="equal">
      <formula>0</formula>
    </cfRule>
  </conditionalFormatting>
  <conditionalFormatting sqref="V3:AA3">
    <cfRule type="cellIs" dxfId="19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2"/>
  <sheetViews>
    <sheetView showZeros="0" rightToLeft="1" workbookViewId="0">
      <pane xSplit="5" ySplit="4" topLeftCell="F17" activePane="bottomRight" state="frozen"/>
      <selection activeCell="F25" sqref="F25"/>
      <selection pane="topRight" activeCell="F25" sqref="F25"/>
      <selection pane="bottomLeft" activeCell="F25" sqref="F25"/>
      <selection pane="bottomRight" sqref="A1:AC21"/>
    </sheetView>
  </sheetViews>
  <sheetFormatPr defaultColWidth="8.33203125" defaultRowHeight="13.2"/>
  <cols>
    <col min="1" max="1" width="3.5546875" style="157" customWidth="1"/>
    <col min="2" max="2" width="5.5546875" style="157" customWidth="1"/>
    <col min="3" max="3" width="17.6640625" style="157" customWidth="1"/>
    <col min="4" max="4" width="10" style="157" customWidth="1"/>
    <col min="5" max="5" width="9.44140625" style="157" hidden="1" customWidth="1"/>
    <col min="6" max="6" width="9.6640625" style="157" hidden="1" customWidth="1"/>
    <col min="7" max="7" width="14" style="157" hidden="1" customWidth="1"/>
    <col min="8" max="8" width="13" style="157" hidden="1" customWidth="1"/>
    <col min="9" max="9" width="9.109375" style="157" hidden="1" customWidth="1"/>
    <col min="10" max="10" width="10.5546875" style="157" hidden="1" customWidth="1"/>
    <col min="11" max="11" width="10" style="157" hidden="1" customWidth="1"/>
    <col min="12" max="12" width="10.109375" style="157" customWidth="1"/>
    <col min="13" max="13" width="8.109375" style="157" customWidth="1"/>
    <col min="14" max="14" width="9.5546875" style="157" customWidth="1"/>
    <col min="15" max="15" width="8.44140625" style="157" customWidth="1"/>
    <col min="16" max="19" width="9.109375" style="157" hidden="1" customWidth="1"/>
    <col min="20" max="20" width="8.33203125" style="157" customWidth="1"/>
    <col min="21" max="21" width="10.109375" style="157" customWidth="1"/>
    <col min="22" max="22" width="9.109375" style="157" customWidth="1"/>
    <col min="23" max="23" width="9.5546875" style="157" customWidth="1"/>
    <col min="24" max="26" width="8.33203125" style="157" hidden="1" customWidth="1"/>
    <col min="27" max="27" width="9.109375" style="157" customWidth="1"/>
    <col min="28" max="28" width="33.33203125" style="157" hidden="1" customWidth="1"/>
    <col min="29" max="29" width="8.33203125" style="157" customWidth="1"/>
    <col min="30" max="30" width="22.109375" style="157" customWidth="1"/>
    <col min="31" max="33" width="20.33203125" style="157" customWidth="1"/>
    <col min="34" max="34" width="8.6640625" style="157" customWidth="1"/>
    <col min="35" max="35" width="21.5546875" style="157" customWidth="1"/>
    <col min="36" max="36" width="14.109375" style="157" customWidth="1"/>
    <col min="37" max="16384" width="8.33203125" style="157"/>
  </cols>
  <sheetData>
    <row r="1" spans="1:53" ht="18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O1" s="375"/>
      <c r="P1" s="375"/>
      <c r="Q1" s="375"/>
      <c r="R1" s="375"/>
      <c r="S1" s="375"/>
      <c r="T1" s="375"/>
      <c r="U1" s="375"/>
      <c r="V1" s="375"/>
      <c r="W1" s="375"/>
      <c r="X1" s="376"/>
      <c r="Y1" s="376"/>
      <c r="Z1" s="376"/>
      <c r="AA1" s="377"/>
      <c r="AB1" s="377"/>
      <c r="AC1" s="377"/>
    </row>
    <row r="2" spans="1:53" ht="18">
      <c r="A2" s="375" t="s">
        <v>301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8"/>
      <c r="Y2" s="378"/>
      <c r="Z2" s="378"/>
      <c r="AA2" s="378"/>
      <c r="AB2" s="379"/>
      <c r="AC2" s="378"/>
    </row>
    <row r="3" spans="1:53" ht="13.8">
      <c r="A3" s="378"/>
      <c r="B3" s="378"/>
      <c r="C3" s="378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78"/>
      <c r="V3" s="378"/>
      <c r="W3" s="378"/>
      <c r="X3" s="378"/>
      <c r="Y3" s="378"/>
      <c r="Z3" s="378"/>
      <c r="AA3" s="378"/>
      <c r="AB3" s="378"/>
      <c r="AC3" s="378"/>
    </row>
    <row r="4" spans="1:53" ht="73.5" customHeight="1">
      <c r="A4" s="130" t="s">
        <v>0</v>
      </c>
      <c r="B4" s="381" t="s">
        <v>413</v>
      </c>
      <c r="C4" s="381" t="s">
        <v>2</v>
      </c>
      <c r="D4" s="381" t="s">
        <v>752</v>
      </c>
      <c r="E4" s="381" t="s">
        <v>4</v>
      </c>
      <c r="F4" s="381" t="s">
        <v>5</v>
      </c>
      <c r="G4" s="381" t="s">
        <v>6</v>
      </c>
      <c r="H4" s="381" t="s">
        <v>7</v>
      </c>
      <c r="I4" s="381" t="s">
        <v>9</v>
      </c>
      <c r="J4" s="381" t="s">
        <v>125</v>
      </c>
      <c r="K4" s="381" t="s">
        <v>10</v>
      </c>
      <c r="L4" s="381" t="s">
        <v>11</v>
      </c>
      <c r="M4" s="381" t="s">
        <v>707</v>
      </c>
      <c r="N4" s="381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381" t="s">
        <v>13</v>
      </c>
      <c r="W4" s="381" t="s">
        <v>14</v>
      </c>
      <c r="X4" s="381" t="s">
        <v>15</v>
      </c>
      <c r="Y4" s="381" t="s">
        <v>214</v>
      </c>
      <c r="Z4" s="381" t="s">
        <v>502</v>
      </c>
      <c r="AA4" s="381" t="s">
        <v>75</v>
      </c>
      <c r="AB4" s="382" t="s">
        <v>242</v>
      </c>
      <c r="AC4" s="381" t="s">
        <v>16</v>
      </c>
    </row>
    <row r="5" spans="1:53" ht="13.8">
      <c r="A5" s="383">
        <v>1</v>
      </c>
      <c r="B5" s="383" t="e">
        <f>#REF!</f>
        <v>#REF!</v>
      </c>
      <c r="C5" s="412" t="e">
        <f>#REF!</f>
        <v>#REF!</v>
      </c>
      <c r="D5" s="384" t="e">
        <f>#REF!</f>
        <v>#REF!</v>
      </c>
      <c r="E5" s="384" t="e">
        <f>#REF!</f>
        <v>#REF!</v>
      </c>
      <c r="F5" s="384" t="e">
        <f>#REF!</f>
        <v>#REF!</v>
      </c>
      <c r="G5" s="384" t="e">
        <f>#REF!</f>
        <v>#REF!</v>
      </c>
      <c r="H5" s="384" t="e">
        <f>#REF!</f>
        <v>#REF!</v>
      </c>
      <c r="I5" s="384" t="e">
        <f>#REF!</f>
        <v>#REF!</v>
      </c>
      <c r="J5" s="384" t="e">
        <f>#REF!</f>
        <v>#REF!</v>
      </c>
      <c r="K5" s="384" t="e">
        <f>#REF!</f>
        <v>#REF!</v>
      </c>
      <c r="L5" s="384" t="e">
        <f>#REF!</f>
        <v>#REF!</v>
      </c>
      <c r="M5" s="384" t="e">
        <f>#REF!</f>
        <v>#REF!</v>
      </c>
      <c r="N5" s="384" t="e">
        <f>#REF!</f>
        <v>#REF!</v>
      </c>
      <c r="O5" s="384" t="e">
        <f>#REF!</f>
        <v>#REF!</v>
      </c>
      <c r="P5" s="384" t="e">
        <f>#REF!</f>
        <v>#REF!</v>
      </c>
      <c r="Q5" s="384" t="e">
        <f>#REF!</f>
        <v>#REF!</v>
      </c>
      <c r="R5" s="384" t="e">
        <f>#REF!</f>
        <v>#REF!</v>
      </c>
      <c r="S5" s="384" t="e">
        <f>#REF!</f>
        <v>#REF!</v>
      </c>
      <c r="T5" s="384" t="e">
        <f>#REF!</f>
        <v>#REF!</v>
      </c>
      <c r="U5" s="384" t="e">
        <f>#REF!</f>
        <v>#REF!</v>
      </c>
      <c r="V5" s="384" t="e">
        <f>#REF!</f>
        <v>#REF!</v>
      </c>
      <c r="W5" s="384" t="e">
        <f>#REF!</f>
        <v>#REF!</v>
      </c>
      <c r="X5" s="384" t="e">
        <f>#REF!</f>
        <v>#REF!</v>
      </c>
      <c r="Y5" s="384" t="e">
        <f>#REF!</f>
        <v>#REF!</v>
      </c>
      <c r="Z5" s="384" t="e">
        <f>#REF!</f>
        <v>#REF!</v>
      </c>
      <c r="AA5" s="384" t="e">
        <f>#REF!</f>
        <v>#REF!</v>
      </c>
      <c r="AB5" s="412" t="e">
        <f>#REF!</f>
        <v>#REF!</v>
      </c>
      <c r="AC5" s="383" t="e">
        <f>#REF!</f>
        <v>#REF!</v>
      </c>
    </row>
    <row r="6" spans="1:53" ht="13.8">
      <c r="A6" s="383">
        <f>1+A5</f>
        <v>2</v>
      </c>
      <c r="B6" s="383" t="e">
        <f>#REF!</f>
        <v>#REF!</v>
      </c>
      <c r="C6" s="412" t="e">
        <f>#REF!</f>
        <v>#REF!</v>
      </c>
      <c r="D6" s="384" t="e">
        <f>#REF!</f>
        <v>#REF!</v>
      </c>
      <c r="E6" s="384" t="e">
        <f>#REF!</f>
        <v>#REF!</v>
      </c>
      <c r="F6" s="384" t="e">
        <f>#REF!</f>
        <v>#REF!</v>
      </c>
      <c r="G6" s="384" t="e">
        <f>#REF!</f>
        <v>#REF!</v>
      </c>
      <c r="H6" s="384" t="e">
        <f>#REF!</f>
        <v>#REF!</v>
      </c>
      <c r="I6" s="384" t="e">
        <f>#REF!</f>
        <v>#REF!</v>
      </c>
      <c r="J6" s="384" t="e">
        <f>#REF!</f>
        <v>#REF!</v>
      </c>
      <c r="K6" s="384" t="e">
        <f>#REF!</f>
        <v>#REF!</v>
      </c>
      <c r="L6" s="384" t="e">
        <f>#REF!</f>
        <v>#REF!</v>
      </c>
      <c r="M6" s="384" t="e">
        <f>#REF!</f>
        <v>#REF!</v>
      </c>
      <c r="N6" s="384" t="e">
        <f>#REF!</f>
        <v>#REF!</v>
      </c>
      <c r="O6" s="384" t="e">
        <f>#REF!</f>
        <v>#REF!</v>
      </c>
      <c r="P6" s="384" t="e">
        <f>#REF!</f>
        <v>#REF!</v>
      </c>
      <c r="Q6" s="384" t="e">
        <f>#REF!</f>
        <v>#REF!</v>
      </c>
      <c r="R6" s="384" t="e">
        <f>#REF!</f>
        <v>#REF!</v>
      </c>
      <c r="S6" s="384" t="e">
        <f>#REF!</f>
        <v>#REF!</v>
      </c>
      <c r="T6" s="384" t="e">
        <f>#REF!</f>
        <v>#REF!</v>
      </c>
      <c r="U6" s="384" t="e">
        <f>#REF!</f>
        <v>#REF!</v>
      </c>
      <c r="V6" s="384" t="e">
        <f>#REF!</f>
        <v>#REF!</v>
      </c>
      <c r="W6" s="384" t="e">
        <f>#REF!</f>
        <v>#REF!</v>
      </c>
      <c r="X6" s="384" t="e">
        <f>#REF!</f>
        <v>#REF!</v>
      </c>
      <c r="Y6" s="384" t="e">
        <f>#REF!</f>
        <v>#REF!</v>
      </c>
      <c r="Z6" s="384" t="e">
        <f>#REF!</f>
        <v>#REF!</v>
      </c>
      <c r="AA6" s="384" t="e">
        <f>#REF!</f>
        <v>#REF!</v>
      </c>
      <c r="AB6" s="412" t="e">
        <f>#REF!</f>
        <v>#REF!</v>
      </c>
      <c r="AC6" s="383" t="e">
        <f>#REF!</f>
        <v>#REF!</v>
      </c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5"/>
      <c r="AY6" s="5"/>
      <c r="AZ6" s="5"/>
      <c r="BA6" s="5"/>
    </row>
    <row r="7" spans="1:53" ht="45" customHeight="1">
      <c r="A7" s="383">
        <f>1+A6</f>
        <v>3</v>
      </c>
      <c r="B7" s="383" t="e">
        <f>#REF!</f>
        <v>#REF!</v>
      </c>
      <c r="C7" s="412" t="e">
        <f>#REF!</f>
        <v>#REF!</v>
      </c>
      <c r="D7" s="384" t="e">
        <f>#REF!</f>
        <v>#REF!</v>
      </c>
      <c r="E7" s="384" t="e">
        <f>#REF!</f>
        <v>#REF!</v>
      </c>
      <c r="F7" s="384" t="e">
        <f>#REF!</f>
        <v>#REF!</v>
      </c>
      <c r="G7" s="384" t="e">
        <f>#REF!</f>
        <v>#REF!</v>
      </c>
      <c r="H7" s="384" t="e">
        <f>#REF!</f>
        <v>#REF!</v>
      </c>
      <c r="I7" s="384" t="e">
        <f>#REF!</f>
        <v>#REF!</v>
      </c>
      <c r="J7" s="384" t="e">
        <f>#REF!</f>
        <v>#REF!</v>
      </c>
      <c r="K7" s="384" t="e">
        <f>#REF!</f>
        <v>#REF!</v>
      </c>
      <c r="L7" s="384" t="e">
        <f>#REF!</f>
        <v>#REF!</v>
      </c>
      <c r="M7" s="384" t="e">
        <f>#REF!</f>
        <v>#REF!</v>
      </c>
      <c r="N7" s="384" t="e">
        <f>#REF!</f>
        <v>#REF!</v>
      </c>
      <c r="O7" s="384" t="e">
        <f>#REF!</f>
        <v>#REF!</v>
      </c>
      <c r="P7" s="384" t="e">
        <f>#REF!</f>
        <v>#REF!</v>
      </c>
      <c r="Q7" s="384" t="e">
        <f>#REF!</f>
        <v>#REF!</v>
      </c>
      <c r="R7" s="384" t="e">
        <f>#REF!</f>
        <v>#REF!</v>
      </c>
      <c r="S7" s="384" t="e">
        <f>#REF!</f>
        <v>#REF!</v>
      </c>
      <c r="T7" s="384" t="e">
        <f>#REF!</f>
        <v>#REF!</v>
      </c>
      <c r="U7" s="384" t="e">
        <f>#REF!</f>
        <v>#REF!</v>
      </c>
      <c r="V7" s="384" t="e">
        <f>#REF!</f>
        <v>#REF!</v>
      </c>
      <c r="W7" s="384" t="e">
        <f>#REF!</f>
        <v>#REF!</v>
      </c>
      <c r="X7" s="384" t="e">
        <f>#REF!</f>
        <v>#REF!</v>
      </c>
      <c r="Y7" s="384" t="e">
        <f>#REF!</f>
        <v>#REF!</v>
      </c>
      <c r="Z7" s="384" t="e">
        <f>#REF!</f>
        <v>#REF!</v>
      </c>
      <c r="AA7" s="384" t="e">
        <f>#REF!</f>
        <v>#REF!</v>
      </c>
      <c r="AB7" s="412" t="e">
        <f>#REF!</f>
        <v>#REF!</v>
      </c>
      <c r="AC7" s="383" t="e">
        <f>#REF!</f>
        <v>#REF!</v>
      </c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</row>
    <row r="8" spans="1:53" s="303" customFormat="1" ht="45" customHeight="1">
      <c r="A8" s="410"/>
      <c r="B8" s="410"/>
      <c r="C8" s="413" t="s">
        <v>535</v>
      </c>
      <c r="D8" s="411" t="e">
        <f>SUM(D5:D7)</f>
        <v>#REF!</v>
      </c>
      <c r="E8" s="411" t="e">
        <f t="shared" ref="E8:AA8" si="0">SUM(E5:E7)</f>
        <v>#REF!</v>
      </c>
      <c r="F8" s="411" t="e">
        <f t="shared" si="0"/>
        <v>#REF!</v>
      </c>
      <c r="G8" s="411" t="e">
        <f t="shared" si="0"/>
        <v>#REF!</v>
      </c>
      <c r="H8" s="411" t="e">
        <f t="shared" si="0"/>
        <v>#REF!</v>
      </c>
      <c r="I8" s="411" t="e">
        <f t="shared" si="0"/>
        <v>#REF!</v>
      </c>
      <c r="J8" s="411" t="e">
        <f t="shared" si="0"/>
        <v>#REF!</v>
      </c>
      <c r="K8" s="411" t="e">
        <f t="shared" si="0"/>
        <v>#REF!</v>
      </c>
      <c r="L8" s="411" t="e">
        <f t="shared" si="0"/>
        <v>#REF!</v>
      </c>
      <c r="M8" s="411" t="e">
        <f t="shared" si="0"/>
        <v>#REF!</v>
      </c>
      <c r="N8" s="411" t="e">
        <f t="shared" si="0"/>
        <v>#REF!</v>
      </c>
      <c r="O8" s="411" t="e">
        <f t="shared" si="0"/>
        <v>#REF!</v>
      </c>
      <c r="P8" s="411" t="e">
        <f t="shared" si="0"/>
        <v>#REF!</v>
      </c>
      <c r="Q8" s="411" t="e">
        <f t="shared" si="0"/>
        <v>#REF!</v>
      </c>
      <c r="R8" s="411" t="e">
        <f t="shared" si="0"/>
        <v>#REF!</v>
      </c>
      <c r="S8" s="411" t="e">
        <f t="shared" si="0"/>
        <v>#REF!</v>
      </c>
      <c r="T8" s="411" t="e">
        <f t="shared" si="0"/>
        <v>#REF!</v>
      </c>
      <c r="U8" s="411" t="e">
        <f t="shared" si="0"/>
        <v>#REF!</v>
      </c>
      <c r="V8" s="411" t="e">
        <f t="shared" si="0"/>
        <v>#REF!</v>
      </c>
      <c r="W8" s="411" t="e">
        <f t="shared" si="0"/>
        <v>#REF!</v>
      </c>
      <c r="X8" s="411" t="e">
        <f t="shared" si="0"/>
        <v>#REF!</v>
      </c>
      <c r="Y8" s="411" t="e">
        <f t="shared" si="0"/>
        <v>#REF!</v>
      </c>
      <c r="Z8" s="411" t="e">
        <f t="shared" si="0"/>
        <v>#REF!</v>
      </c>
      <c r="AA8" s="411" t="e">
        <f t="shared" si="0"/>
        <v>#REF!</v>
      </c>
      <c r="AB8" s="413"/>
      <c r="AC8" s="410"/>
      <c r="AH8" s="374"/>
      <c r="AI8" s="374"/>
      <c r="AJ8" s="374"/>
      <c r="AK8" s="374"/>
      <c r="AL8" s="374"/>
      <c r="AM8" s="374"/>
      <c r="AN8" s="374"/>
      <c r="AO8" s="374"/>
      <c r="AP8" s="374"/>
      <c r="AQ8" s="374"/>
      <c r="AR8" s="374"/>
      <c r="AS8" s="374"/>
      <c r="AT8" s="374"/>
      <c r="AU8" s="374"/>
      <c r="AV8" s="374"/>
      <c r="AW8" s="374"/>
      <c r="AX8" s="374"/>
      <c r="AY8" s="374"/>
      <c r="AZ8" s="374"/>
      <c r="BA8" s="374"/>
    </row>
    <row r="9" spans="1:53" ht="13.8">
      <c r="A9" s="383">
        <f>1+A7</f>
        <v>4</v>
      </c>
      <c r="B9" s="383" t="e">
        <f>#REF!</f>
        <v>#REF!</v>
      </c>
      <c r="C9" s="412" t="e">
        <f>#REF!</f>
        <v>#REF!</v>
      </c>
      <c r="D9" s="384" t="e">
        <f>#REF!</f>
        <v>#REF!</v>
      </c>
      <c r="E9" s="384" t="e">
        <f>#REF!</f>
        <v>#REF!</v>
      </c>
      <c r="F9" s="384" t="e">
        <f>#REF!</f>
        <v>#REF!</v>
      </c>
      <c r="G9" s="384" t="e">
        <f>#REF!</f>
        <v>#REF!</v>
      </c>
      <c r="H9" s="384" t="e">
        <f>#REF!</f>
        <v>#REF!</v>
      </c>
      <c r="I9" s="384" t="e">
        <f>#REF!</f>
        <v>#REF!</v>
      </c>
      <c r="J9" s="384" t="e">
        <f>#REF!</f>
        <v>#REF!</v>
      </c>
      <c r="K9" s="384" t="e">
        <f>#REF!</f>
        <v>#REF!</v>
      </c>
      <c r="L9" s="384" t="e">
        <f>#REF!</f>
        <v>#REF!</v>
      </c>
      <c r="M9" s="384" t="e">
        <f>#REF!</f>
        <v>#REF!</v>
      </c>
      <c r="N9" s="384" t="e">
        <f>#REF!</f>
        <v>#REF!</v>
      </c>
      <c r="O9" s="384" t="e">
        <f>#REF!</f>
        <v>#REF!</v>
      </c>
      <c r="P9" s="384" t="e">
        <f>#REF!</f>
        <v>#REF!</v>
      </c>
      <c r="Q9" s="384" t="e">
        <f>#REF!</f>
        <v>#REF!</v>
      </c>
      <c r="R9" s="384" t="e">
        <f>#REF!</f>
        <v>#REF!</v>
      </c>
      <c r="S9" s="384" t="e">
        <f>#REF!</f>
        <v>#REF!</v>
      </c>
      <c r="T9" s="384" t="e">
        <f>#REF!</f>
        <v>#REF!</v>
      </c>
      <c r="U9" s="384" t="e">
        <f>#REF!</f>
        <v>#REF!</v>
      </c>
      <c r="V9" s="384" t="e">
        <f>#REF!</f>
        <v>#REF!</v>
      </c>
      <c r="W9" s="384" t="e">
        <f>#REF!</f>
        <v>#REF!</v>
      </c>
      <c r="X9" s="384" t="e">
        <f>#REF!</f>
        <v>#REF!</v>
      </c>
      <c r="Y9" s="384" t="e">
        <f>#REF!</f>
        <v>#REF!</v>
      </c>
      <c r="Z9" s="384" t="e">
        <f>#REF!</f>
        <v>#REF!</v>
      </c>
      <c r="AA9" s="384" t="e">
        <f>#REF!</f>
        <v>#REF!</v>
      </c>
      <c r="AB9" s="412" t="e">
        <f>#REF!</f>
        <v>#REF!</v>
      </c>
      <c r="AC9" s="383" t="e">
        <f>#REF!</f>
        <v>#REF!</v>
      </c>
    </row>
    <row r="10" spans="1:53" s="303" customFormat="1" ht="45" customHeight="1">
      <c r="A10" s="410"/>
      <c r="B10" s="410"/>
      <c r="C10" s="413" t="s">
        <v>536</v>
      </c>
      <c r="D10" s="411" t="e">
        <f>SUM(D9)</f>
        <v>#REF!</v>
      </c>
      <c r="E10" s="411" t="e">
        <f t="shared" ref="E10:AA10" si="1">SUM(E9)</f>
        <v>#REF!</v>
      </c>
      <c r="F10" s="411" t="e">
        <f t="shared" si="1"/>
        <v>#REF!</v>
      </c>
      <c r="G10" s="411" t="e">
        <f t="shared" si="1"/>
        <v>#REF!</v>
      </c>
      <c r="H10" s="411" t="e">
        <f t="shared" si="1"/>
        <v>#REF!</v>
      </c>
      <c r="I10" s="411" t="e">
        <f t="shared" si="1"/>
        <v>#REF!</v>
      </c>
      <c r="J10" s="411" t="e">
        <f t="shared" si="1"/>
        <v>#REF!</v>
      </c>
      <c r="K10" s="411" t="e">
        <f t="shared" si="1"/>
        <v>#REF!</v>
      </c>
      <c r="L10" s="411" t="e">
        <f t="shared" si="1"/>
        <v>#REF!</v>
      </c>
      <c r="M10" s="411" t="e">
        <f t="shared" si="1"/>
        <v>#REF!</v>
      </c>
      <c r="N10" s="411" t="e">
        <f t="shared" si="1"/>
        <v>#REF!</v>
      </c>
      <c r="O10" s="411" t="e">
        <f t="shared" si="1"/>
        <v>#REF!</v>
      </c>
      <c r="P10" s="411" t="e">
        <f t="shared" si="1"/>
        <v>#REF!</v>
      </c>
      <c r="Q10" s="411" t="e">
        <f t="shared" si="1"/>
        <v>#REF!</v>
      </c>
      <c r="R10" s="411" t="e">
        <f t="shared" si="1"/>
        <v>#REF!</v>
      </c>
      <c r="S10" s="411" t="e">
        <f t="shared" si="1"/>
        <v>#REF!</v>
      </c>
      <c r="T10" s="411" t="e">
        <f t="shared" si="1"/>
        <v>#REF!</v>
      </c>
      <c r="U10" s="411" t="e">
        <f t="shared" si="1"/>
        <v>#REF!</v>
      </c>
      <c r="V10" s="411" t="e">
        <f t="shared" si="1"/>
        <v>#REF!</v>
      </c>
      <c r="W10" s="411" t="e">
        <f t="shared" si="1"/>
        <v>#REF!</v>
      </c>
      <c r="X10" s="411" t="e">
        <f t="shared" si="1"/>
        <v>#REF!</v>
      </c>
      <c r="Y10" s="411" t="e">
        <f t="shared" si="1"/>
        <v>#REF!</v>
      </c>
      <c r="Z10" s="411" t="e">
        <f t="shared" si="1"/>
        <v>#REF!</v>
      </c>
      <c r="AA10" s="411" t="e">
        <f t="shared" si="1"/>
        <v>#REF!</v>
      </c>
      <c r="AB10" s="413"/>
      <c r="AC10" s="410"/>
    </row>
    <row r="11" spans="1:53" ht="13.8">
      <c r="A11" s="383">
        <f>1+A9</f>
        <v>5</v>
      </c>
      <c r="B11" s="383" t="e">
        <f>#REF!</f>
        <v>#REF!</v>
      </c>
      <c r="C11" s="412" t="e">
        <f>#REF!</f>
        <v>#REF!</v>
      </c>
      <c r="D11" s="384" t="e">
        <f>#REF!</f>
        <v>#REF!</v>
      </c>
      <c r="E11" s="384" t="e">
        <f>#REF!</f>
        <v>#REF!</v>
      </c>
      <c r="F11" s="384" t="e">
        <f>#REF!</f>
        <v>#REF!</v>
      </c>
      <c r="G11" s="384" t="e">
        <f>#REF!</f>
        <v>#REF!</v>
      </c>
      <c r="H11" s="384" t="e">
        <f>#REF!</f>
        <v>#REF!</v>
      </c>
      <c r="I11" s="384" t="e">
        <f>#REF!</f>
        <v>#REF!</v>
      </c>
      <c r="J11" s="384" t="e">
        <f>#REF!</f>
        <v>#REF!</v>
      </c>
      <c r="K11" s="384" t="e">
        <f>#REF!</f>
        <v>#REF!</v>
      </c>
      <c r="L11" s="384" t="e">
        <f>#REF!</f>
        <v>#REF!</v>
      </c>
      <c r="M11" s="384" t="e">
        <f>#REF!</f>
        <v>#REF!</v>
      </c>
      <c r="N11" s="384" t="e">
        <f>#REF!</f>
        <v>#REF!</v>
      </c>
      <c r="O11" s="384" t="e">
        <f>#REF!</f>
        <v>#REF!</v>
      </c>
      <c r="P11" s="384" t="e">
        <f>#REF!</f>
        <v>#REF!</v>
      </c>
      <c r="Q11" s="384" t="e">
        <f>#REF!</f>
        <v>#REF!</v>
      </c>
      <c r="R11" s="384" t="e">
        <f>#REF!</f>
        <v>#REF!</v>
      </c>
      <c r="S11" s="384" t="e">
        <f>#REF!</f>
        <v>#REF!</v>
      </c>
      <c r="T11" s="384" t="e">
        <f>#REF!</f>
        <v>#REF!</v>
      </c>
      <c r="U11" s="384" t="e">
        <f>#REF!</f>
        <v>#REF!</v>
      </c>
      <c r="V11" s="384" t="e">
        <f>#REF!</f>
        <v>#REF!</v>
      </c>
      <c r="W11" s="384" t="e">
        <f>#REF!</f>
        <v>#REF!</v>
      </c>
      <c r="X11" s="384" t="e">
        <f>#REF!</f>
        <v>#REF!</v>
      </c>
      <c r="Y11" s="384" t="e">
        <f>#REF!</f>
        <v>#REF!</v>
      </c>
      <c r="Z11" s="384" t="e">
        <f>#REF!</f>
        <v>#REF!</v>
      </c>
      <c r="AA11" s="384" t="e">
        <f>#REF!</f>
        <v>#REF!</v>
      </c>
      <c r="AB11" s="412" t="e">
        <f>#REF!</f>
        <v>#REF!</v>
      </c>
      <c r="AC11" s="383" t="e">
        <f>#REF!</f>
        <v>#REF!</v>
      </c>
    </row>
    <row r="12" spans="1:53" ht="48" customHeight="1">
      <c r="A12" s="383">
        <f>1+A11</f>
        <v>6</v>
      </c>
      <c r="B12" s="383" t="e">
        <f>#REF!</f>
        <v>#REF!</v>
      </c>
      <c r="C12" s="412" t="e">
        <f>#REF!</f>
        <v>#REF!</v>
      </c>
      <c r="D12" s="384" t="e">
        <f>#REF!</f>
        <v>#REF!</v>
      </c>
      <c r="E12" s="384" t="e">
        <f>#REF!</f>
        <v>#REF!</v>
      </c>
      <c r="F12" s="384" t="e">
        <f>#REF!</f>
        <v>#REF!</v>
      </c>
      <c r="G12" s="384" t="e">
        <f>#REF!</f>
        <v>#REF!</v>
      </c>
      <c r="H12" s="384" t="e">
        <f>#REF!</f>
        <v>#REF!</v>
      </c>
      <c r="I12" s="384" t="e">
        <f>#REF!</f>
        <v>#REF!</v>
      </c>
      <c r="J12" s="384" t="e">
        <f>#REF!</f>
        <v>#REF!</v>
      </c>
      <c r="K12" s="384" t="e">
        <f>#REF!</f>
        <v>#REF!</v>
      </c>
      <c r="L12" s="384" t="e">
        <f>#REF!</f>
        <v>#REF!</v>
      </c>
      <c r="M12" s="384" t="e">
        <f>#REF!</f>
        <v>#REF!</v>
      </c>
      <c r="N12" s="384" t="e">
        <f>#REF!</f>
        <v>#REF!</v>
      </c>
      <c r="O12" s="384" t="e">
        <f>#REF!</f>
        <v>#REF!</v>
      </c>
      <c r="P12" s="384" t="e">
        <f>#REF!</f>
        <v>#REF!</v>
      </c>
      <c r="Q12" s="384" t="e">
        <f>#REF!</f>
        <v>#REF!</v>
      </c>
      <c r="R12" s="384" t="e">
        <f>#REF!</f>
        <v>#REF!</v>
      </c>
      <c r="S12" s="384" t="e">
        <f>#REF!</f>
        <v>#REF!</v>
      </c>
      <c r="T12" s="384" t="e">
        <f>#REF!</f>
        <v>#REF!</v>
      </c>
      <c r="U12" s="384" t="e">
        <f>#REF!</f>
        <v>#REF!</v>
      </c>
      <c r="V12" s="384" t="e">
        <f>#REF!</f>
        <v>#REF!</v>
      </c>
      <c r="W12" s="384" t="e">
        <f>#REF!</f>
        <v>#REF!</v>
      </c>
      <c r="X12" s="384" t="e">
        <f>#REF!</f>
        <v>#REF!</v>
      </c>
      <c r="Y12" s="384" t="e">
        <f>#REF!</f>
        <v>#REF!</v>
      </c>
      <c r="Z12" s="384" t="e">
        <f>#REF!</f>
        <v>#REF!</v>
      </c>
      <c r="AA12" s="384" t="e">
        <f>#REF!</f>
        <v>#REF!</v>
      </c>
      <c r="AB12" s="412" t="e">
        <f>#REF!</f>
        <v>#REF!</v>
      </c>
      <c r="AC12" s="383" t="e">
        <f>#REF!</f>
        <v>#REF!</v>
      </c>
    </row>
    <row r="13" spans="1:53" ht="13.8">
      <c r="A13" s="383">
        <f>1+A12</f>
        <v>7</v>
      </c>
      <c r="B13" s="383" t="e">
        <f>#REF!</f>
        <v>#REF!</v>
      </c>
      <c r="C13" s="412" t="e">
        <f>#REF!</f>
        <v>#REF!</v>
      </c>
      <c r="D13" s="384" t="e">
        <f>#REF!</f>
        <v>#REF!</v>
      </c>
      <c r="E13" s="384" t="e">
        <f>#REF!</f>
        <v>#REF!</v>
      </c>
      <c r="F13" s="384" t="e">
        <f>#REF!</f>
        <v>#REF!</v>
      </c>
      <c r="G13" s="384" t="e">
        <f>#REF!</f>
        <v>#REF!</v>
      </c>
      <c r="H13" s="384" t="e">
        <f>#REF!</f>
        <v>#REF!</v>
      </c>
      <c r="I13" s="384" t="e">
        <f>#REF!</f>
        <v>#REF!</v>
      </c>
      <c r="J13" s="384" t="e">
        <f>#REF!</f>
        <v>#REF!</v>
      </c>
      <c r="K13" s="384" t="e">
        <f>#REF!</f>
        <v>#REF!</v>
      </c>
      <c r="L13" s="384" t="e">
        <f>#REF!</f>
        <v>#REF!</v>
      </c>
      <c r="M13" s="384" t="e">
        <f>#REF!</f>
        <v>#REF!</v>
      </c>
      <c r="N13" s="384" t="e">
        <f>#REF!</f>
        <v>#REF!</v>
      </c>
      <c r="O13" s="384" t="e">
        <f>#REF!</f>
        <v>#REF!</v>
      </c>
      <c r="P13" s="384" t="e">
        <f>#REF!</f>
        <v>#REF!</v>
      </c>
      <c r="Q13" s="384" t="e">
        <f>#REF!</f>
        <v>#REF!</v>
      </c>
      <c r="R13" s="384" t="e">
        <f>#REF!</f>
        <v>#REF!</v>
      </c>
      <c r="S13" s="384" t="e">
        <f>#REF!</f>
        <v>#REF!</v>
      </c>
      <c r="T13" s="384" t="e">
        <f>#REF!</f>
        <v>#REF!</v>
      </c>
      <c r="U13" s="384" t="e">
        <f>#REF!</f>
        <v>#REF!</v>
      </c>
      <c r="V13" s="384" t="e">
        <f>#REF!</f>
        <v>#REF!</v>
      </c>
      <c r="W13" s="384" t="e">
        <f>#REF!</f>
        <v>#REF!</v>
      </c>
      <c r="X13" s="384" t="e">
        <f>#REF!</f>
        <v>#REF!</v>
      </c>
      <c r="Y13" s="384" t="e">
        <f>#REF!</f>
        <v>#REF!</v>
      </c>
      <c r="Z13" s="384" t="e">
        <f>#REF!</f>
        <v>#REF!</v>
      </c>
      <c r="AA13" s="384" t="e">
        <f>#REF!</f>
        <v>#REF!</v>
      </c>
      <c r="AB13" s="412" t="e">
        <f>#REF!</f>
        <v>#REF!</v>
      </c>
      <c r="AC13" s="383" t="e">
        <f>#REF!</f>
        <v>#REF!</v>
      </c>
    </row>
    <row r="14" spans="1:53" ht="13.8">
      <c r="A14" s="383">
        <f>1+A13</f>
        <v>8</v>
      </c>
      <c r="B14" s="383" t="e">
        <f>#REF!</f>
        <v>#REF!</v>
      </c>
      <c r="C14" s="412" t="e">
        <f>#REF!</f>
        <v>#REF!</v>
      </c>
      <c r="D14" s="384" t="e">
        <f>#REF!</f>
        <v>#REF!</v>
      </c>
      <c r="E14" s="384" t="e">
        <f>#REF!</f>
        <v>#REF!</v>
      </c>
      <c r="F14" s="384" t="e">
        <f>#REF!</f>
        <v>#REF!</v>
      </c>
      <c r="G14" s="384" t="e">
        <f>#REF!</f>
        <v>#REF!</v>
      </c>
      <c r="H14" s="384" t="e">
        <f>#REF!</f>
        <v>#REF!</v>
      </c>
      <c r="I14" s="384" t="e">
        <f>#REF!</f>
        <v>#REF!</v>
      </c>
      <c r="J14" s="384" t="e">
        <f>#REF!</f>
        <v>#REF!</v>
      </c>
      <c r="K14" s="384" t="e">
        <f>#REF!</f>
        <v>#REF!</v>
      </c>
      <c r="L14" s="384" t="e">
        <f>#REF!</f>
        <v>#REF!</v>
      </c>
      <c r="M14" s="384" t="e">
        <f>#REF!</f>
        <v>#REF!</v>
      </c>
      <c r="N14" s="384" t="e">
        <f>#REF!</f>
        <v>#REF!</v>
      </c>
      <c r="O14" s="384" t="e">
        <f>#REF!</f>
        <v>#REF!</v>
      </c>
      <c r="P14" s="384" t="e">
        <f>#REF!</f>
        <v>#REF!</v>
      </c>
      <c r="Q14" s="384" t="e">
        <f>#REF!</f>
        <v>#REF!</v>
      </c>
      <c r="R14" s="384" t="e">
        <f>#REF!</f>
        <v>#REF!</v>
      </c>
      <c r="S14" s="384" t="e">
        <f>#REF!</f>
        <v>#REF!</v>
      </c>
      <c r="T14" s="384" t="e">
        <f>#REF!</f>
        <v>#REF!</v>
      </c>
      <c r="U14" s="384" t="e">
        <f>#REF!</f>
        <v>#REF!</v>
      </c>
      <c r="V14" s="384" t="e">
        <f>#REF!</f>
        <v>#REF!</v>
      </c>
      <c r="W14" s="384" t="e">
        <f>#REF!</f>
        <v>#REF!</v>
      </c>
      <c r="X14" s="384" t="e">
        <f>#REF!</f>
        <v>#REF!</v>
      </c>
      <c r="Y14" s="384" t="e">
        <f>#REF!</f>
        <v>#REF!</v>
      </c>
      <c r="Z14" s="384" t="e">
        <f>#REF!</f>
        <v>#REF!</v>
      </c>
      <c r="AA14" s="384" t="e">
        <f>#REF!</f>
        <v>#REF!</v>
      </c>
      <c r="AB14" s="412" t="e">
        <f>#REF!</f>
        <v>#REF!</v>
      </c>
      <c r="AC14" s="383" t="e">
        <f>#REF!</f>
        <v>#REF!</v>
      </c>
    </row>
    <row r="15" spans="1:53" s="303" customFormat="1" ht="28.95" customHeight="1">
      <c r="A15" s="410"/>
      <c r="B15" s="410"/>
      <c r="C15" s="413" t="s">
        <v>527</v>
      </c>
      <c r="D15" s="411" t="e">
        <f>SUM(D11:D14)</f>
        <v>#REF!</v>
      </c>
      <c r="E15" s="411" t="e">
        <f t="shared" ref="E15:AA15" si="2">SUM(E11:E14)</f>
        <v>#REF!</v>
      </c>
      <c r="F15" s="411" t="e">
        <f t="shared" si="2"/>
        <v>#REF!</v>
      </c>
      <c r="G15" s="411" t="e">
        <f t="shared" si="2"/>
        <v>#REF!</v>
      </c>
      <c r="H15" s="411" t="e">
        <f t="shared" si="2"/>
        <v>#REF!</v>
      </c>
      <c r="I15" s="411" t="e">
        <f t="shared" si="2"/>
        <v>#REF!</v>
      </c>
      <c r="J15" s="411" t="e">
        <f t="shared" si="2"/>
        <v>#REF!</v>
      </c>
      <c r="K15" s="411" t="e">
        <f t="shared" si="2"/>
        <v>#REF!</v>
      </c>
      <c r="L15" s="411" t="e">
        <f t="shared" si="2"/>
        <v>#REF!</v>
      </c>
      <c r="M15" s="411" t="e">
        <f t="shared" si="2"/>
        <v>#REF!</v>
      </c>
      <c r="N15" s="411" t="e">
        <f t="shared" si="2"/>
        <v>#REF!</v>
      </c>
      <c r="O15" s="411" t="e">
        <f t="shared" si="2"/>
        <v>#REF!</v>
      </c>
      <c r="P15" s="411" t="e">
        <f t="shared" si="2"/>
        <v>#REF!</v>
      </c>
      <c r="Q15" s="411" t="e">
        <f t="shared" si="2"/>
        <v>#REF!</v>
      </c>
      <c r="R15" s="411" t="e">
        <f t="shared" si="2"/>
        <v>#REF!</v>
      </c>
      <c r="S15" s="411" t="e">
        <f t="shared" si="2"/>
        <v>#REF!</v>
      </c>
      <c r="T15" s="411" t="e">
        <f t="shared" si="2"/>
        <v>#REF!</v>
      </c>
      <c r="U15" s="411" t="e">
        <f t="shared" si="2"/>
        <v>#REF!</v>
      </c>
      <c r="V15" s="411" t="e">
        <f t="shared" si="2"/>
        <v>#REF!</v>
      </c>
      <c r="W15" s="411" t="e">
        <f t="shared" si="2"/>
        <v>#REF!</v>
      </c>
      <c r="X15" s="411" t="e">
        <f t="shared" si="2"/>
        <v>#REF!</v>
      </c>
      <c r="Y15" s="411" t="e">
        <f t="shared" si="2"/>
        <v>#REF!</v>
      </c>
      <c r="Z15" s="411" t="e">
        <f t="shared" si="2"/>
        <v>#REF!</v>
      </c>
      <c r="AA15" s="411" t="e">
        <f t="shared" si="2"/>
        <v>#REF!</v>
      </c>
      <c r="AB15" s="413"/>
      <c r="AC15" s="410"/>
    </row>
    <row r="16" spans="1:53" ht="45" customHeight="1">
      <c r="A16" s="383">
        <f>1+A14</f>
        <v>9</v>
      </c>
      <c r="B16" s="383" t="e">
        <f>#REF!</f>
        <v>#REF!</v>
      </c>
      <c r="C16" s="412" t="e">
        <f>#REF!</f>
        <v>#REF!</v>
      </c>
      <c r="D16" s="384" t="e">
        <f>#REF!</f>
        <v>#REF!</v>
      </c>
      <c r="E16" s="384" t="e">
        <f>#REF!</f>
        <v>#REF!</v>
      </c>
      <c r="F16" s="384" t="e">
        <f>#REF!</f>
        <v>#REF!</v>
      </c>
      <c r="G16" s="384" t="e">
        <f>#REF!</f>
        <v>#REF!</v>
      </c>
      <c r="H16" s="384" t="e">
        <f>#REF!</f>
        <v>#REF!</v>
      </c>
      <c r="I16" s="384" t="e">
        <f>#REF!</f>
        <v>#REF!</v>
      </c>
      <c r="J16" s="384" t="e">
        <f>#REF!</f>
        <v>#REF!</v>
      </c>
      <c r="K16" s="384" t="e">
        <f>#REF!</f>
        <v>#REF!</v>
      </c>
      <c r="L16" s="384" t="e">
        <f>#REF!</f>
        <v>#REF!</v>
      </c>
      <c r="M16" s="384" t="e">
        <f>#REF!</f>
        <v>#REF!</v>
      </c>
      <c r="N16" s="384" t="e">
        <f>#REF!</f>
        <v>#REF!</v>
      </c>
      <c r="O16" s="384" t="e">
        <f>#REF!</f>
        <v>#REF!</v>
      </c>
      <c r="P16" s="384" t="e">
        <f>#REF!</f>
        <v>#REF!</v>
      </c>
      <c r="Q16" s="384" t="e">
        <f>#REF!</f>
        <v>#REF!</v>
      </c>
      <c r="R16" s="384" t="e">
        <f>#REF!</f>
        <v>#REF!</v>
      </c>
      <c r="S16" s="384" t="e">
        <f>#REF!</f>
        <v>#REF!</v>
      </c>
      <c r="T16" s="384" t="e">
        <f>#REF!</f>
        <v>#REF!</v>
      </c>
      <c r="U16" s="384" t="e">
        <f>#REF!</f>
        <v>#REF!</v>
      </c>
      <c r="V16" s="384" t="e">
        <f>#REF!</f>
        <v>#REF!</v>
      </c>
      <c r="W16" s="384" t="e">
        <f>#REF!</f>
        <v>#REF!</v>
      </c>
      <c r="X16" s="384" t="e">
        <f>#REF!</f>
        <v>#REF!</v>
      </c>
      <c r="Y16" s="384" t="e">
        <f>#REF!</f>
        <v>#REF!</v>
      </c>
      <c r="Z16" s="384" t="e">
        <f>#REF!</f>
        <v>#REF!</v>
      </c>
      <c r="AA16" s="384" t="e">
        <f>#REF!</f>
        <v>#REF!</v>
      </c>
      <c r="AB16" s="412" t="e">
        <f>#REF!</f>
        <v>#REF!</v>
      </c>
      <c r="AC16" s="383" t="e">
        <f>#REF!</f>
        <v>#REF!</v>
      </c>
    </row>
    <row r="17" spans="1:53" s="5" customFormat="1" ht="45" customHeight="1">
      <c r="A17" s="383">
        <f>1+A16</f>
        <v>10</v>
      </c>
      <c r="B17" s="383" t="e">
        <f>#REF!</f>
        <v>#REF!</v>
      </c>
      <c r="C17" s="412" t="e">
        <f>#REF!</f>
        <v>#REF!</v>
      </c>
      <c r="D17" s="384" t="e">
        <f>#REF!</f>
        <v>#REF!</v>
      </c>
      <c r="E17" s="384" t="e">
        <f>#REF!</f>
        <v>#REF!</v>
      </c>
      <c r="F17" s="384" t="e">
        <f>#REF!</f>
        <v>#REF!</v>
      </c>
      <c r="G17" s="384" t="e">
        <f>#REF!</f>
        <v>#REF!</v>
      </c>
      <c r="H17" s="384" t="e">
        <f>#REF!</f>
        <v>#REF!</v>
      </c>
      <c r="I17" s="384" t="e">
        <f>#REF!</f>
        <v>#REF!</v>
      </c>
      <c r="J17" s="384" t="e">
        <f>#REF!</f>
        <v>#REF!</v>
      </c>
      <c r="K17" s="384" t="e">
        <f>#REF!</f>
        <v>#REF!</v>
      </c>
      <c r="L17" s="384" t="e">
        <f>#REF!</f>
        <v>#REF!</v>
      </c>
      <c r="M17" s="384" t="e">
        <f>#REF!</f>
        <v>#REF!</v>
      </c>
      <c r="N17" s="384" t="e">
        <f>#REF!</f>
        <v>#REF!</v>
      </c>
      <c r="O17" s="384" t="e">
        <f>#REF!</f>
        <v>#REF!</v>
      </c>
      <c r="P17" s="384" t="e">
        <f>#REF!</f>
        <v>#REF!</v>
      </c>
      <c r="Q17" s="384" t="e">
        <f>#REF!</f>
        <v>#REF!</v>
      </c>
      <c r="R17" s="384" t="e">
        <f>#REF!</f>
        <v>#REF!</v>
      </c>
      <c r="S17" s="384" t="e">
        <f>#REF!</f>
        <v>#REF!</v>
      </c>
      <c r="T17" s="384" t="e">
        <f>#REF!</f>
        <v>#REF!</v>
      </c>
      <c r="U17" s="384" t="e">
        <f>#REF!</f>
        <v>#REF!</v>
      </c>
      <c r="V17" s="384" t="e">
        <f>#REF!</f>
        <v>#REF!</v>
      </c>
      <c r="W17" s="384" t="e">
        <f>#REF!</f>
        <v>#REF!</v>
      </c>
      <c r="X17" s="384" t="e">
        <f>#REF!</f>
        <v>#REF!</v>
      </c>
      <c r="Y17" s="384" t="e">
        <f>#REF!</f>
        <v>#REF!</v>
      </c>
      <c r="Z17" s="384" t="e">
        <f>#REF!</f>
        <v>#REF!</v>
      </c>
      <c r="AA17" s="384" t="e">
        <f>#REF!</f>
        <v>#REF!</v>
      </c>
      <c r="AB17" s="412" t="e">
        <f>#REF!</f>
        <v>#REF!</v>
      </c>
      <c r="AC17" s="383" t="e">
        <f>#REF!</f>
        <v>#REF!</v>
      </c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</row>
    <row r="18" spans="1:53" s="5" customFormat="1" ht="45" customHeight="1">
      <c r="A18" s="383">
        <f>1+A17</f>
        <v>11</v>
      </c>
      <c r="B18" s="383" t="e">
        <f>#REF!</f>
        <v>#REF!</v>
      </c>
      <c r="C18" s="412" t="e">
        <f>#REF!</f>
        <v>#REF!</v>
      </c>
      <c r="D18" s="384" t="e">
        <f>#REF!</f>
        <v>#REF!</v>
      </c>
      <c r="E18" s="384" t="e">
        <f>#REF!</f>
        <v>#REF!</v>
      </c>
      <c r="F18" s="384" t="e">
        <f>#REF!</f>
        <v>#REF!</v>
      </c>
      <c r="G18" s="384" t="e">
        <f>#REF!</f>
        <v>#REF!</v>
      </c>
      <c r="H18" s="384" t="e">
        <f>#REF!</f>
        <v>#REF!</v>
      </c>
      <c r="I18" s="384" t="e">
        <f>#REF!</f>
        <v>#REF!</v>
      </c>
      <c r="J18" s="384" t="e">
        <f>#REF!</f>
        <v>#REF!</v>
      </c>
      <c r="K18" s="384" t="e">
        <f>#REF!</f>
        <v>#REF!</v>
      </c>
      <c r="L18" s="384" t="e">
        <f>#REF!</f>
        <v>#REF!</v>
      </c>
      <c r="M18" s="384" t="e">
        <f>#REF!</f>
        <v>#REF!</v>
      </c>
      <c r="N18" s="384" t="e">
        <f>#REF!</f>
        <v>#REF!</v>
      </c>
      <c r="O18" s="384" t="e">
        <f>#REF!</f>
        <v>#REF!</v>
      </c>
      <c r="P18" s="384" t="e">
        <f>#REF!</f>
        <v>#REF!</v>
      </c>
      <c r="Q18" s="384" t="e">
        <f>#REF!</f>
        <v>#REF!</v>
      </c>
      <c r="R18" s="384" t="e">
        <f>#REF!</f>
        <v>#REF!</v>
      </c>
      <c r="S18" s="384" t="e">
        <f>#REF!</f>
        <v>#REF!</v>
      </c>
      <c r="T18" s="384" t="e">
        <f>#REF!</f>
        <v>#REF!</v>
      </c>
      <c r="U18" s="384" t="e">
        <f>#REF!</f>
        <v>#REF!</v>
      </c>
      <c r="V18" s="384" t="e">
        <f>#REF!</f>
        <v>#REF!</v>
      </c>
      <c r="W18" s="384" t="e">
        <f>#REF!</f>
        <v>#REF!</v>
      </c>
      <c r="X18" s="384" t="e">
        <f>#REF!</f>
        <v>#REF!</v>
      </c>
      <c r="Y18" s="384" t="e">
        <f>#REF!</f>
        <v>#REF!</v>
      </c>
      <c r="Z18" s="384" t="e">
        <f>#REF!</f>
        <v>#REF!</v>
      </c>
      <c r="AA18" s="384" t="e">
        <f>#REF!</f>
        <v>#REF!</v>
      </c>
      <c r="AB18" s="412" t="e">
        <f>#REF!</f>
        <v>#REF!</v>
      </c>
      <c r="AC18" s="383" t="e">
        <f>#REF!</f>
        <v>#REF!</v>
      </c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</row>
    <row r="19" spans="1:53" s="5" customFormat="1" ht="45" customHeight="1">
      <c r="A19" s="383">
        <f>1+A18</f>
        <v>12</v>
      </c>
      <c r="B19" s="383" t="e">
        <f>#REF!</f>
        <v>#REF!</v>
      </c>
      <c r="C19" s="412" t="e">
        <f>#REF!</f>
        <v>#REF!</v>
      </c>
      <c r="D19" s="384" t="e">
        <f>#REF!</f>
        <v>#REF!</v>
      </c>
      <c r="E19" s="384" t="e">
        <f>#REF!</f>
        <v>#REF!</v>
      </c>
      <c r="F19" s="384" t="e">
        <f>#REF!</f>
        <v>#REF!</v>
      </c>
      <c r="G19" s="384" t="e">
        <f>#REF!</f>
        <v>#REF!</v>
      </c>
      <c r="H19" s="384" t="e">
        <f>#REF!</f>
        <v>#REF!</v>
      </c>
      <c r="I19" s="384" t="e">
        <f>#REF!</f>
        <v>#REF!</v>
      </c>
      <c r="J19" s="384" t="e">
        <f>#REF!</f>
        <v>#REF!</v>
      </c>
      <c r="K19" s="384" t="e">
        <f>#REF!</f>
        <v>#REF!</v>
      </c>
      <c r="L19" s="384" t="e">
        <f>#REF!</f>
        <v>#REF!</v>
      </c>
      <c r="M19" s="384" t="e">
        <f>#REF!</f>
        <v>#REF!</v>
      </c>
      <c r="N19" s="384" t="e">
        <f>#REF!</f>
        <v>#REF!</v>
      </c>
      <c r="O19" s="384" t="e">
        <f>#REF!</f>
        <v>#REF!</v>
      </c>
      <c r="P19" s="384" t="e">
        <f>#REF!</f>
        <v>#REF!</v>
      </c>
      <c r="Q19" s="384" t="e">
        <f>#REF!</f>
        <v>#REF!</v>
      </c>
      <c r="R19" s="384" t="e">
        <f>#REF!</f>
        <v>#REF!</v>
      </c>
      <c r="S19" s="384" t="e">
        <f>#REF!</f>
        <v>#REF!</v>
      </c>
      <c r="T19" s="384" t="e">
        <f>#REF!</f>
        <v>#REF!</v>
      </c>
      <c r="U19" s="384" t="e">
        <f>#REF!</f>
        <v>#REF!</v>
      </c>
      <c r="V19" s="384" t="e">
        <f>#REF!</f>
        <v>#REF!</v>
      </c>
      <c r="W19" s="384" t="e">
        <f>#REF!</f>
        <v>#REF!</v>
      </c>
      <c r="X19" s="384" t="e">
        <f>#REF!</f>
        <v>#REF!</v>
      </c>
      <c r="Y19" s="384" t="e">
        <f>#REF!</f>
        <v>#REF!</v>
      </c>
      <c r="Z19" s="384" t="e">
        <f>#REF!</f>
        <v>#REF!</v>
      </c>
      <c r="AA19" s="384" t="e">
        <f>#REF!</f>
        <v>#REF!</v>
      </c>
      <c r="AB19" s="412" t="e">
        <f>#REF!</f>
        <v>#REF!</v>
      </c>
      <c r="AC19" s="383" t="e">
        <f>#REF!</f>
        <v>#REF!</v>
      </c>
      <c r="AD19" s="157"/>
      <c r="AE19" s="157"/>
      <c r="AF19" s="157"/>
      <c r="AG19" s="157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</row>
    <row r="20" spans="1:53" s="6" customFormat="1" ht="45" customHeight="1">
      <c r="A20" s="410"/>
      <c r="B20" s="410"/>
      <c r="C20" s="413" t="s">
        <v>529</v>
      </c>
      <c r="D20" s="411" t="e">
        <f>SUM(D16:D19)</f>
        <v>#REF!</v>
      </c>
      <c r="E20" s="411" t="e">
        <f t="shared" ref="E20:AA20" si="3">SUM(E16:E19)</f>
        <v>#REF!</v>
      </c>
      <c r="F20" s="411" t="e">
        <f t="shared" si="3"/>
        <v>#REF!</v>
      </c>
      <c r="G20" s="411" t="e">
        <f t="shared" si="3"/>
        <v>#REF!</v>
      </c>
      <c r="H20" s="411" t="e">
        <f t="shared" si="3"/>
        <v>#REF!</v>
      </c>
      <c r="I20" s="411" t="e">
        <f t="shared" si="3"/>
        <v>#REF!</v>
      </c>
      <c r="J20" s="411" t="e">
        <f t="shared" si="3"/>
        <v>#REF!</v>
      </c>
      <c r="K20" s="411" t="e">
        <f t="shared" si="3"/>
        <v>#REF!</v>
      </c>
      <c r="L20" s="411" t="e">
        <f t="shared" si="3"/>
        <v>#REF!</v>
      </c>
      <c r="M20" s="411" t="e">
        <f t="shared" si="3"/>
        <v>#REF!</v>
      </c>
      <c r="N20" s="411" t="e">
        <f t="shared" si="3"/>
        <v>#REF!</v>
      </c>
      <c r="O20" s="411" t="e">
        <f t="shared" si="3"/>
        <v>#REF!</v>
      </c>
      <c r="P20" s="411" t="e">
        <f t="shared" si="3"/>
        <v>#REF!</v>
      </c>
      <c r="Q20" s="411" t="e">
        <f t="shared" si="3"/>
        <v>#REF!</v>
      </c>
      <c r="R20" s="411" t="e">
        <f t="shared" si="3"/>
        <v>#REF!</v>
      </c>
      <c r="S20" s="411" t="e">
        <f t="shared" si="3"/>
        <v>#REF!</v>
      </c>
      <c r="T20" s="411" t="e">
        <f t="shared" si="3"/>
        <v>#REF!</v>
      </c>
      <c r="U20" s="411" t="e">
        <f t="shared" si="3"/>
        <v>#REF!</v>
      </c>
      <c r="V20" s="411" t="e">
        <f t="shared" si="3"/>
        <v>#REF!</v>
      </c>
      <c r="W20" s="411" t="e">
        <f t="shared" si="3"/>
        <v>#REF!</v>
      </c>
      <c r="X20" s="411" t="e">
        <f t="shared" si="3"/>
        <v>#REF!</v>
      </c>
      <c r="Y20" s="411" t="e">
        <f t="shared" si="3"/>
        <v>#REF!</v>
      </c>
      <c r="Z20" s="411" t="e">
        <f t="shared" si="3"/>
        <v>#REF!</v>
      </c>
      <c r="AA20" s="411" t="e">
        <f t="shared" si="3"/>
        <v>#REF!</v>
      </c>
      <c r="AB20" s="413"/>
      <c r="AC20" s="410"/>
      <c r="AD20" s="303"/>
      <c r="AE20" s="303"/>
      <c r="AF20" s="303"/>
      <c r="AG20" s="303"/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 s="374"/>
      <c r="AU20" s="374"/>
      <c r="AV20" s="374"/>
      <c r="AW20" s="374"/>
    </row>
    <row r="21" spans="1:53" s="6" customFormat="1" ht="45" customHeight="1">
      <c r="A21" s="7">
        <f>A19</f>
        <v>12</v>
      </c>
      <c r="B21" s="20"/>
      <c r="C21" s="20" t="s">
        <v>755</v>
      </c>
      <c r="D21" s="8" t="e">
        <f>D20+D15+D10+D8</f>
        <v>#REF!</v>
      </c>
      <c r="E21" s="8" t="e">
        <f t="shared" ref="E21:AA21" si="4">E20+E15+E10+E8</f>
        <v>#REF!</v>
      </c>
      <c r="F21" s="8" t="e">
        <f t="shared" si="4"/>
        <v>#REF!</v>
      </c>
      <c r="G21" s="8" t="e">
        <f t="shared" si="4"/>
        <v>#REF!</v>
      </c>
      <c r="H21" s="8" t="e">
        <f t="shared" si="4"/>
        <v>#REF!</v>
      </c>
      <c r="I21" s="8" t="e">
        <f t="shared" si="4"/>
        <v>#REF!</v>
      </c>
      <c r="J21" s="8" t="e">
        <f t="shared" si="4"/>
        <v>#REF!</v>
      </c>
      <c r="K21" s="8" t="e">
        <f t="shared" si="4"/>
        <v>#REF!</v>
      </c>
      <c r="L21" s="8" t="e">
        <f t="shared" si="4"/>
        <v>#REF!</v>
      </c>
      <c r="M21" s="8" t="e">
        <f t="shared" si="4"/>
        <v>#REF!</v>
      </c>
      <c r="N21" s="8" t="e">
        <f t="shared" si="4"/>
        <v>#REF!</v>
      </c>
      <c r="O21" s="8" t="e">
        <f t="shared" si="4"/>
        <v>#REF!</v>
      </c>
      <c r="P21" s="8" t="e">
        <f t="shared" si="4"/>
        <v>#REF!</v>
      </c>
      <c r="Q21" s="8" t="e">
        <f t="shared" si="4"/>
        <v>#REF!</v>
      </c>
      <c r="R21" s="8" t="e">
        <f t="shared" si="4"/>
        <v>#REF!</v>
      </c>
      <c r="S21" s="8" t="e">
        <f t="shared" si="4"/>
        <v>#REF!</v>
      </c>
      <c r="T21" s="8" t="e">
        <f t="shared" si="4"/>
        <v>#REF!</v>
      </c>
      <c r="U21" s="8" t="e">
        <f t="shared" si="4"/>
        <v>#REF!</v>
      </c>
      <c r="V21" s="8" t="e">
        <f t="shared" si="4"/>
        <v>#REF!</v>
      </c>
      <c r="W21" s="8" t="e">
        <f t="shared" si="4"/>
        <v>#REF!</v>
      </c>
      <c r="X21" s="8" t="e">
        <f t="shared" si="4"/>
        <v>#REF!</v>
      </c>
      <c r="Y21" s="8" t="e">
        <f t="shared" si="4"/>
        <v>#REF!</v>
      </c>
      <c r="Z21" s="8" t="e">
        <f t="shared" si="4"/>
        <v>#REF!</v>
      </c>
      <c r="AA21" s="8" t="e">
        <f t="shared" si="4"/>
        <v>#REF!</v>
      </c>
      <c r="AB21" s="7"/>
      <c r="AC21" s="7"/>
      <c r="AD21" s="157"/>
      <c r="AE21" s="157"/>
      <c r="AF21" s="157"/>
      <c r="AG21" s="157"/>
      <c r="AH21" s="374"/>
      <c r="AI21" s="374"/>
      <c r="AJ21" s="374"/>
      <c r="AK21" s="374"/>
      <c r="AL21" s="374"/>
      <c r="AM21" s="374"/>
      <c r="AN21" s="374"/>
      <c r="AO21" s="374"/>
      <c r="AP21" s="374"/>
      <c r="AQ21" s="374"/>
      <c r="AR21" s="374"/>
      <c r="AS21" s="374"/>
      <c r="AT21" s="374"/>
      <c r="AU21" s="374"/>
      <c r="AV21" s="374"/>
      <c r="AW21" s="374"/>
    </row>
    <row r="22" spans="1:53" s="402" customFormat="1" ht="13.8">
      <c r="L22" s="402" t="e">
        <f>H21+K21</f>
        <v>#REF!</v>
      </c>
      <c r="P22" s="402" t="e">
        <f>G21-L22</f>
        <v>#REF!</v>
      </c>
      <c r="T22" s="402" t="e">
        <f>P22+S21-M21</f>
        <v>#REF!</v>
      </c>
      <c r="AD22" s="157"/>
      <c r="AE22" s="157"/>
      <c r="AF22" s="157"/>
      <c r="AG22" s="157"/>
    </row>
  </sheetData>
  <sortState ref="A5:BA16">
    <sortCondition ref="AC5:AC16"/>
  </sortState>
  <conditionalFormatting sqref="A1:M1 O1:W1 AC1:AC5 A2:W3 V4:W4">
    <cfRule type="cellIs" dxfId="192" priority="23" operator="equal">
      <formula>0</formula>
    </cfRule>
  </conditionalFormatting>
  <conditionalFormatting sqref="A5:AC20">
    <cfRule type="cellIs" dxfId="191" priority="7" operator="equal">
      <formula>0</formula>
    </cfRule>
  </conditionalFormatting>
  <conditionalFormatting sqref="B4:N4">
    <cfRule type="cellIs" dxfId="190" priority="5" operator="equal">
      <formula>0</formula>
    </cfRule>
  </conditionalFormatting>
  <conditionalFormatting sqref="X1:AB4">
    <cfRule type="cellIs" dxfId="189" priority="9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56"/>
  <sheetViews>
    <sheetView showZeros="0" rightToLeft="1" workbookViewId="0">
      <pane xSplit="6" ySplit="4" topLeftCell="G11" activePane="bottomRight" state="frozen"/>
      <selection activeCell="S45" sqref="S45"/>
      <selection pane="topRight" activeCell="S45" sqref="S45"/>
      <selection pane="bottomLeft" activeCell="S45" sqref="S45"/>
      <selection pane="bottomRight" sqref="A1:AC29"/>
    </sheetView>
  </sheetViews>
  <sheetFormatPr defaultColWidth="8.33203125" defaultRowHeight="13.8"/>
  <cols>
    <col min="1" max="1" width="3.5546875" style="157" customWidth="1"/>
    <col min="2" max="2" width="5.6640625" style="157" customWidth="1"/>
    <col min="3" max="3" width="17.6640625" style="157" customWidth="1"/>
    <col min="4" max="4" width="10.109375" style="157" customWidth="1"/>
    <col min="5" max="5" width="10.6640625" style="157" hidden="1" customWidth="1"/>
    <col min="6" max="6" width="11.33203125" style="157" hidden="1" customWidth="1"/>
    <col min="7" max="7" width="14" style="157" hidden="1" customWidth="1"/>
    <col min="8" max="8" width="13" style="157" hidden="1" customWidth="1"/>
    <col min="9" max="9" width="9.109375" style="157" hidden="1" customWidth="1"/>
    <col min="10" max="10" width="10.5546875" style="157" hidden="1" customWidth="1"/>
    <col min="11" max="11" width="10" style="157" hidden="1" customWidth="1"/>
    <col min="12" max="12" width="10.44140625" style="157" customWidth="1"/>
    <col min="13" max="13" width="10.5546875" style="157" customWidth="1"/>
    <col min="14" max="14" width="9.6640625" style="157" customWidth="1"/>
    <col min="15" max="15" width="10.33203125" style="157" customWidth="1"/>
    <col min="16" max="16" width="12.109375" style="157" hidden="1" customWidth="1"/>
    <col min="17" max="19" width="9.109375" style="157" hidden="1" customWidth="1"/>
    <col min="20" max="20" width="9" style="157" customWidth="1"/>
    <col min="21" max="21" width="9.6640625" style="157" customWidth="1"/>
    <col min="22" max="22" width="9.109375" style="157" customWidth="1"/>
    <col min="23" max="23" width="9.6640625" style="157" customWidth="1"/>
    <col min="24" max="26" width="8.33203125" style="157" hidden="1" customWidth="1"/>
    <col min="27" max="27" width="8.5546875" style="157" customWidth="1"/>
    <col min="28" max="28" width="32.44140625" style="157" hidden="1" customWidth="1"/>
    <col min="29" max="29" width="8.33203125" style="157" customWidth="1"/>
    <col min="30" max="30" width="27" style="566" customWidth="1"/>
    <col min="31" max="31" width="24.33203125" style="318" customWidth="1"/>
    <col min="32" max="32" width="13.5546875" style="318" customWidth="1"/>
    <col min="33" max="33" width="27" style="318" customWidth="1"/>
    <col min="34" max="34" width="12.88671875" style="318" customWidth="1"/>
    <col min="35" max="35" width="23.5546875" style="318" customWidth="1"/>
    <col min="36" max="36" width="10.5546875" style="318" customWidth="1"/>
    <col min="37" max="37" width="20.5546875" style="318" customWidth="1"/>
    <col min="38" max="38" width="9.6640625" style="318" customWidth="1"/>
    <col min="39" max="43" width="10.6640625" style="157" customWidth="1"/>
    <col min="44" max="46" width="10.6640625" style="157" hidden="1" customWidth="1"/>
    <col min="47" max="47" width="10.6640625" style="157" customWidth="1"/>
    <col min="48" max="16384" width="8.33203125" style="157"/>
  </cols>
  <sheetData>
    <row r="1" spans="1:61" ht="18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O1" s="522"/>
      <c r="P1" s="522"/>
      <c r="Q1" s="522"/>
      <c r="R1" s="522"/>
      <c r="S1" s="522"/>
      <c r="T1" s="522"/>
      <c r="U1" s="522"/>
      <c r="V1" s="522"/>
      <c r="W1" s="522"/>
      <c r="X1" s="523"/>
      <c r="Y1" s="523"/>
      <c r="Z1" s="523"/>
      <c r="AA1" s="524"/>
      <c r="AB1" s="525"/>
      <c r="AC1" s="524"/>
    </row>
    <row r="2" spans="1:61" ht="18">
      <c r="A2" s="522" t="s">
        <v>301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6"/>
      <c r="Y2" s="526"/>
      <c r="Z2" s="526"/>
      <c r="AA2" s="526"/>
      <c r="AB2" s="527"/>
      <c r="AC2" s="526"/>
    </row>
    <row r="3" spans="1:61">
      <c r="A3" s="528"/>
      <c r="B3" s="526"/>
      <c r="C3" s="526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6"/>
      <c r="V3" s="895" t="s">
        <v>79</v>
      </c>
      <c r="W3" s="895"/>
      <c r="X3" s="895"/>
      <c r="Y3" s="895"/>
      <c r="Z3" s="895"/>
      <c r="AA3" s="895"/>
      <c r="AB3" s="528"/>
      <c r="AC3" s="526"/>
    </row>
    <row r="4" spans="1:61" ht="73.5" customHeight="1">
      <c r="A4" s="130" t="s">
        <v>0</v>
      </c>
      <c r="B4" s="530" t="s">
        <v>413</v>
      </c>
      <c r="C4" s="530" t="s">
        <v>2</v>
      </c>
      <c r="D4" s="530" t="s">
        <v>752</v>
      </c>
      <c r="E4" s="530" t="s">
        <v>4</v>
      </c>
      <c r="F4" s="530" t="s">
        <v>5</v>
      </c>
      <c r="G4" s="530" t="s">
        <v>6</v>
      </c>
      <c r="H4" s="530" t="s">
        <v>7</v>
      </c>
      <c r="I4" s="530" t="s">
        <v>9</v>
      </c>
      <c r="J4" s="530" t="s">
        <v>125</v>
      </c>
      <c r="K4" s="530" t="s">
        <v>10</v>
      </c>
      <c r="L4" s="530" t="s">
        <v>11</v>
      </c>
      <c r="M4" s="530" t="s">
        <v>917</v>
      </c>
      <c r="N4" s="53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530" t="s">
        <v>13</v>
      </c>
      <c r="W4" s="530" t="s">
        <v>14</v>
      </c>
      <c r="X4" s="530" t="s">
        <v>15</v>
      </c>
      <c r="Y4" s="530" t="s">
        <v>214</v>
      </c>
      <c r="Z4" s="530" t="s">
        <v>502</v>
      </c>
      <c r="AA4" s="530" t="s">
        <v>75</v>
      </c>
      <c r="AB4" s="531" t="s">
        <v>242</v>
      </c>
      <c r="AC4" s="530" t="s">
        <v>16</v>
      </c>
    </row>
    <row r="5" spans="1:61" ht="25.95" customHeight="1">
      <c r="A5" s="130"/>
      <c r="B5" s="530"/>
      <c r="C5" s="829">
        <v>61</v>
      </c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421"/>
      <c r="P5" s="421"/>
      <c r="Q5" s="421"/>
      <c r="R5" s="421"/>
      <c r="S5" s="421"/>
      <c r="T5" s="421"/>
      <c r="U5" s="421"/>
      <c r="V5" s="530"/>
      <c r="W5" s="530"/>
      <c r="X5" s="530"/>
      <c r="Y5" s="530"/>
      <c r="Z5" s="530"/>
      <c r="AA5" s="530"/>
      <c r="AB5" s="531"/>
      <c r="AC5" s="530"/>
    </row>
    <row r="6" spans="1:61" ht="63" customHeight="1">
      <c r="A6" s="532">
        <v>1</v>
      </c>
      <c r="B6" s="532">
        <v>1497</v>
      </c>
      <c r="C6" s="532" t="s">
        <v>55</v>
      </c>
      <c r="D6" s="519">
        <v>8820000</v>
      </c>
      <c r="E6" s="519">
        <v>8820000</v>
      </c>
      <c r="F6" s="519">
        <f>D6-E6</f>
        <v>0</v>
      </c>
      <c r="G6" s="519">
        <v>3473000</v>
      </c>
      <c r="H6" s="519">
        <v>3219746</v>
      </c>
      <c r="I6" s="519">
        <v>43536</v>
      </c>
      <c r="J6" s="519">
        <v>104859</v>
      </c>
      <c r="K6" s="519">
        <f>I6+J6</f>
        <v>148395</v>
      </c>
      <c r="L6" s="519">
        <f>H6+K6</f>
        <v>3368141</v>
      </c>
      <c r="M6" s="533">
        <f>P6+S6-80000-20000</f>
        <v>4859</v>
      </c>
      <c r="N6" s="533">
        <f>150000+80000+20000</f>
        <v>250000</v>
      </c>
      <c r="O6" s="533">
        <f>D6-L6-M6-N6</f>
        <v>5197000</v>
      </c>
      <c r="P6" s="533">
        <f>G6-L6</f>
        <v>104859</v>
      </c>
      <c r="Q6" s="533"/>
      <c r="R6" s="533"/>
      <c r="S6" s="533">
        <f>SUM(Q6:R6)</f>
        <v>0</v>
      </c>
      <c r="T6" s="533">
        <f>P6-M6+S6</f>
        <v>100000</v>
      </c>
      <c r="U6" s="533">
        <f>N6-T6</f>
        <v>150000</v>
      </c>
      <c r="V6" s="533"/>
      <c r="W6" s="533">
        <f>U6-V6-X6-Z6-AA6</f>
        <v>150000</v>
      </c>
      <c r="X6" s="519"/>
      <c r="Y6" s="519"/>
      <c r="Z6" s="519"/>
      <c r="AA6" s="532"/>
      <c r="AB6" s="532" t="s">
        <v>1527</v>
      </c>
      <c r="AC6" s="532">
        <v>610000</v>
      </c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</row>
    <row r="7" spans="1:61" s="319" customFormat="1" ht="27.6">
      <c r="A7" s="532">
        <f>1+A6</f>
        <v>2</v>
      </c>
      <c r="B7" s="455">
        <v>20076</v>
      </c>
      <c r="C7" s="448" t="s">
        <v>754</v>
      </c>
      <c r="D7" s="519">
        <v>220000</v>
      </c>
      <c r="E7" s="519">
        <v>220000</v>
      </c>
      <c r="F7" s="519">
        <f>D7-E7</f>
        <v>0</v>
      </c>
      <c r="G7" s="519">
        <v>0</v>
      </c>
      <c r="H7" s="519"/>
      <c r="I7" s="519"/>
      <c r="J7" s="519"/>
      <c r="K7" s="519">
        <f>I7+J7</f>
        <v>0</v>
      </c>
      <c r="L7" s="519">
        <f>H7+K7</f>
        <v>0</v>
      </c>
      <c r="M7" s="533">
        <f>P7+S7</f>
        <v>0</v>
      </c>
      <c r="N7" s="533">
        <v>220000</v>
      </c>
      <c r="O7" s="533">
        <f>D7-L7-M7-N7</f>
        <v>0</v>
      </c>
      <c r="P7" s="533">
        <f>G7-L7</f>
        <v>0</v>
      </c>
      <c r="Q7" s="533"/>
      <c r="R7" s="533"/>
      <c r="S7" s="533">
        <f>SUM(Q7:R7)</f>
        <v>0</v>
      </c>
      <c r="T7" s="533">
        <f>P7-M7+S7</f>
        <v>0</v>
      </c>
      <c r="U7" s="533">
        <f>N7-T7</f>
        <v>220000</v>
      </c>
      <c r="V7" s="533"/>
      <c r="W7" s="533">
        <f>U7-V7-X7-Z7-AA7</f>
        <v>220000</v>
      </c>
      <c r="X7" s="519"/>
      <c r="Y7" s="519"/>
      <c r="Z7" s="519"/>
      <c r="AA7" s="533"/>
      <c r="AB7" s="448" t="s">
        <v>865</v>
      </c>
      <c r="AC7" s="448">
        <v>610000</v>
      </c>
      <c r="AD7" s="566"/>
      <c r="AE7" s="318"/>
      <c r="AF7" s="318"/>
      <c r="AG7" s="318"/>
      <c r="AH7" s="318"/>
      <c r="AI7" s="318"/>
      <c r="AJ7" s="318"/>
      <c r="AK7" s="318"/>
      <c r="AL7" s="318"/>
      <c r="AV7" s="535"/>
      <c r="AW7" s="535"/>
      <c r="AX7" s="535"/>
      <c r="AY7" s="535"/>
      <c r="AZ7" s="535"/>
      <c r="BA7" s="535"/>
      <c r="BB7" s="535"/>
      <c r="BC7" s="535"/>
      <c r="BD7" s="535"/>
      <c r="BE7" s="535"/>
      <c r="BF7" s="452"/>
      <c r="BG7" s="452"/>
      <c r="BH7" s="452"/>
      <c r="BI7" s="452"/>
    </row>
    <row r="8" spans="1:61" ht="51" customHeight="1">
      <c r="A8" s="532">
        <f t="shared" ref="A8:A27" si="0">1+A7</f>
        <v>3</v>
      </c>
      <c r="B8" s="455">
        <v>20078</v>
      </c>
      <c r="C8" s="448" t="s">
        <v>761</v>
      </c>
      <c r="D8" s="533">
        <f>1200000+2200000</f>
        <v>3400000</v>
      </c>
      <c r="E8" s="533">
        <v>1200000</v>
      </c>
      <c r="F8" s="533">
        <f>D8-E8</f>
        <v>2200000</v>
      </c>
      <c r="G8" s="533">
        <v>1200000</v>
      </c>
      <c r="H8" s="533">
        <v>1195251</v>
      </c>
      <c r="I8" s="533"/>
      <c r="J8" s="533"/>
      <c r="K8" s="533">
        <f>I8+J8</f>
        <v>0</v>
      </c>
      <c r="L8" s="533">
        <f>H8+K8</f>
        <v>1195251</v>
      </c>
      <c r="M8" s="533">
        <f>P8+S8</f>
        <v>4749</v>
      </c>
      <c r="N8" s="533">
        <f>2200000-1200000</f>
        <v>1000000</v>
      </c>
      <c r="O8" s="533">
        <f>D8-L8-M8-N8</f>
        <v>1200000</v>
      </c>
      <c r="P8" s="533">
        <f>G8-L8</f>
        <v>4749</v>
      </c>
      <c r="Q8" s="533"/>
      <c r="R8" s="533"/>
      <c r="S8" s="533">
        <f>SUM(Q8:R8)</f>
        <v>0</v>
      </c>
      <c r="T8" s="533">
        <f>P8-M8+S8</f>
        <v>0</v>
      </c>
      <c r="U8" s="533">
        <f>N8-T8</f>
        <v>1000000</v>
      </c>
      <c r="V8" s="533"/>
      <c r="W8" s="533">
        <f>U8-V8-X8-Z8-AA8</f>
        <v>1000000</v>
      </c>
      <c r="X8" s="519"/>
      <c r="Y8" s="519"/>
      <c r="Z8" s="519"/>
      <c r="AA8" s="533"/>
      <c r="AB8" s="448" t="s">
        <v>760</v>
      </c>
      <c r="AC8" s="448">
        <v>610000</v>
      </c>
      <c r="AM8" s="319"/>
      <c r="AN8" s="319"/>
      <c r="AO8" s="319"/>
      <c r="AP8" s="319"/>
      <c r="AQ8" s="319"/>
      <c r="AR8" s="319"/>
      <c r="AS8" s="319"/>
      <c r="AT8" s="319"/>
      <c r="AU8" s="319"/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</row>
    <row r="9" spans="1:61" s="303" customFormat="1" ht="28.2" customHeight="1">
      <c r="A9" s="830"/>
      <c r="B9" s="454"/>
      <c r="C9" s="512" t="s">
        <v>1566</v>
      </c>
      <c r="D9" s="831">
        <f>SUM(D6:D8)</f>
        <v>12440000</v>
      </c>
      <c r="E9" s="831">
        <f t="shared" ref="E9:AA9" si="1">SUM(E6:E8)</f>
        <v>10240000</v>
      </c>
      <c r="F9" s="831">
        <f t="shared" si="1"/>
        <v>2200000</v>
      </c>
      <c r="G9" s="831">
        <f t="shared" si="1"/>
        <v>4673000</v>
      </c>
      <c r="H9" s="831">
        <f t="shared" si="1"/>
        <v>4414997</v>
      </c>
      <c r="I9" s="831">
        <f t="shared" si="1"/>
        <v>43536</v>
      </c>
      <c r="J9" s="831">
        <f t="shared" si="1"/>
        <v>104859</v>
      </c>
      <c r="K9" s="831">
        <f t="shared" si="1"/>
        <v>148395</v>
      </c>
      <c r="L9" s="831">
        <f t="shared" si="1"/>
        <v>4563392</v>
      </c>
      <c r="M9" s="831">
        <f t="shared" si="1"/>
        <v>9608</v>
      </c>
      <c r="N9" s="831">
        <f t="shared" si="1"/>
        <v>1470000</v>
      </c>
      <c r="O9" s="831">
        <f t="shared" si="1"/>
        <v>6397000</v>
      </c>
      <c r="P9" s="831">
        <f t="shared" si="1"/>
        <v>109608</v>
      </c>
      <c r="Q9" s="831">
        <f t="shared" si="1"/>
        <v>0</v>
      </c>
      <c r="R9" s="831">
        <f t="shared" si="1"/>
        <v>0</v>
      </c>
      <c r="S9" s="831">
        <f t="shared" si="1"/>
        <v>0</v>
      </c>
      <c r="T9" s="831">
        <f t="shared" si="1"/>
        <v>100000</v>
      </c>
      <c r="U9" s="831">
        <f t="shared" si="1"/>
        <v>1370000</v>
      </c>
      <c r="V9" s="831">
        <f t="shared" si="1"/>
        <v>0</v>
      </c>
      <c r="W9" s="831">
        <f t="shared" si="1"/>
        <v>1370000</v>
      </c>
      <c r="X9" s="831">
        <f t="shared" si="1"/>
        <v>0</v>
      </c>
      <c r="Y9" s="831">
        <f t="shared" si="1"/>
        <v>0</v>
      </c>
      <c r="Z9" s="831">
        <f t="shared" si="1"/>
        <v>0</v>
      </c>
      <c r="AA9" s="831">
        <f t="shared" si="1"/>
        <v>0</v>
      </c>
      <c r="AB9" s="512"/>
      <c r="AC9" s="512"/>
      <c r="AD9" s="832"/>
      <c r="AE9" s="415"/>
      <c r="AF9" s="415"/>
      <c r="AG9" s="415"/>
      <c r="AH9" s="415"/>
      <c r="AI9" s="415"/>
      <c r="AJ9" s="415"/>
      <c r="AK9" s="415"/>
      <c r="AL9" s="415"/>
      <c r="AM9" s="833"/>
      <c r="AN9" s="833"/>
      <c r="AO9" s="833"/>
      <c r="AP9" s="833"/>
      <c r="AQ9" s="833"/>
      <c r="AR9" s="833"/>
      <c r="AS9" s="833"/>
      <c r="AT9" s="833"/>
      <c r="AU9" s="833"/>
      <c r="AV9" s="834"/>
      <c r="AW9" s="834"/>
      <c r="AX9" s="834"/>
      <c r="AY9" s="834"/>
      <c r="AZ9" s="834"/>
      <c r="BA9" s="834"/>
      <c r="BB9" s="834"/>
      <c r="BC9" s="834"/>
      <c r="BD9" s="834"/>
      <c r="BE9" s="834"/>
      <c r="BF9" s="834"/>
      <c r="BG9" s="834"/>
      <c r="BH9" s="834"/>
      <c r="BI9" s="834"/>
    </row>
    <row r="10" spans="1:61" s="303" customFormat="1" ht="28.2" customHeight="1">
      <c r="A10" s="830"/>
      <c r="B10" s="454"/>
      <c r="C10" s="512">
        <v>72</v>
      </c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31"/>
      <c r="X10" s="829"/>
      <c r="Y10" s="829"/>
      <c r="Z10" s="829"/>
      <c r="AA10" s="831"/>
      <c r="AB10" s="512"/>
      <c r="AC10" s="512"/>
      <c r="AD10" s="832"/>
      <c r="AE10" s="415"/>
      <c r="AF10" s="415"/>
      <c r="AG10" s="415"/>
      <c r="AH10" s="415"/>
      <c r="AI10" s="415"/>
      <c r="AJ10" s="415"/>
      <c r="AK10" s="415"/>
      <c r="AL10" s="415"/>
      <c r="AM10" s="833"/>
      <c r="AN10" s="833"/>
      <c r="AO10" s="833"/>
      <c r="AP10" s="833"/>
      <c r="AQ10" s="833"/>
      <c r="AR10" s="833"/>
      <c r="AS10" s="833"/>
      <c r="AT10" s="833"/>
      <c r="AU10" s="833"/>
      <c r="AV10" s="834"/>
      <c r="AW10" s="834"/>
      <c r="AX10" s="834"/>
      <c r="AY10" s="834"/>
      <c r="AZ10" s="834"/>
      <c r="BA10" s="834"/>
      <c r="BB10" s="834"/>
      <c r="BC10" s="834"/>
      <c r="BD10" s="834"/>
      <c r="BE10" s="834"/>
      <c r="BF10" s="834"/>
      <c r="BG10" s="834"/>
      <c r="BH10" s="834"/>
      <c r="BI10" s="834"/>
    </row>
    <row r="11" spans="1:61" s="319" customFormat="1" ht="54" customHeight="1">
      <c r="A11" s="532">
        <f>1+A8</f>
        <v>4</v>
      </c>
      <c r="B11" s="532">
        <v>1982</v>
      </c>
      <c r="C11" s="532" t="s">
        <v>699</v>
      </c>
      <c r="D11" s="519">
        <f>19550000+12000000</f>
        <v>31550000</v>
      </c>
      <c r="E11" s="519">
        <v>19550000</v>
      </c>
      <c r="F11" s="519">
        <f>D11-E11</f>
        <v>12000000</v>
      </c>
      <c r="G11" s="519">
        <v>19550000</v>
      </c>
      <c r="H11" s="519">
        <v>16635269</v>
      </c>
      <c r="I11" s="519"/>
      <c r="J11" s="519">
        <v>2761869</v>
      </c>
      <c r="K11" s="519">
        <f>I11+J11</f>
        <v>2761869</v>
      </c>
      <c r="L11" s="519">
        <f>H11+K11</f>
        <v>19397138</v>
      </c>
      <c r="M11" s="533">
        <f>P11+S11-150000</f>
        <v>2862</v>
      </c>
      <c r="N11" s="533">
        <f>2500000-1000000-200000</f>
        <v>1300000</v>
      </c>
      <c r="O11" s="533">
        <f>D11-L11-M11-N11</f>
        <v>10850000</v>
      </c>
      <c r="P11" s="533">
        <f>G11-L11</f>
        <v>152862</v>
      </c>
      <c r="Q11" s="533"/>
      <c r="R11" s="533"/>
      <c r="S11" s="533">
        <f>SUM(Q11:R11)</f>
        <v>0</v>
      </c>
      <c r="T11" s="533">
        <f>P11-M11+S11</f>
        <v>150000</v>
      </c>
      <c r="U11" s="533">
        <f>N11-T11</f>
        <v>1150000</v>
      </c>
      <c r="V11" s="533"/>
      <c r="W11" s="533">
        <f>U11-V11-X11-Z11-AA11</f>
        <v>1150000</v>
      </c>
      <c r="X11" s="519"/>
      <c r="Y11" s="519"/>
      <c r="Z11" s="519"/>
      <c r="AA11" s="532"/>
      <c r="AB11" s="532" t="s">
        <v>1528</v>
      </c>
      <c r="AC11" s="532">
        <v>722000</v>
      </c>
      <c r="AD11" s="566"/>
      <c r="AE11" s="318"/>
      <c r="AF11" s="318"/>
      <c r="AG11" s="318"/>
      <c r="AH11" s="318"/>
      <c r="AI11" s="318"/>
      <c r="AJ11" s="318"/>
      <c r="AK11" s="318"/>
      <c r="AL11" s="318"/>
    </row>
    <row r="12" spans="1:61" s="833" customFormat="1" ht="23.4" customHeight="1">
      <c r="A12" s="830"/>
      <c r="B12" s="830"/>
      <c r="C12" s="830" t="s">
        <v>1567</v>
      </c>
      <c r="D12" s="829">
        <f>SUM(D11)</f>
        <v>31550000</v>
      </c>
      <c r="E12" s="829">
        <f t="shared" ref="E12:AA12" si="2">SUM(E11)</f>
        <v>19550000</v>
      </c>
      <c r="F12" s="829">
        <f t="shared" si="2"/>
        <v>12000000</v>
      </c>
      <c r="G12" s="829">
        <f t="shared" si="2"/>
        <v>19550000</v>
      </c>
      <c r="H12" s="829">
        <f t="shared" si="2"/>
        <v>16635269</v>
      </c>
      <c r="I12" s="829">
        <f t="shared" si="2"/>
        <v>0</v>
      </c>
      <c r="J12" s="829">
        <f t="shared" si="2"/>
        <v>2761869</v>
      </c>
      <c r="K12" s="829">
        <f t="shared" si="2"/>
        <v>2761869</v>
      </c>
      <c r="L12" s="829">
        <f t="shared" si="2"/>
        <v>19397138</v>
      </c>
      <c r="M12" s="829">
        <f t="shared" si="2"/>
        <v>2862</v>
      </c>
      <c r="N12" s="829">
        <f t="shared" si="2"/>
        <v>1300000</v>
      </c>
      <c r="O12" s="829">
        <f t="shared" si="2"/>
        <v>10850000</v>
      </c>
      <c r="P12" s="829">
        <f t="shared" si="2"/>
        <v>152862</v>
      </c>
      <c r="Q12" s="829">
        <f t="shared" si="2"/>
        <v>0</v>
      </c>
      <c r="R12" s="829">
        <f t="shared" si="2"/>
        <v>0</v>
      </c>
      <c r="S12" s="829">
        <f t="shared" si="2"/>
        <v>0</v>
      </c>
      <c r="T12" s="829">
        <f t="shared" si="2"/>
        <v>150000</v>
      </c>
      <c r="U12" s="829">
        <f t="shared" si="2"/>
        <v>1150000</v>
      </c>
      <c r="V12" s="829">
        <f t="shared" si="2"/>
        <v>0</v>
      </c>
      <c r="W12" s="829">
        <f t="shared" si="2"/>
        <v>1150000</v>
      </c>
      <c r="X12" s="829">
        <f t="shared" si="2"/>
        <v>0</v>
      </c>
      <c r="Y12" s="829">
        <f t="shared" si="2"/>
        <v>0</v>
      </c>
      <c r="Z12" s="829">
        <f t="shared" si="2"/>
        <v>0</v>
      </c>
      <c r="AA12" s="829">
        <f t="shared" si="2"/>
        <v>0</v>
      </c>
      <c r="AB12" s="830"/>
      <c r="AC12" s="830"/>
      <c r="AD12" s="832"/>
      <c r="AE12" s="415"/>
      <c r="AF12" s="415"/>
      <c r="AG12" s="415"/>
      <c r="AH12" s="415"/>
      <c r="AI12" s="415"/>
      <c r="AJ12" s="415"/>
      <c r="AK12" s="415"/>
      <c r="AL12" s="415"/>
    </row>
    <row r="13" spans="1:61" s="833" customFormat="1" ht="21.6" customHeight="1">
      <c r="A13" s="830"/>
      <c r="B13" s="830"/>
      <c r="C13" s="830">
        <v>73</v>
      </c>
      <c r="D13" s="829"/>
      <c r="E13" s="829"/>
      <c r="F13" s="829"/>
      <c r="G13" s="829"/>
      <c r="H13" s="829"/>
      <c r="I13" s="829"/>
      <c r="J13" s="829"/>
      <c r="K13" s="829"/>
      <c r="L13" s="829"/>
      <c r="M13" s="831"/>
      <c r="N13" s="831"/>
      <c r="O13" s="831"/>
      <c r="P13" s="831"/>
      <c r="Q13" s="831"/>
      <c r="R13" s="831"/>
      <c r="S13" s="831"/>
      <c r="T13" s="831"/>
      <c r="U13" s="831"/>
      <c r="V13" s="831"/>
      <c r="W13" s="831"/>
      <c r="X13" s="829"/>
      <c r="Y13" s="829"/>
      <c r="Z13" s="829"/>
      <c r="AA13" s="830"/>
      <c r="AB13" s="830"/>
      <c r="AC13" s="830"/>
      <c r="AD13" s="832"/>
      <c r="AE13" s="415"/>
      <c r="AF13" s="415"/>
      <c r="AG13" s="415"/>
      <c r="AH13" s="415"/>
      <c r="AI13" s="415"/>
      <c r="AJ13" s="415"/>
      <c r="AK13" s="415"/>
      <c r="AL13" s="415"/>
    </row>
    <row r="14" spans="1:61" s="319" customFormat="1" ht="67.95" customHeight="1">
      <c r="A14" s="532">
        <f>1+A11</f>
        <v>5</v>
      </c>
      <c r="B14" s="455">
        <v>2144</v>
      </c>
      <c r="C14" s="448" t="s">
        <v>408</v>
      </c>
      <c r="D14" s="449">
        <f>500000+2500000-2800000</f>
        <v>200000</v>
      </c>
      <c r="E14" s="449">
        <v>500000</v>
      </c>
      <c r="F14" s="449">
        <f>D14-E14</f>
        <v>-300000</v>
      </c>
      <c r="G14" s="449">
        <v>200000</v>
      </c>
      <c r="H14" s="449"/>
      <c r="I14" s="449"/>
      <c r="J14" s="449"/>
      <c r="K14" s="449">
        <f>SUM(I14:J14)</f>
        <v>0</v>
      </c>
      <c r="L14" s="449">
        <f>H14+K14</f>
        <v>0</v>
      </c>
      <c r="M14" s="449">
        <f>P14+S14-200000</f>
        <v>0</v>
      </c>
      <c r="N14" s="449">
        <f>3000000-2800000-200000</f>
        <v>0</v>
      </c>
      <c r="O14" s="449">
        <f>D14-L14-M14-N14</f>
        <v>200000</v>
      </c>
      <c r="P14" s="449">
        <f>G14-L14</f>
        <v>200000</v>
      </c>
      <c r="Q14" s="451"/>
      <c r="R14" s="449"/>
      <c r="S14" s="449">
        <f>SUM(Q14:R14)</f>
        <v>0</v>
      </c>
      <c r="T14" s="450">
        <f>P14-M14+S14</f>
        <v>200000</v>
      </c>
      <c r="U14" s="449">
        <f>N14-T14</f>
        <v>-200000</v>
      </c>
      <c r="V14" s="449">
        <f>U14-AA14-W14-Z14-Y14-X14</f>
        <v>-200000</v>
      </c>
      <c r="W14" s="449"/>
      <c r="X14" s="449"/>
      <c r="Y14" s="449"/>
      <c r="Z14" s="449"/>
      <c r="AA14" s="448"/>
      <c r="AB14" s="448" t="s">
        <v>420</v>
      </c>
      <c r="AC14" s="448">
        <v>732000</v>
      </c>
      <c r="AD14" s="566"/>
      <c r="AE14" s="318"/>
      <c r="AF14" s="318"/>
      <c r="AG14" s="318"/>
      <c r="AH14" s="318"/>
      <c r="AI14" s="318"/>
      <c r="AJ14" s="318"/>
      <c r="AK14" s="318"/>
      <c r="AL14" s="318"/>
      <c r="AM14" s="422"/>
      <c r="AN14" s="422"/>
      <c r="AO14" s="422"/>
      <c r="AP14" s="422"/>
      <c r="AQ14" s="422"/>
      <c r="AR14" s="422"/>
      <c r="AS14" s="422"/>
      <c r="AT14" s="422"/>
      <c r="AU14" s="422"/>
      <c r="AV14" s="422"/>
      <c r="AW14" s="422"/>
      <c r="AX14" s="422"/>
      <c r="AY14" s="42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</row>
    <row r="15" spans="1:61" s="833" customFormat="1" ht="31.95" customHeight="1">
      <c r="A15" s="830"/>
      <c r="B15" s="454"/>
      <c r="C15" s="512" t="s">
        <v>1557</v>
      </c>
      <c r="D15" s="425">
        <f>SUM(D14)</f>
        <v>200000</v>
      </c>
      <c r="E15" s="425">
        <f t="shared" ref="E15:AA15" si="3">SUM(E14)</f>
        <v>500000</v>
      </c>
      <c r="F15" s="425">
        <f t="shared" si="3"/>
        <v>-300000</v>
      </c>
      <c r="G15" s="425">
        <f t="shared" si="3"/>
        <v>200000</v>
      </c>
      <c r="H15" s="425">
        <f t="shared" si="3"/>
        <v>0</v>
      </c>
      <c r="I15" s="425">
        <f t="shared" si="3"/>
        <v>0</v>
      </c>
      <c r="J15" s="425">
        <f t="shared" si="3"/>
        <v>0</v>
      </c>
      <c r="K15" s="425">
        <f t="shared" si="3"/>
        <v>0</v>
      </c>
      <c r="L15" s="425">
        <f t="shared" si="3"/>
        <v>0</v>
      </c>
      <c r="M15" s="425">
        <f t="shared" si="3"/>
        <v>0</v>
      </c>
      <c r="N15" s="425">
        <f t="shared" si="3"/>
        <v>0</v>
      </c>
      <c r="O15" s="425">
        <f t="shared" si="3"/>
        <v>200000</v>
      </c>
      <c r="P15" s="425">
        <f t="shared" si="3"/>
        <v>200000</v>
      </c>
      <c r="Q15" s="425">
        <f t="shared" si="3"/>
        <v>0</v>
      </c>
      <c r="R15" s="425">
        <f t="shared" si="3"/>
        <v>0</v>
      </c>
      <c r="S15" s="425">
        <f t="shared" si="3"/>
        <v>0</v>
      </c>
      <c r="T15" s="425">
        <f t="shared" si="3"/>
        <v>200000</v>
      </c>
      <c r="U15" s="425">
        <f t="shared" si="3"/>
        <v>-200000</v>
      </c>
      <c r="V15" s="425">
        <f t="shared" si="3"/>
        <v>-200000</v>
      </c>
      <c r="W15" s="425">
        <f t="shared" si="3"/>
        <v>0</v>
      </c>
      <c r="X15" s="425">
        <f t="shared" si="3"/>
        <v>0</v>
      </c>
      <c r="Y15" s="425">
        <f t="shared" si="3"/>
        <v>0</v>
      </c>
      <c r="Z15" s="425">
        <f t="shared" si="3"/>
        <v>0</v>
      </c>
      <c r="AA15" s="425">
        <f t="shared" si="3"/>
        <v>0</v>
      </c>
      <c r="AB15" s="512"/>
      <c r="AC15" s="512"/>
      <c r="AD15" s="832"/>
      <c r="AE15" s="415"/>
      <c r="AF15" s="415"/>
      <c r="AG15" s="415"/>
      <c r="AH15" s="415"/>
      <c r="AI15" s="415"/>
      <c r="AJ15" s="415"/>
      <c r="AK15" s="415"/>
      <c r="AL15" s="415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56"/>
      <c r="BA15" s="456"/>
      <c r="BB15" s="456"/>
      <c r="BC15" s="456"/>
      <c r="BD15" s="456"/>
      <c r="BE15" s="456"/>
      <c r="BF15" s="456"/>
      <c r="BG15" s="456"/>
      <c r="BH15" s="456"/>
      <c r="BI15" s="456"/>
    </row>
    <row r="16" spans="1:61" s="833" customFormat="1" ht="35.4" customHeight="1">
      <c r="A16" s="830"/>
      <c r="B16" s="454"/>
      <c r="C16" s="512">
        <v>76</v>
      </c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835"/>
      <c r="R16" s="425"/>
      <c r="S16" s="425"/>
      <c r="T16" s="459"/>
      <c r="U16" s="425"/>
      <c r="V16" s="425"/>
      <c r="W16" s="425"/>
      <c r="X16" s="425"/>
      <c r="Y16" s="425"/>
      <c r="Z16" s="425"/>
      <c r="AA16" s="512"/>
      <c r="AB16" s="512"/>
      <c r="AC16" s="512"/>
      <c r="AD16" s="832"/>
      <c r="AE16" s="415"/>
      <c r="AF16" s="415"/>
      <c r="AG16" s="415"/>
      <c r="AH16" s="415"/>
      <c r="AI16" s="415"/>
      <c r="AJ16" s="415"/>
      <c r="AK16" s="415"/>
      <c r="AL16" s="415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22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</row>
    <row r="17" spans="1:61" s="319" customFormat="1" ht="91.95" customHeight="1">
      <c r="A17" s="532">
        <f>1+A14</f>
        <v>6</v>
      </c>
      <c r="B17" s="532">
        <v>1002</v>
      </c>
      <c r="C17" s="532" t="s">
        <v>113</v>
      </c>
      <c r="D17" s="519">
        <v>3290000</v>
      </c>
      <c r="E17" s="519">
        <v>3290000</v>
      </c>
      <c r="F17" s="519">
        <f t="shared" ref="F17:F22" si="4">D17-E17</f>
        <v>0</v>
      </c>
      <c r="G17" s="519">
        <v>2310000</v>
      </c>
      <c r="H17" s="519">
        <v>2237464</v>
      </c>
      <c r="I17" s="519"/>
      <c r="J17" s="519"/>
      <c r="K17" s="519">
        <f t="shared" ref="K17:K22" si="5">I17+J17</f>
        <v>0</v>
      </c>
      <c r="L17" s="519">
        <f t="shared" ref="L17:L22" si="6">H17+K17</f>
        <v>2237464</v>
      </c>
      <c r="M17" s="533">
        <f>P17+S17-70000</f>
        <v>2536</v>
      </c>
      <c r="N17" s="533">
        <f>646000-46000</f>
        <v>600000</v>
      </c>
      <c r="O17" s="533">
        <f t="shared" ref="O17:O22" si="7">D17-L17-M17-N17</f>
        <v>450000</v>
      </c>
      <c r="P17" s="533">
        <f t="shared" ref="P17:P22" si="8">G17-L17</f>
        <v>72536</v>
      </c>
      <c r="Q17" s="533"/>
      <c r="R17" s="533"/>
      <c r="S17" s="533">
        <f t="shared" ref="S17:S22" si="9">SUM(Q17:R17)</f>
        <v>0</v>
      </c>
      <c r="T17" s="533">
        <f t="shared" ref="T17:T22" si="10">P17-M17+S17</f>
        <v>70000</v>
      </c>
      <c r="U17" s="533">
        <f t="shared" ref="U17:U22" si="11">N17-T17</f>
        <v>530000</v>
      </c>
      <c r="V17" s="533"/>
      <c r="W17" s="533">
        <f>U17-V17-X17-Z17-AA17</f>
        <v>530000</v>
      </c>
      <c r="X17" s="519"/>
      <c r="Y17" s="519"/>
      <c r="Z17" s="519"/>
      <c r="AA17" s="532"/>
      <c r="AB17" s="532" t="s">
        <v>1002</v>
      </c>
      <c r="AC17" s="532">
        <v>760000</v>
      </c>
      <c r="AD17" s="566"/>
      <c r="AE17" s="318"/>
      <c r="AF17" s="318"/>
      <c r="AG17" s="318"/>
      <c r="AH17" s="318"/>
      <c r="AI17" s="318"/>
      <c r="AJ17" s="318"/>
      <c r="AK17" s="318"/>
      <c r="AL17" s="318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</row>
    <row r="18" spans="1:61" ht="41.4">
      <c r="A18" s="532">
        <f t="shared" si="0"/>
        <v>7</v>
      </c>
      <c r="B18" s="532">
        <v>1871</v>
      </c>
      <c r="C18" s="532" t="s">
        <v>337</v>
      </c>
      <c r="D18" s="519">
        <f>23340000+23500000</f>
        <v>46840000</v>
      </c>
      <c r="E18" s="519">
        <v>23340000</v>
      </c>
      <c r="F18" s="519">
        <f t="shared" si="4"/>
        <v>23500000</v>
      </c>
      <c r="G18" s="519">
        <v>23340000</v>
      </c>
      <c r="H18" s="519">
        <v>17971191</v>
      </c>
      <c r="I18" s="519"/>
      <c r="J18" s="519">
        <v>5344902</v>
      </c>
      <c r="K18" s="519">
        <f t="shared" si="5"/>
        <v>5344902</v>
      </c>
      <c r="L18" s="519">
        <f t="shared" si="6"/>
        <v>23316093</v>
      </c>
      <c r="M18" s="533">
        <f>P18+S18-20000</f>
        <v>3907</v>
      </c>
      <c r="N18" s="533">
        <f>4500000+1000000-2500000-400000</f>
        <v>2600000</v>
      </c>
      <c r="O18" s="533">
        <f t="shared" si="7"/>
        <v>20920000</v>
      </c>
      <c r="P18" s="533">
        <f t="shared" si="8"/>
        <v>23907</v>
      </c>
      <c r="Q18" s="533"/>
      <c r="R18" s="533"/>
      <c r="S18" s="533">
        <f t="shared" si="9"/>
        <v>0</v>
      </c>
      <c r="T18" s="533">
        <f t="shared" si="10"/>
        <v>20000</v>
      </c>
      <c r="U18" s="533">
        <f t="shared" si="11"/>
        <v>2580000</v>
      </c>
      <c r="V18" s="533">
        <v>2580000</v>
      </c>
      <c r="W18" s="533">
        <f>U18-V18-X18-Z18-AA18</f>
        <v>0</v>
      </c>
      <c r="X18" s="519"/>
      <c r="Y18" s="519"/>
      <c r="Z18" s="519"/>
      <c r="AA18" s="532"/>
      <c r="AB18" s="532" t="s">
        <v>284</v>
      </c>
      <c r="AC18" s="532">
        <v>760000</v>
      </c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</row>
    <row r="19" spans="1:61" s="452" customFormat="1" ht="87" customHeight="1">
      <c r="A19" s="532">
        <f t="shared" si="0"/>
        <v>8</v>
      </c>
      <c r="B19" s="532">
        <v>2082</v>
      </c>
      <c r="C19" s="532" t="s">
        <v>926</v>
      </c>
      <c r="D19" s="519">
        <v>1600000</v>
      </c>
      <c r="E19" s="519">
        <v>1600000</v>
      </c>
      <c r="F19" s="519">
        <f t="shared" si="4"/>
        <v>0</v>
      </c>
      <c r="G19" s="519">
        <v>1160000</v>
      </c>
      <c r="H19" s="519">
        <v>808264</v>
      </c>
      <c r="I19" s="519"/>
      <c r="J19" s="519"/>
      <c r="K19" s="519">
        <f t="shared" si="5"/>
        <v>0</v>
      </c>
      <c r="L19" s="519">
        <f t="shared" si="6"/>
        <v>808264</v>
      </c>
      <c r="M19" s="533">
        <f>P19+S19-350000</f>
        <v>1736</v>
      </c>
      <c r="N19" s="533">
        <f>440000+350000</f>
        <v>790000</v>
      </c>
      <c r="O19" s="533">
        <f t="shared" si="7"/>
        <v>0</v>
      </c>
      <c r="P19" s="533">
        <f t="shared" si="8"/>
        <v>351736</v>
      </c>
      <c r="Q19" s="533"/>
      <c r="R19" s="533"/>
      <c r="S19" s="533">
        <f t="shared" si="9"/>
        <v>0</v>
      </c>
      <c r="T19" s="533">
        <f t="shared" si="10"/>
        <v>350000</v>
      </c>
      <c r="U19" s="533">
        <f t="shared" si="11"/>
        <v>440000</v>
      </c>
      <c r="V19" s="533"/>
      <c r="W19" s="533">
        <f>U19-V19-X19-Z19-AA19</f>
        <v>440000</v>
      </c>
      <c r="X19" s="519"/>
      <c r="Y19" s="519"/>
      <c r="Z19" s="519"/>
      <c r="AA19" s="532"/>
      <c r="AB19" s="532" t="s">
        <v>338</v>
      </c>
      <c r="AC19" s="532">
        <v>760000</v>
      </c>
      <c r="AD19" s="566"/>
      <c r="AE19" s="318"/>
      <c r="AF19" s="318"/>
      <c r="AG19" s="318"/>
      <c r="AH19" s="318"/>
      <c r="AI19" s="318"/>
      <c r="AJ19" s="318"/>
      <c r="AK19" s="318"/>
      <c r="AL19" s="318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</row>
    <row r="20" spans="1:61" s="319" customFormat="1" ht="55.2">
      <c r="A20" s="532">
        <f t="shared" si="0"/>
        <v>9</v>
      </c>
      <c r="B20" s="534">
        <v>2170</v>
      </c>
      <c r="C20" s="448" t="s">
        <v>403</v>
      </c>
      <c r="D20" s="519">
        <f>860000+500000</f>
        <v>1360000</v>
      </c>
      <c r="E20" s="519">
        <v>860000</v>
      </c>
      <c r="F20" s="519">
        <f t="shared" si="4"/>
        <v>500000</v>
      </c>
      <c r="G20" s="519">
        <v>510000</v>
      </c>
      <c r="H20" s="519">
        <v>366580</v>
      </c>
      <c r="I20" s="519"/>
      <c r="J20" s="519">
        <v>64265</v>
      </c>
      <c r="K20" s="519">
        <f t="shared" si="5"/>
        <v>64265</v>
      </c>
      <c r="L20" s="519">
        <f t="shared" si="6"/>
        <v>430845</v>
      </c>
      <c r="M20" s="533">
        <f>P20+S20-70000-5000</f>
        <v>4155</v>
      </c>
      <c r="N20" s="533">
        <f>70000+350000+500000-480000+5000</f>
        <v>445000</v>
      </c>
      <c r="O20" s="533">
        <f t="shared" si="7"/>
        <v>480000</v>
      </c>
      <c r="P20" s="533">
        <f t="shared" si="8"/>
        <v>79155</v>
      </c>
      <c r="Q20" s="533"/>
      <c r="R20" s="533"/>
      <c r="S20" s="533">
        <f t="shared" si="9"/>
        <v>0</v>
      </c>
      <c r="T20" s="533">
        <f t="shared" si="10"/>
        <v>75000</v>
      </c>
      <c r="U20" s="533">
        <f t="shared" si="11"/>
        <v>370000</v>
      </c>
      <c r="V20" s="533"/>
      <c r="W20" s="533">
        <f>U20-V20-X20-Z20-AA20</f>
        <v>370000</v>
      </c>
      <c r="X20" s="519"/>
      <c r="Y20" s="519"/>
      <c r="Z20" s="519"/>
      <c r="AA20" s="532"/>
      <c r="AB20" s="448" t="s">
        <v>1392</v>
      </c>
      <c r="AC20" s="532">
        <v>760000</v>
      </c>
      <c r="AD20" s="566"/>
      <c r="AE20" s="318"/>
      <c r="AF20" s="318"/>
      <c r="AG20" s="318"/>
      <c r="AH20" s="318"/>
      <c r="AI20" s="318"/>
      <c r="AJ20" s="318"/>
      <c r="AK20" s="318"/>
      <c r="AL20" s="318"/>
    </row>
    <row r="21" spans="1:61" s="452" customFormat="1" ht="45" customHeight="1">
      <c r="A21" s="532">
        <f t="shared" si="0"/>
        <v>10</v>
      </c>
      <c r="B21" s="455">
        <v>20085</v>
      </c>
      <c r="C21" s="448" t="s">
        <v>925</v>
      </c>
      <c r="D21" s="533">
        <f>200000+250000+250000</f>
        <v>700000</v>
      </c>
      <c r="E21" s="533">
        <v>200000</v>
      </c>
      <c r="F21" s="533">
        <f t="shared" si="4"/>
        <v>500000</v>
      </c>
      <c r="G21" s="533">
        <v>200000</v>
      </c>
      <c r="H21" s="533">
        <v>199534</v>
      </c>
      <c r="I21" s="533"/>
      <c r="J21" s="533"/>
      <c r="K21" s="533">
        <f t="shared" si="5"/>
        <v>0</v>
      </c>
      <c r="L21" s="533">
        <f t="shared" si="6"/>
        <v>199534</v>
      </c>
      <c r="M21" s="533">
        <f>P21+S21</f>
        <v>466</v>
      </c>
      <c r="N21" s="533">
        <f>500000-135000</f>
        <v>365000</v>
      </c>
      <c r="O21" s="533">
        <f t="shared" si="7"/>
        <v>135000</v>
      </c>
      <c r="P21" s="533">
        <f t="shared" si="8"/>
        <v>466</v>
      </c>
      <c r="Q21" s="533"/>
      <c r="R21" s="533"/>
      <c r="S21" s="533">
        <f t="shared" si="9"/>
        <v>0</v>
      </c>
      <c r="T21" s="533">
        <f t="shared" si="10"/>
        <v>0</v>
      </c>
      <c r="U21" s="533">
        <f t="shared" si="11"/>
        <v>365000</v>
      </c>
      <c r="V21" s="533"/>
      <c r="W21" s="533">
        <f>U21-V21-X21-Z21-AA21</f>
        <v>365000</v>
      </c>
      <c r="X21" s="519"/>
      <c r="Y21" s="519"/>
      <c r="Z21" s="519"/>
      <c r="AA21" s="533"/>
      <c r="AB21" s="448" t="s">
        <v>1003</v>
      </c>
      <c r="AC21" s="448">
        <v>760000</v>
      </c>
      <c r="AD21" s="566"/>
      <c r="AE21" s="318"/>
      <c r="AF21" s="318"/>
      <c r="AG21" s="318"/>
      <c r="AH21" s="318"/>
      <c r="AI21" s="318"/>
      <c r="AJ21" s="318"/>
      <c r="AK21" s="318"/>
      <c r="AL21" s="318"/>
      <c r="AM21" s="319"/>
      <c r="AN21" s="319"/>
      <c r="AO21" s="319"/>
      <c r="AP21" s="319"/>
      <c r="AQ21" s="319"/>
      <c r="AR21" s="319"/>
      <c r="AS21" s="319"/>
      <c r="AT21" s="319"/>
      <c r="AU21" s="319"/>
      <c r="AV21" s="535"/>
      <c r="AW21" s="535"/>
      <c r="AX21" s="535"/>
      <c r="AY21" s="535"/>
      <c r="AZ21" s="535"/>
      <c r="BA21" s="535"/>
      <c r="BB21" s="535"/>
      <c r="BC21" s="535"/>
      <c r="BD21" s="535"/>
      <c r="BE21" s="535"/>
      <c r="BF21" s="535"/>
      <c r="BG21" s="535"/>
      <c r="BH21" s="535"/>
      <c r="BI21" s="535"/>
    </row>
    <row r="22" spans="1:61" s="452" customFormat="1" ht="60.6" customHeight="1">
      <c r="A22" s="532">
        <f t="shared" si="0"/>
        <v>11</v>
      </c>
      <c r="B22" s="455">
        <v>20134</v>
      </c>
      <c r="C22" s="135" t="s">
        <v>1004</v>
      </c>
      <c r="D22" s="120">
        <v>200000</v>
      </c>
      <c r="E22" s="120"/>
      <c r="F22" s="120">
        <f t="shared" si="4"/>
        <v>200000</v>
      </c>
      <c r="G22" s="120">
        <v>0</v>
      </c>
      <c r="H22" s="120"/>
      <c r="I22" s="120"/>
      <c r="J22" s="120"/>
      <c r="K22" s="120">
        <f t="shared" si="5"/>
        <v>0</v>
      </c>
      <c r="L22" s="120">
        <f t="shared" si="6"/>
        <v>0</v>
      </c>
      <c r="M22" s="120">
        <v>0</v>
      </c>
      <c r="N22" s="419">
        <v>200000</v>
      </c>
      <c r="O22" s="120">
        <f t="shared" si="7"/>
        <v>0</v>
      </c>
      <c r="P22" s="120">
        <f t="shared" si="8"/>
        <v>0</v>
      </c>
      <c r="Q22" s="120"/>
      <c r="R22" s="120"/>
      <c r="S22" s="120">
        <f t="shared" si="9"/>
        <v>0</v>
      </c>
      <c r="T22" s="120">
        <f t="shared" si="10"/>
        <v>0</v>
      </c>
      <c r="U22" s="120">
        <f t="shared" si="11"/>
        <v>200000</v>
      </c>
      <c r="V22" s="120">
        <f>U22-W22-Z22-AA22</f>
        <v>0</v>
      </c>
      <c r="W22" s="120">
        <v>200000</v>
      </c>
      <c r="X22" s="120"/>
      <c r="Y22" s="120"/>
      <c r="Z22" s="120"/>
      <c r="AA22" s="533"/>
      <c r="AB22" s="448" t="s">
        <v>1339</v>
      </c>
      <c r="AC22" s="448">
        <v>760000</v>
      </c>
      <c r="AD22" s="566"/>
      <c r="AE22" s="318"/>
      <c r="AF22" s="318"/>
      <c r="AG22" s="318"/>
      <c r="AH22" s="318"/>
      <c r="AI22" s="318"/>
      <c r="AJ22" s="318"/>
      <c r="AK22" s="318"/>
      <c r="AL22" s="318"/>
      <c r="AM22" s="491"/>
      <c r="AN22" s="491"/>
      <c r="AO22" s="491"/>
      <c r="AP22" s="491"/>
      <c r="AQ22" s="491"/>
      <c r="AR22" s="491"/>
      <c r="AS22" s="491"/>
      <c r="AT22" s="491"/>
      <c r="AU22" s="491"/>
      <c r="AV22" s="535"/>
      <c r="AW22" s="535"/>
      <c r="AX22" s="535"/>
      <c r="AY22" s="535"/>
      <c r="AZ22" s="535"/>
      <c r="BA22" s="535"/>
      <c r="BB22" s="535"/>
      <c r="BC22" s="535"/>
      <c r="BD22" s="535"/>
    </row>
    <row r="23" spans="1:61" s="456" customFormat="1" ht="32.4" customHeight="1">
      <c r="A23" s="830"/>
      <c r="B23" s="454"/>
      <c r="C23" s="137" t="s">
        <v>1559</v>
      </c>
      <c r="D23" s="138">
        <f>SUM(D17:D22)</f>
        <v>53990000</v>
      </c>
      <c r="E23" s="138">
        <f t="shared" ref="E23:AA23" si="12">SUM(E17:E22)</f>
        <v>29290000</v>
      </c>
      <c r="F23" s="138">
        <f t="shared" si="12"/>
        <v>24700000</v>
      </c>
      <c r="G23" s="138">
        <f t="shared" si="12"/>
        <v>27520000</v>
      </c>
      <c r="H23" s="138">
        <f t="shared" si="12"/>
        <v>21583033</v>
      </c>
      <c r="I23" s="138">
        <f t="shared" si="12"/>
        <v>0</v>
      </c>
      <c r="J23" s="138">
        <f t="shared" si="12"/>
        <v>5409167</v>
      </c>
      <c r="K23" s="138">
        <f t="shared" si="12"/>
        <v>5409167</v>
      </c>
      <c r="L23" s="138">
        <f t="shared" si="12"/>
        <v>26992200</v>
      </c>
      <c r="M23" s="138">
        <f t="shared" si="12"/>
        <v>12800</v>
      </c>
      <c r="N23" s="138">
        <f t="shared" si="12"/>
        <v>5000000</v>
      </c>
      <c r="O23" s="138">
        <f t="shared" si="12"/>
        <v>21985000</v>
      </c>
      <c r="P23" s="138">
        <f t="shared" si="12"/>
        <v>527800</v>
      </c>
      <c r="Q23" s="138">
        <f t="shared" si="12"/>
        <v>0</v>
      </c>
      <c r="R23" s="138">
        <f t="shared" si="12"/>
        <v>0</v>
      </c>
      <c r="S23" s="138">
        <f t="shared" si="12"/>
        <v>0</v>
      </c>
      <c r="T23" s="138">
        <f t="shared" si="12"/>
        <v>515000</v>
      </c>
      <c r="U23" s="138">
        <f t="shared" si="12"/>
        <v>4485000</v>
      </c>
      <c r="V23" s="138">
        <f t="shared" si="12"/>
        <v>2580000</v>
      </c>
      <c r="W23" s="138">
        <f t="shared" si="12"/>
        <v>1905000</v>
      </c>
      <c r="X23" s="138">
        <f t="shared" si="12"/>
        <v>0</v>
      </c>
      <c r="Y23" s="138">
        <f t="shared" si="12"/>
        <v>0</v>
      </c>
      <c r="Z23" s="138">
        <f t="shared" si="12"/>
        <v>0</v>
      </c>
      <c r="AA23" s="138">
        <f t="shared" si="12"/>
        <v>0</v>
      </c>
      <c r="AB23" s="512"/>
      <c r="AC23" s="512"/>
      <c r="AD23" s="832"/>
      <c r="AE23" s="415"/>
      <c r="AF23" s="415"/>
      <c r="AG23" s="415"/>
      <c r="AH23" s="415"/>
      <c r="AI23" s="415"/>
      <c r="AJ23" s="415"/>
      <c r="AK23" s="415"/>
      <c r="AL23" s="415"/>
      <c r="AM23" s="836"/>
      <c r="AN23" s="836"/>
      <c r="AO23" s="836"/>
      <c r="AP23" s="836"/>
      <c r="AQ23" s="836"/>
      <c r="AR23" s="836"/>
      <c r="AS23" s="836"/>
      <c r="AT23" s="836"/>
      <c r="AU23" s="836"/>
      <c r="AV23" s="834"/>
      <c r="AW23" s="834"/>
      <c r="AX23" s="834"/>
      <c r="AY23" s="834"/>
      <c r="AZ23" s="834"/>
      <c r="BA23" s="834"/>
      <c r="BB23" s="834"/>
      <c r="BC23" s="834"/>
      <c r="BD23" s="834"/>
    </row>
    <row r="24" spans="1:61" s="456" customFormat="1" ht="24.6" customHeight="1">
      <c r="A24" s="830"/>
      <c r="B24" s="454"/>
      <c r="C24" s="137">
        <v>81</v>
      </c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6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831"/>
      <c r="AB24" s="512"/>
      <c r="AC24" s="512"/>
      <c r="AD24" s="832"/>
      <c r="AE24" s="415"/>
      <c r="AF24" s="415"/>
      <c r="AG24" s="415"/>
      <c r="AH24" s="415"/>
      <c r="AI24" s="415"/>
      <c r="AJ24" s="415"/>
      <c r="AK24" s="415"/>
      <c r="AL24" s="415"/>
      <c r="AM24" s="836"/>
      <c r="AN24" s="836"/>
      <c r="AO24" s="836"/>
      <c r="AP24" s="836"/>
      <c r="AQ24" s="836"/>
      <c r="AR24" s="836"/>
      <c r="AS24" s="836"/>
      <c r="AT24" s="836"/>
      <c r="AU24" s="836"/>
      <c r="AV24" s="834"/>
      <c r="AW24" s="834"/>
      <c r="AX24" s="834"/>
      <c r="AY24" s="834"/>
      <c r="AZ24" s="834"/>
      <c r="BA24" s="834"/>
      <c r="BB24" s="834"/>
      <c r="BC24" s="834"/>
      <c r="BD24" s="834"/>
    </row>
    <row r="25" spans="1:61" s="452" customFormat="1" ht="45" customHeight="1">
      <c r="A25" s="532">
        <f>1+A22</f>
        <v>12</v>
      </c>
      <c r="B25" s="532">
        <v>1647</v>
      </c>
      <c r="C25" s="532" t="s">
        <v>285</v>
      </c>
      <c r="D25" s="519">
        <v>4700000</v>
      </c>
      <c r="E25" s="519">
        <v>4700000</v>
      </c>
      <c r="F25" s="519">
        <f>D25-E25</f>
        <v>0</v>
      </c>
      <c r="G25" s="519">
        <v>4450000</v>
      </c>
      <c r="H25" s="519">
        <v>4423055</v>
      </c>
      <c r="I25" s="519"/>
      <c r="J25" s="519">
        <v>15735</v>
      </c>
      <c r="K25" s="519">
        <f>I25+J25</f>
        <v>15735</v>
      </c>
      <c r="L25" s="519">
        <f>H25+K25</f>
        <v>4438790</v>
      </c>
      <c r="M25" s="533">
        <f>P25+S25</f>
        <v>11210</v>
      </c>
      <c r="N25" s="533">
        <v>150000</v>
      </c>
      <c r="O25" s="533">
        <f>D25-L25-M25-N25</f>
        <v>100000</v>
      </c>
      <c r="P25" s="533">
        <f>G25-L25</f>
        <v>11210</v>
      </c>
      <c r="Q25" s="533"/>
      <c r="R25" s="533"/>
      <c r="S25" s="533">
        <f>SUM(Q25:R25)</f>
        <v>0</v>
      </c>
      <c r="T25" s="533">
        <f>P25-M25+S25</f>
        <v>0</v>
      </c>
      <c r="U25" s="533">
        <f>N25-T25</f>
        <v>150000</v>
      </c>
      <c r="V25" s="533"/>
      <c r="W25" s="533">
        <f>U25-V25-X25-Z25-AA25</f>
        <v>150000</v>
      </c>
      <c r="X25" s="519"/>
      <c r="Y25" s="519"/>
      <c r="Z25" s="519"/>
      <c r="AA25" s="532"/>
      <c r="AB25" s="532" t="s">
        <v>314</v>
      </c>
      <c r="AC25" s="532">
        <v>810000</v>
      </c>
      <c r="AD25" s="566"/>
      <c r="AE25" s="318"/>
      <c r="AF25" s="318"/>
      <c r="AG25" s="318"/>
      <c r="AH25" s="318"/>
      <c r="AI25" s="318"/>
      <c r="AJ25" s="318"/>
      <c r="AK25" s="318"/>
      <c r="AL25" s="318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</row>
    <row r="26" spans="1:61" s="452" customFormat="1" ht="45" customHeight="1">
      <c r="A26" s="532">
        <f t="shared" si="0"/>
        <v>13</v>
      </c>
      <c r="B26" s="532">
        <v>2083</v>
      </c>
      <c r="C26" s="532" t="s">
        <v>297</v>
      </c>
      <c r="D26" s="519">
        <v>7880000</v>
      </c>
      <c r="E26" s="519">
        <v>7880000</v>
      </c>
      <c r="F26" s="519">
        <f>D26-E26</f>
        <v>0</v>
      </c>
      <c r="G26" s="519">
        <v>7880000</v>
      </c>
      <c r="H26" s="519">
        <v>7727793</v>
      </c>
      <c r="I26" s="519"/>
      <c r="J26" s="519"/>
      <c r="K26" s="519">
        <f>I26+J26</f>
        <v>0</v>
      </c>
      <c r="L26" s="519">
        <f>H26+K26</f>
        <v>7727793</v>
      </c>
      <c r="M26" s="533">
        <f>P26+S26-152207</f>
        <v>0</v>
      </c>
      <c r="N26" s="533">
        <v>0</v>
      </c>
      <c r="O26" s="533">
        <f>D26-L26-M26-N26</f>
        <v>152207</v>
      </c>
      <c r="P26" s="533">
        <f>G26-L26</f>
        <v>152207</v>
      </c>
      <c r="Q26" s="533"/>
      <c r="R26" s="533"/>
      <c r="S26" s="533">
        <f>SUM(Q26:R26)</f>
        <v>0</v>
      </c>
      <c r="T26" s="533">
        <f>P26-M26+S26</f>
        <v>152207</v>
      </c>
      <c r="U26" s="533">
        <f>N26-T26</f>
        <v>-152207</v>
      </c>
      <c r="V26" s="533"/>
      <c r="W26" s="533">
        <f>U26-V26-X26-Z26-AA26</f>
        <v>0</v>
      </c>
      <c r="X26" s="519"/>
      <c r="Y26" s="519"/>
      <c r="Z26" s="519"/>
      <c r="AA26" s="533">
        <v>-152207</v>
      </c>
      <c r="AB26" s="532" t="s">
        <v>1455</v>
      </c>
      <c r="AC26" s="532">
        <v>810000</v>
      </c>
      <c r="AD26" s="566"/>
      <c r="AE26" s="318"/>
      <c r="AF26" s="318"/>
      <c r="AG26" s="318"/>
      <c r="AH26" s="318"/>
      <c r="AI26" s="318"/>
      <c r="AJ26" s="318"/>
      <c r="AK26" s="318"/>
      <c r="AL26" s="318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</row>
    <row r="27" spans="1:61" s="452" customFormat="1" ht="41.4">
      <c r="A27" s="532">
        <f t="shared" si="0"/>
        <v>14</v>
      </c>
      <c r="B27" s="455">
        <v>20077</v>
      </c>
      <c r="C27" s="532" t="s">
        <v>297</v>
      </c>
      <c r="D27" s="533">
        <f>1000000+1000000</f>
        <v>2000000</v>
      </c>
      <c r="E27" s="533">
        <v>1000000</v>
      </c>
      <c r="F27" s="533">
        <f>D27-E27</f>
        <v>1000000</v>
      </c>
      <c r="G27" s="533">
        <v>0</v>
      </c>
      <c r="H27" s="533">
        <v>14055</v>
      </c>
      <c r="I27" s="533"/>
      <c r="J27" s="533">
        <v>984301</v>
      </c>
      <c r="K27" s="533">
        <f>I27+J27</f>
        <v>984301</v>
      </c>
      <c r="L27" s="533">
        <f>H27+K27</f>
        <v>998356</v>
      </c>
      <c r="M27" s="533">
        <f>P27+S27</f>
        <v>1644</v>
      </c>
      <c r="N27" s="533">
        <f>1000000</f>
        <v>1000000</v>
      </c>
      <c r="O27" s="533">
        <f>D27-L27-M27-N27</f>
        <v>0</v>
      </c>
      <c r="P27" s="533">
        <f>G27-L27</f>
        <v>-998356</v>
      </c>
      <c r="Q27" s="533">
        <v>1000000</v>
      </c>
      <c r="R27" s="533"/>
      <c r="S27" s="533">
        <f>SUM(Q27:R27)</f>
        <v>1000000</v>
      </c>
      <c r="T27" s="533">
        <f>P27-M27+S27</f>
        <v>0</v>
      </c>
      <c r="U27" s="533">
        <f>N27-T27</f>
        <v>1000000</v>
      </c>
      <c r="V27" s="533"/>
      <c r="W27" s="533">
        <f>U27-V27-X27-Z27-AA27</f>
        <v>0</v>
      </c>
      <c r="X27" s="519"/>
      <c r="Y27" s="519"/>
      <c r="Z27" s="519"/>
      <c r="AA27" s="533">
        <v>1000000</v>
      </c>
      <c r="AB27" s="532" t="s">
        <v>776</v>
      </c>
      <c r="AC27" s="448">
        <v>810000</v>
      </c>
      <c r="AD27" s="566"/>
      <c r="AE27" s="318"/>
      <c r="AF27" s="318"/>
      <c r="AG27" s="318"/>
      <c r="AH27" s="318"/>
      <c r="AI27" s="318"/>
      <c r="AJ27" s="318"/>
      <c r="AK27" s="318"/>
      <c r="AL27" s="318"/>
      <c r="AM27" s="157"/>
      <c r="AN27" s="157"/>
      <c r="AO27" s="157"/>
      <c r="AP27" s="157"/>
      <c r="AQ27" s="157"/>
      <c r="AR27" s="157"/>
      <c r="AS27" s="157"/>
      <c r="AT27" s="157"/>
      <c r="AU27" s="157"/>
      <c r="AV27" s="272"/>
      <c r="AW27" s="272"/>
      <c r="AX27" s="272"/>
      <c r="AY27" s="272"/>
      <c r="AZ27" s="272"/>
      <c r="BA27" s="272"/>
      <c r="BB27" s="272"/>
      <c r="BC27" s="272"/>
      <c r="BD27" s="272"/>
      <c r="BE27" s="272"/>
    </row>
    <row r="28" spans="1:61" s="456" customFormat="1">
      <c r="A28" s="830"/>
      <c r="B28" s="454"/>
      <c r="C28" s="830" t="s">
        <v>1562</v>
      </c>
      <c r="D28" s="831">
        <f>SUM(D25:D27)</f>
        <v>14580000</v>
      </c>
      <c r="E28" s="831">
        <f t="shared" ref="E28:AA28" si="13">SUM(E25:E27)</f>
        <v>13580000</v>
      </c>
      <c r="F28" s="831">
        <f t="shared" si="13"/>
        <v>1000000</v>
      </c>
      <c r="G28" s="831">
        <f t="shared" si="13"/>
        <v>12330000</v>
      </c>
      <c r="H28" s="831">
        <f t="shared" si="13"/>
        <v>12164903</v>
      </c>
      <c r="I28" s="831">
        <f t="shared" si="13"/>
        <v>0</v>
      </c>
      <c r="J28" s="831">
        <f t="shared" si="13"/>
        <v>1000036</v>
      </c>
      <c r="K28" s="831">
        <f t="shared" si="13"/>
        <v>1000036</v>
      </c>
      <c r="L28" s="831">
        <f t="shared" si="13"/>
        <v>13164939</v>
      </c>
      <c r="M28" s="831">
        <f t="shared" si="13"/>
        <v>12854</v>
      </c>
      <c r="N28" s="831">
        <f t="shared" si="13"/>
        <v>1150000</v>
      </c>
      <c r="O28" s="831">
        <f t="shared" si="13"/>
        <v>252207</v>
      </c>
      <c r="P28" s="831">
        <f t="shared" si="13"/>
        <v>-834939</v>
      </c>
      <c r="Q28" s="831">
        <f t="shared" si="13"/>
        <v>1000000</v>
      </c>
      <c r="R28" s="831">
        <f t="shared" si="13"/>
        <v>0</v>
      </c>
      <c r="S28" s="831">
        <f t="shared" si="13"/>
        <v>1000000</v>
      </c>
      <c r="T28" s="831">
        <f t="shared" si="13"/>
        <v>152207</v>
      </c>
      <c r="U28" s="831">
        <f t="shared" si="13"/>
        <v>997793</v>
      </c>
      <c r="V28" s="831">
        <f t="shared" si="13"/>
        <v>0</v>
      </c>
      <c r="W28" s="831">
        <f t="shared" si="13"/>
        <v>150000</v>
      </c>
      <c r="X28" s="831">
        <f t="shared" si="13"/>
        <v>0</v>
      </c>
      <c r="Y28" s="831">
        <f t="shared" si="13"/>
        <v>0</v>
      </c>
      <c r="Z28" s="831">
        <f t="shared" si="13"/>
        <v>0</v>
      </c>
      <c r="AA28" s="831">
        <f t="shared" si="13"/>
        <v>847793</v>
      </c>
      <c r="AB28" s="830"/>
      <c r="AC28" s="512"/>
      <c r="AD28" s="832"/>
      <c r="AE28" s="415"/>
      <c r="AF28" s="415"/>
      <c r="AG28" s="415"/>
      <c r="AH28" s="415"/>
      <c r="AI28" s="415"/>
      <c r="AJ28" s="415"/>
      <c r="AK28" s="415"/>
      <c r="AL28" s="415"/>
      <c r="AM28" s="303"/>
      <c r="AN28" s="303"/>
      <c r="AO28" s="303"/>
      <c r="AP28" s="303"/>
      <c r="AQ28" s="303"/>
      <c r="AR28" s="303"/>
      <c r="AS28" s="303"/>
      <c r="AT28" s="303"/>
      <c r="AU28" s="303"/>
      <c r="AV28" s="374"/>
      <c r="AW28" s="374"/>
      <c r="AX28" s="374"/>
      <c r="AY28" s="374"/>
      <c r="AZ28" s="374"/>
      <c r="BA28" s="374"/>
      <c r="BB28" s="374"/>
      <c r="BC28" s="374"/>
      <c r="BD28" s="374"/>
      <c r="BE28" s="374"/>
    </row>
    <row r="29" spans="1:61" s="473" customFormat="1" ht="34.950000000000003" customHeight="1">
      <c r="A29" s="249">
        <f>COUNT(A6:A27)</f>
        <v>14</v>
      </c>
      <c r="B29" s="454"/>
      <c r="C29" s="219" t="s">
        <v>313</v>
      </c>
      <c r="D29" s="249">
        <f>D28+D23+D15+D12+D9</f>
        <v>112760000</v>
      </c>
      <c r="E29" s="249">
        <f t="shared" ref="E29:AA29" si="14">E28+E23+E15+E12+E9</f>
        <v>73160000</v>
      </c>
      <c r="F29" s="249">
        <f t="shared" si="14"/>
        <v>39600000</v>
      </c>
      <c r="G29" s="249">
        <f t="shared" si="14"/>
        <v>64273000</v>
      </c>
      <c r="H29" s="249">
        <f t="shared" si="14"/>
        <v>54798202</v>
      </c>
      <c r="I29" s="249">
        <f t="shared" si="14"/>
        <v>43536</v>
      </c>
      <c r="J29" s="249">
        <f t="shared" si="14"/>
        <v>9275931</v>
      </c>
      <c r="K29" s="249">
        <f t="shared" si="14"/>
        <v>9319467</v>
      </c>
      <c r="L29" s="249">
        <f t="shared" si="14"/>
        <v>64117669</v>
      </c>
      <c r="M29" s="249">
        <f t="shared" si="14"/>
        <v>38124</v>
      </c>
      <c r="N29" s="249">
        <f t="shared" si="14"/>
        <v>8920000</v>
      </c>
      <c r="O29" s="249">
        <f t="shared" si="14"/>
        <v>39684207</v>
      </c>
      <c r="P29" s="249">
        <f t="shared" si="14"/>
        <v>155331</v>
      </c>
      <c r="Q29" s="249">
        <f t="shared" si="14"/>
        <v>1000000</v>
      </c>
      <c r="R29" s="249">
        <f t="shared" si="14"/>
        <v>0</v>
      </c>
      <c r="S29" s="249">
        <f t="shared" si="14"/>
        <v>1000000</v>
      </c>
      <c r="T29" s="249">
        <f t="shared" si="14"/>
        <v>1117207</v>
      </c>
      <c r="U29" s="249">
        <f t="shared" si="14"/>
        <v>7802793</v>
      </c>
      <c r="V29" s="249">
        <f t="shared" si="14"/>
        <v>2380000</v>
      </c>
      <c r="W29" s="249">
        <f t="shared" si="14"/>
        <v>4575000</v>
      </c>
      <c r="X29" s="249">
        <f t="shared" si="14"/>
        <v>0</v>
      </c>
      <c r="Y29" s="249">
        <f t="shared" si="14"/>
        <v>0</v>
      </c>
      <c r="Z29" s="249">
        <f t="shared" si="14"/>
        <v>0</v>
      </c>
      <c r="AA29" s="249">
        <f t="shared" si="14"/>
        <v>847793</v>
      </c>
      <c r="AB29" s="454"/>
      <c r="AC29" s="454"/>
      <c r="AD29" s="566"/>
      <c r="AE29" s="318"/>
      <c r="AF29" s="318"/>
      <c r="AG29" s="318"/>
      <c r="AH29" s="318"/>
      <c r="AI29" s="318"/>
      <c r="AJ29" s="318"/>
      <c r="AK29" s="318"/>
      <c r="AL29" s="318"/>
      <c r="AM29" s="472"/>
      <c r="AN29" s="472"/>
      <c r="AO29" s="472"/>
      <c r="AP29" s="472"/>
      <c r="AQ29" s="472"/>
      <c r="AR29" s="472"/>
      <c r="AS29" s="472"/>
      <c r="AT29" s="472"/>
      <c r="AU29" s="472"/>
      <c r="AV29" s="359"/>
      <c r="AW29" s="359"/>
      <c r="AX29" s="359"/>
      <c r="AY29" s="359"/>
      <c r="AZ29" s="359"/>
      <c r="BA29" s="359"/>
      <c r="BB29" s="359"/>
      <c r="BC29" s="359"/>
      <c r="BD29" s="359"/>
    </row>
    <row r="30" spans="1:61" s="473" customFormat="1" ht="34.950000000000003" customHeight="1">
      <c r="A30" s="428"/>
      <c r="B30" s="561"/>
      <c r="C30" s="427"/>
      <c r="D30" s="492">
        <f>SUM(L29:O29)</f>
        <v>112760000</v>
      </c>
      <c r="E30" s="467"/>
      <c r="F30" s="493">
        <f>D29-E29</f>
        <v>39600000</v>
      </c>
      <c r="G30" s="493"/>
      <c r="H30" s="493"/>
      <c r="I30" s="493"/>
      <c r="J30" s="493"/>
      <c r="K30" s="493"/>
      <c r="L30" s="492">
        <f>H29+K29</f>
        <v>64117669</v>
      </c>
      <c r="M30" s="493"/>
      <c r="N30" s="493"/>
      <c r="O30" s="493"/>
      <c r="P30" s="492">
        <f>G29-L30</f>
        <v>155331</v>
      </c>
      <c r="Q30" s="493"/>
      <c r="R30" s="493"/>
      <c r="S30" s="493"/>
      <c r="T30" s="492">
        <f>P30+S29-M29</f>
        <v>1117207</v>
      </c>
      <c r="U30" s="492">
        <f>N29-T30</f>
        <v>7802793</v>
      </c>
      <c r="V30" s="428"/>
      <c r="W30" s="428"/>
      <c r="X30" s="428"/>
      <c r="Y30" s="428"/>
      <c r="Z30" s="428"/>
      <c r="AA30" s="428"/>
      <c r="AB30" s="561"/>
      <c r="AC30" s="561"/>
      <c r="AD30" s="566"/>
      <c r="AE30" s="318"/>
      <c r="AF30" s="318"/>
      <c r="AG30" s="318"/>
      <c r="AH30" s="318"/>
      <c r="AI30" s="318"/>
      <c r="AJ30" s="318"/>
      <c r="AK30" s="318"/>
      <c r="AL30" s="318"/>
      <c r="AM30" s="472"/>
      <c r="AN30" s="472"/>
      <c r="AO30" s="472"/>
      <c r="AP30" s="472"/>
      <c r="AQ30" s="472"/>
      <c r="AR30" s="472"/>
      <c r="AS30" s="472"/>
      <c r="AT30" s="472"/>
      <c r="AU30" s="472"/>
      <c r="AV30" s="359"/>
      <c r="AW30" s="359"/>
      <c r="AX30" s="359"/>
      <c r="AY30" s="359"/>
      <c r="AZ30" s="359"/>
      <c r="BA30" s="359"/>
      <c r="BB30" s="359"/>
      <c r="BC30" s="359"/>
      <c r="BD30" s="359"/>
    </row>
    <row r="31" spans="1:61" s="473" customFormat="1" ht="34.950000000000003" customHeight="1">
      <c r="A31" s="428"/>
      <c r="B31" s="561"/>
      <c r="C31" s="427"/>
      <c r="D31" s="492">
        <f>D29-D30</f>
        <v>0</v>
      </c>
      <c r="E31" s="467"/>
      <c r="F31" s="493"/>
      <c r="G31" s="493"/>
      <c r="H31" s="493"/>
      <c r="I31" s="493"/>
      <c r="J31" s="493"/>
      <c r="K31" s="493"/>
      <c r="L31" s="492">
        <f>L29-L30</f>
        <v>0</v>
      </c>
      <c r="M31" s="493"/>
      <c r="N31" s="493"/>
      <c r="O31" s="493"/>
      <c r="P31" s="492">
        <f>P29-P30</f>
        <v>0</v>
      </c>
      <c r="Q31" s="493"/>
      <c r="R31" s="493"/>
      <c r="S31" s="493"/>
      <c r="T31" s="492">
        <f>T29-T30</f>
        <v>0</v>
      </c>
      <c r="U31" s="492">
        <f>U29-U30</f>
        <v>0</v>
      </c>
      <c r="V31" s="428"/>
      <c r="W31" s="428"/>
      <c r="X31" s="428"/>
      <c r="Y31" s="428"/>
      <c r="Z31" s="428"/>
      <c r="AA31" s="428"/>
      <c r="AB31" s="561"/>
      <c r="AC31" s="561"/>
      <c r="AD31" s="566"/>
      <c r="AE31" s="318"/>
      <c r="AF31" s="318"/>
      <c r="AG31" s="318"/>
      <c r="AH31" s="318"/>
      <c r="AI31" s="318"/>
      <c r="AJ31" s="318"/>
      <c r="AK31" s="318"/>
      <c r="AL31" s="318"/>
      <c r="AM31" s="472"/>
      <c r="AN31" s="472"/>
      <c r="AO31" s="472"/>
      <c r="AP31" s="472"/>
      <c r="AQ31" s="472"/>
      <c r="AR31" s="472"/>
      <c r="AS31" s="472"/>
      <c r="AT31" s="472"/>
      <c r="AU31" s="472"/>
      <c r="AV31" s="359"/>
      <c r="AW31" s="359"/>
      <c r="AX31" s="359"/>
      <c r="AY31" s="359"/>
      <c r="AZ31" s="359"/>
      <c r="BA31" s="359"/>
      <c r="BB31" s="359"/>
      <c r="BC31" s="359"/>
      <c r="BD31" s="359"/>
    </row>
    <row r="140" spans="1:1">
      <c r="A140" s="157">
        <f>COUNT(A6:A139)</f>
        <v>15</v>
      </c>
    </row>
    <row r="143" spans="1:1">
      <c r="A143" s="157">
        <f>A140+1</f>
        <v>16</v>
      </c>
    </row>
    <row r="146" ht="37.950000000000003" customHeight="1"/>
    <row r="149" ht="70.95" customHeight="1"/>
    <row r="152" ht="72" customHeight="1"/>
    <row r="154" ht="43.95" customHeight="1"/>
    <row r="156" ht="30" customHeight="1"/>
  </sheetData>
  <sortState ref="A5:BI18">
    <sortCondition ref="AC5:AC18"/>
  </sortState>
  <mergeCells count="1">
    <mergeCell ref="V3:AA3"/>
  </mergeCells>
  <conditionalFormatting sqref="F6:F18 F26 F20:F22 F24">
    <cfRule type="cellIs" dxfId="188" priority="70" operator="equal">
      <formula>0</formula>
    </cfRule>
  </conditionalFormatting>
  <conditionalFormatting sqref="A2:W2 AB17:AC17 B7:C13 Z2:AA2 Z1:AB1 X1:Y2 V4:W5 AC1:AC16 A1:M1 O1:W1 AB3 X4:AB6 A3:U3 D26:G26 I26:Z26 B6:W6 B4:L5 D22:L22 N22:Z22 AD27:AD28 D20:AC20 D21:Z21 A6:A28 D7:AA18 N24:Z24 D24:L24 D23:AA23">
    <cfRule type="cellIs" dxfId="187" priority="69" operator="equal">
      <formula>0</formula>
    </cfRule>
  </conditionalFormatting>
  <conditionalFormatting sqref="AB11:AB13">
    <cfRule type="cellIs" dxfId="186" priority="66" operator="equal">
      <formula>0</formula>
    </cfRule>
  </conditionalFormatting>
  <conditionalFormatting sqref="AB7">
    <cfRule type="cellIs" dxfId="185" priority="68" operator="equal">
      <formula>0</formula>
    </cfRule>
  </conditionalFormatting>
  <conditionalFormatting sqref="AB8:AB10">
    <cfRule type="cellIs" dxfId="184" priority="67" operator="equal">
      <formula>0</formula>
    </cfRule>
  </conditionalFormatting>
  <conditionalFormatting sqref="B14:C16">
    <cfRule type="cellIs" dxfId="183" priority="65" operator="equal">
      <formula>0</formula>
    </cfRule>
  </conditionalFormatting>
  <conditionalFormatting sqref="AB14:AB16">
    <cfRule type="cellIs" dxfId="182" priority="64" operator="equal">
      <formula>0</formula>
    </cfRule>
  </conditionalFormatting>
  <conditionalFormatting sqref="B20:C20 B17">
    <cfRule type="cellIs" dxfId="181" priority="63" operator="equal">
      <formula>0</formula>
    </cfRule>
  </conditionalFormatting>
  <conditionalFormatting sqref="B17">
    <cfRule type="cellIs" dxfId="180" priority="62" operator="equal">
      <formula>0</formula>
    </cfRule>
  </conditionalFormatting>
  <conditionalFormatting sqref="AB18">
    <cfRule type="cellIs" dxfId="179" priority="61" operator="equal">
      <formula>0</formula>
    </cfRule>
  </conditionalFormatting>
  <conditionalFormatting sqref="B18:C18">
    <cfRule type="cellIs" dxfId="178" priority="60" operator="equal">
      <formula>0</formula>
    </cfRule>
  </conditionalFormatting>
  <conditionalFormatting sqref="AC18">
    <cfRule type="cellIs" dxfId="177" priority="59" operator="equal">
      <formula>0</formula>
    </cfRule>
  </conditionalFormatting>
  <conditionalFormatting sqref="AB2">
    <cfRule type="cellIs" dxfId="176" priority="58" operator="equal">
      <formula>0</formula>
    </cfRule>
  </conditionalFormatting>
  <conditionalFormatting sqref="C22:C24">
    <cfRule type="cellIs" dxfId="175" priority="57" operator="equal">
      <formula>0</formula>
    </cfRule>
  </conditionalFormatting>
  <conditionalFormatting sqref="AB22:AB24">
    <cfRule type="cellIs" dxfId="174" priority="56" operator="equal">
      <formula>0</formula>
    </cfRule>
  </conditionalFormatting>
  <conditionalFormatting sqref="C17">
    <cfRule type="cellIs" dxfId="173" priority="55" operator="equal">
      <formula>0</formula>
    </cfRule>
  </conditionalFormatting>
  <conditionalFormatting sqref="C17">
    <cfRule type="cellIs" dxfId="172" priority="54" operator="equal">
      <formula>0</formula>
    </cfRule>
  </conditionalFormatting>
  <conditionalFormatting sqref="AQ11:AQ13">
    <cfRule type="cellIs" dxfId="171" priority="50" operator="equal">
      <formula>0</formula>
    </cfRule>
  </conditionalFormatting>
  <conditionalFormatting sqref="AQ14:AQ17">
    <cfRule type="cellIs" dxfId="170" priority="49" operator="equal">
      <formula>0</formula>
    </cfRule>
  </conditionalFormatting>
  <conditionalFormatting sqref="AM14:AM17">
    <cfRule type="cellIs" dxfId="169" priority="53" operator="equal">
      <formula>0</formula>
    </cfRule>
  </conditionalFormatting>
  <conditionalFormatting sqref="AM6:AM13">
    <cfRule type="cellIs" dxfId="168" priority="52" operator="equal">
      <formula>0</formula>
    </cfRule>
  </conditionalFormatting>
  <conditionalFormatting sqref="AM18 AM20">
    <cfRule type="cellIs" dxfId="167" priority="51" operator="equal">
      <formula>0</formula>
    </cfRule>
  </conditionalFormatting>
  <conditionalFormatting sqref="D25:G25 I25:Z25 M22 M24">
    <cfRule type="cellIs" dxfId="166" priority="47" operator="equal">
      <formula>0</formula>
    </cfRule>
  </conditionalFormatting>
  <conditionalFormatting sqref="F25">
    <cfRule type="cellIs" dxfId="165" priority="48" operator="equal">
      <formula>0</formula>
    </cfRule>
  </conditionalFormatting>
  <conditionalFormatting sqref="H25:H26">
    <cfRule type="cellIs" dxfId="164" priority="46" operator="equal">
      <formula>0</formula>
    </cfRule>
  </conditionalFormatting>
  <conditionalFormatting sqref="AF18 AF20:AF21">
    <cfRule type="cellIs" dxfId="163" priority="44" operator="equal">
      <formula>0</formula>
    </cfRule>
  </conditionalFormatting>
  <conditionalFormatting sqref="AF8:AF16">
    <cfRule type="cellIs" dxfId="162" priority="45" operator="equal">
      <formula>0</formula>
    </cfRule>
  </conditionalFormatting>
  <conditionalFormatting sqref="AD11:AD13">
    <cfRule type="cellIs" dxfId="161" priority="37" operator="equal">
      <formula>0</formula>
    </cfRule>
  </conditionalFormatting>
  <conditionalFormatting sqref="M4:N5">
    <cfRule type="cellIs" dxfId="160" priority="43" operator="equal">
      <formula>0</formula>
    </cfRule>
  </conditionalFormatting>
  <conditionalFormatting sqref="AF6:AF7">
    <cfRule type="cellIs" dxfId="159" priority="42" operator="equal">
      <formula>0</formula>
    </cfRule>
  </conditionalFormatting>
  <conditionalFormatting sqref="AD21">
    <cfRule type="cellIs" dxfId="158" priority="33" operator="equal">
      <formula>0</formula>
    </cfRule>
  </conditionalFormatting>
  <conditionalFormatting sqref="AD1:AD1048576">
    <cfRule type="cellIs" dxfId="157" priority="41" operator="equal">
      <formula>0</formula>
    </cfRule>
  </conditionalFormatting>
  <conditionalFormatting sqref="AD6">
    <cfRule type="cellIs" dxfId="156" priority="40" operator="equal">
      <formula>0</formula>
    </cfRule>
  </conditionalFormatting>
  <conditionalFormatting sqref="AD7">
    <cfRule type="cellIs" dxfId="155" priority="39" operator="equal">
      <formula>0</formula>
    </cfRule>
  </conditionalFormatting>
  <conditionalFormatting sqref="AD8:AD10">
    <cfRule type="cellIs" dxfId="154" priority="38" operator="equal">
      <formula>0</formula>
    </cfRule>
  </conditionalFormatting>
  <conditionalFormatting sqref="AD14:AD16">
    <cfRule type="cellIs" dxfId="153" priority="36" operator="equal">
      <formula>0</formula>
    </cfRule>
  </conditionalFormatting>
  <conditionalFormatting sqref="AD18">
    <cfRule type="cellIs" dxfId="152" priority="35" operator="equal">
      <formula>0</formula>
    </cfRule>
  </conditionalFormatting>
  <conditionalFormatting sqref="AD20">
    <cfRule type="cellIs" dxfId="151" priority="34" operator="equal">
      <formula>0</formula>
    </cfRule>
  </conditionalFormatting>
  <conditionalFormatting sqref="AE29:AE31">
    <cfRule type="cellIs" dxfId="150" priority="32" operator="equal">
      <formula>0</formula>
    </cfRule>
  </conditionalFormatting>
  <conditionalFormatting sqref="AE7">
    <cfRule type="cellIs" dxfId="149" priority="31" operator="equal">
      <formula>0</formula>
    </cfRule>
  </conditionalFormatting>
  <conditionalFormatting sqref="AE8:AE10">
    <cfRule type="cellIs" dxfId="148" priority="30" operator="equal">
      <formula>0</formula>
    </cfRule>
  </conditionalFormatting>
  <conditionalFormatting sqref="AE18">
    <cfRule type="cellIs" dxfId="147" priority="29" operator="equal">
      <formula>0</formula>
    </cfRule>
  </conditionalFormatting>
  <conditionalFormatting sqref="AE27:AE28">
    <cfRule type="cellIs" dxfId="146" priority="28" operator="equal">
      <formula>0</formula>
    </cfRule>
  </conditionalFormatting>
  <conditionalFormatting sqref="AE6">
    <cfRule type="cellIs" dxfId="145" priority="27" operator="equal">
      <formula>0</formula>
    </cfRule>
  </conditionalFormatting>
  <conditionalFormatting sqref="AE11:AE13">
    <cfRule type="cellIs" dxfId="144" priority="26" operator="equal">
      <formula>0</formula>
    </cfRule>
  </conditionalFormatting>
  <conditionalFormatting sqref="AE17">
    <cfRule type="cellIs" dxfId="143" priority="25" operator="equal">
      <formula>0</formula>
    </cfRule>
  </conditionalFormatting>
  <conditionalFormatting sqref="AE20">
    <cfRule type="cellIs" dxfId="142" priority="24" operator="equal">
      <formula>0</formula>
    </cfRule>
  </conditionalFormatting>
  <conditionalFormatting sqref="AE21">
    <cfRule type="cellIs" dxfId="141" priority="23" operator="equal">
      <formula>0</formula>
    </cfRule>
  </conditionalFormatting>
  <conditionalFormatting sqref="AF4:AF5">
    <cfRule type="cellIs" dxfId="140" priority="22" operator="equal">
      <formula>0</formula>
    </cfRule>
  </conditionalFormatting>
  <conditionalFormatting sqref="AG27:AG28">
    <cfRule type="cellIs" dxfId="139" priority="21" operator="equal">
      <formula>0</formula>
    </cfRule>
  </conditionalFormatting>
  <conditionalFormatting sqref="AG29:AG31">
    <cfRule type="cellIs" dxfId="138" priority="20" operator="equal">
      <formula>0</formula>
    </cfRule>
  </conditionalFormatting>
  <conditionalFormatting sqref="AG6">
    <cfRule type="cellIs" dxfId="137" priority="19" operator="equal">
      <formula>0</formula>
    </cfRule>
  </conditionalFormatting>
  <conditionalFormatting sqref="AG7">
    <cfRule type="cellIs" dxfId="136" priority="18" operator="equal">
      <formula>0</formula>
    </cfRule>
  </conditionalFormatting>
  <conditionalFormatting sqref="AG8:AG10">
    <cfRule type="cellIs" dxfId="135" priority="17" operator="equal">
      <formula>0</formula>
    </cfRule>
  </conditionalFormatting>
  <conditionalFormatting sqref="AG11:AG13">
    <cfRule type="cellIs" dxfId="134" priority="16" operator="equal">
      <formula>0</formula>
    </cfRule>
  </conditionalFormatting>
  <conditionalFormatting sqref="AG14:AG16">
    <cfRule type="cellIs" dxfId="133" priority="15" operator="equal">
      <formula>0</formula>
    </cfRule>
  </conditionalFormatting>
  <conditionalFormatting sqref="AG18">
    <cfRule type="cellIs" dxfId="132" priority="14" operator="equal">
      <formula>0</formula>
    </cfRule>
  </conditionalFormatting>
  <conditionalFormatting sqref="AG20">
    <cfRule type="cellIs" dxfId="131" priority="13" operator="equal">
      <formula>0</formula>
    </cfRule>
  </conditionalFormatting>
  <conditionalFormatting sqref="AG21">
    <cfRule type="cellIs" dxfId="130" priority="12" operator="equal">
      <formula>0</formula>
    </cfRule>
  </conditionalFormatting>
  <conditionalFormatting sqref="AF25">
    <cfRule type="cellIs" dxfId="129" priority="11" operator="equal">
      <formula>0</formula>
    </cfRule>
  </conditionalFormatting>
  <conditionalFormatting sqref="O19">
    <cfRule type="cellIs" dxfId="128" priority="10" operator="lessThan">
      <formula>0</formula>
    </cfRule>
  </conditionalFormatting>
  <conditionalFormatting sqref="AH25">
    <cfRule type="cellIs" dxfId="127" priority="8" operator="equal">
      <formula>0</formula>
    </cfRule>
  </conditionalFormatting>
  <conditionalFormatting sqref="AH1:AH3 AH26 AH6:AH18 AH20:AH24">
    <cfRule type="cellIs" dxfId="126" priority="9" operator="equal">
      <formula>0</formula>
    </cfRule>
  </conditionalFormatting>
  <conditionalFormatting sqref="AA21:AA22 AA24:AA27">
    <cfRule type="cellIs" dxfId="125" priority="7" operator="equal">
      <formula>0</formula>
    </cfRule>
  </conditionalFormatting>
  <conditionalFormatting sqref="AI6:AI16 AI18:AI29">
    <cfRule type="cellIs" dxfId="124" priority="6" operator="equal">
      <formula>0</formula>
    </cfRule>
  </conditionalFormatting>
  <conditionalFormatting sqref="AJ25">
    <cfRule type="cellIs" dxfId="123" priority="4" operator="equal">
      <formula>0</formula>
    </cfRule>
  </conditionalFormatting>
  <conditionalFormatting sqref="AJ1:AJ3 AJ26 AJ6:AJ18 AJ20:AJ24">
    <cfRule type="cellIs" dxfId="122" priority="5" operator="equal">
      <formula>0</formula>
    </cfRule>
  </conditionalFormatting>
  <conditionalFormatting sqref="AK6:AK16 AK18:AK29">
    <cfRule type="cellIs" dxfId="121" priority="3" operator="equal">
      <formula>0</formula>
    </cfRule>
  </conditionalFormatting>
  <conditionalFormatting sqref="AL1:AL2 AL26 AL4:AL18 AL20:AL24">
    <cfRule type="cellIs" dxfId="120" priority="2" operator="equal">
      <formula>0</formula>
    </cfRule>
  </conditionalFormatting>
  <conditionalFormatting sqref="AL25">
    <cfRule type="cellIs" dxfId="119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3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240" customWidth="1"/>
    <col min="4" max="4" width="34.88671875" style="240" customWidth="1"/>
    <col min="5" max="5" width="30.44140625" style="240" customWidth="1"/>
    <col min="6" max="6" width="10.88671875" style="240" customWidth="1"/>
    <col min="7" max="7" width="5.5546875" style="240" customWidth="1"/>
    <col min="8" max="9" width="12.109375" style="240" customWidth="1"/>
    <col min="10" max="10" width="7.88671875" style="240" customWidth="1"/>
    <col min="11" max="16384" width="9.109375" style="240"/>
  </cols>
  <sheetData>
    <row r="3" spans="1:17" ht="21">
      <c r="A3" s="239"/>
      <c r="C3" s="241" t="s">
        <v>291</v>
      </c>
      <c r="D3" s="239"/>
      <c r="E3" s="239"/>
      <c r="F3" s="239"/>
      <c r="G3" s="239"/>
      <c r="H3" s="239"/>
      <c r="I3" s="239"/>
      <c r="J3" s="239"/>
      <c r="K3" s="239"/>
      <c r="L3" s="239"/>
    </row>
    <row r="4" spans="1:17" ht="21">
      <c r="A4" s="239"/>
      <c r="C4" s="241"/>
      <c r="D4" s="239"/>
      <c r="E4" s="239"/>
      <c r="F4" s="239"/>
      <c r="G4" s="239"/>
      <c r="H4" s="239"/>
      <c r="I4" s="239"/>
      <c r="J4" s="239"/>
      <c r="K4" s="239"/>
      <c r="L4" s="239"/>
    </row>
    <row r="5" spans="1:17" ht="21.6" thickBot="1">
      <c r="A5" s="239"/>
      <c r="C5" s="241"/>
      <c r="D5" s="239"/>
      <c r="E5" s="239"/>
      <c r="F5" s="239"/>
      <c r="G5" s="239"/>
      <c r="H5" s="239"/>
      <c r="I5" s="239"/>
      <c r="J5" s="239"/>
      <c r="K5" s="239"/>
      <c r="L5" s="239"/>
    </row>
    <row r="6" spans="1:17" ht="16.2" thickBot="1">
      <c r="A6" s="239"/>
      <c r="B6" s="242" t="s">
        <v>129</v>
      </c>
      <c r="C6" s="239" t="s">
        <v>1278</v>
      </c>
      <c r="D6" s="239"/>
      <c r="E6" s="239"/>
      <c r="F6" s="243">
        <f>'תקציב אגף נכסים וביטוח 2024'!U20</f>
        <v>3035000</v>
      </c>
      <c r="I6" s="239"/>
      <c r="J6" s="239"/>
      <c r="K6" s="239"/>
      <c r="L6" s="239"/>
    </row>
    <row r="7" spans="1:17" ht="15.6">
      <c r="B7" s="242"/>
      <c r="C7" s="239"/>
      <c r="D7" s="239"/>
      <c r="E7" s="239"/>
      <c r="F7" s="239"/>
      <c r="H7" s="239"/>
      <c r="I7" s="239"/>
      <c r="J7" s="239"/>
      <c r="K7" s="239"/>
      <c r="L7" s="239"/>
      <c r="M7" s="239"/>
      <c r="N7" s="239"/>
      <c r="O7" s="239"/>
      <c r="P7" s="239"/>
      <c r="Q7" s="239"/>
    </row>
    <row r="8" spans="1:17" ht="15.6">
      <c r="B8" s="242" t="s">
        <v>129</v>
      </c>
      <c r="C8" s="805" t="s">
        <v>1555</v>
      </c>
      <c r="D8" s="239"/>
      <c r="E8" s="239"/>
      <c r="F8" s="239"/>
      <c r="G8" s="239"/>
      <c r="H8" s="239"/>
      <c r="I8" s="239"/>
      <c r="J8" s="239"/>
      <c r="K8" s="239"/>
      <c r="L8" s="239"/>
    </row>
    <row r="9" spans="1:17" ht="15.6">
      <c r="B9" s="242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</row>
    <row r="10" spans="1:17" s="806" customFormat="1" ht="15.6">
      <c r="B10" s="807" t="s">
        <v>129</v>
      </c>
      <c r="C10" s="805" t="s">
        <v>359</v>
      </c>
      <c r="D10" s="805"/>
      <c r="F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</row>
    <row r="11" spans="1:17" s="806" customFormat="1" ht="15.6">
      <c r="C11" s="805" t="s">
        <v>229</v>
      </c>
      <c r="D11" s="805"/>
      <c r="E11" s="805"/>
      <c r="F11" s="805"/>
      <c r="H11" s="805"/>
      <c r="I11" s="805"/>
      <c r="J11" s="805"/>
      <c r="K11" s="805"/>
      <c r="L11" s="805"/>
    </row>
    <row r="12" spans="1:17" ht="15.6">
      <c r="B12" s="242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</row>
    <row r="13" spans="1:17" ht="15.6">
      <c r="B13" s="242"/>
      <c r="C13" s="239"/>
      <c r="D13" s="239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4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539" customWidth="1"/>
    <col min="2" max="2" width="5.6640625" style="131" customWidth="1"/>
    <col min="3" max="3" width="28" style="131" customWidth="1"/>
    <col min="4" max="5" width="10.33203125" style="132" customWidth="1"/>
    <col min="6" max="6" width="8.6640625" style="132" customWidth="1"/>
    <col min="7" max="11" width="9.88671875" style="132" hidden="1" customWidth="1"/>
    <col min="12" max="12" width="9.88671875" style="132" customWidth="1"/>
    <col min="13" max="13" width="8.109375" style="132" customWidth="1"/>
    <col min="14" max="15" width="9.88671875" style="132" customWidth="1"/>
    <col min="16" max="19" width="9.88671875" style="132" hidden="1" customWidth="1"/>
    <col min="20" max="20" width="9" style="132" customWidth="1"/>
    <col min="21" max="22" width="9.88671875" style="131" customWidth="1"/>
    <col min="23" max="23" width="9.88671875" style="131" hidden="1" customWidth="1"/>
    <col min="24" max="24" width="8.109375" style="131" customWidth="1"/>
    <col min="25" max="27" width="9.88671875" style="131" hidden="1" customWidth="1"/>
    <col min="28" max="28" width="31.6640625" style="131" customWidth="1"/>
    <col min="29" max="29" width="7" style="131" hidden="1" customWidth="1"/>
    <col min="30" max="30" width="27.6640625" style="131" customWidth="1"/>
    <col min="31" max="32" width="10.6640625" style="131" customWidth="1"/>
    <col min="33" max="33" width="27.6640625" style="131" customWidth="1"/>
    <col min="34" max="34" width="9.88671875" style="131" customWidth="1"/>
    <col min="35" max="35" width="16" style="131" customWidth="1"/>
    <col min="36" max="37" width="10.6640625" style="131" customWidth="1"/>
    <col min="38" max="38" width="18.109375" style="131" customWidth="1"/>
    <col min="39" max="45" width="10.6640625" style="538" customWidth="1"/>
    <col min="46" max="46" width="8.88671875" style="538"/>
    <col min="47" max="16384" width="8.88671875" style="131"/>
  </cols>
  <sheetData>
    <row r="1" spans="1:46" s="141" customFormat="1" ht="18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D1" s="131"/>
      <c r="AE1" s="131"/>
      <c r="AF1" s="131"/>
      <c r="AG1" s="131"/>
      <c r="AH1" s="131"/>
      <c r="AI1" s="131"/>
      <c r="AJ1" s="131"/>
      <c r="AK1" s="131"/>
      <c r="AL1" s="131"/>
      <c r="AM1" s="538"/>
      <c r="AN1" s="538"/>
      <c r="AO1" s="538"/>
      <c r="AP1" s="538"/>
      <c r="AQ1" s="538"/>
      <c r="AR1" s="538"/>
      <c r="AS1" s="538"/>
      <c r="AT1" s="538"/>
    </row>
    <row r="2" spans="1:46" ht="18">
      <c r="A2" s="537" t="s">
        <v>291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</row>
    <row r="3" spans="1:46" ht="21" customHeight="1">
      <c r="V3" s="537"/>
      <c r="W3" s="537"/>
      <c r="X3" s="537"/>
      <c r="Y3" s="537"/>
      <c r="Z3" s="537"/>
      <c r="AA3" s="537"/>
    </row>
    <row r="4" spans="1:46" s="538" customFormat="1" ht="69">
      <c r="A4" s="130" t="s">
        <v>0</v>
      </c>
      <c r="B4" s="130" t="s">
        <v>1</v>
      </c>
      <c r="C4" s="130" t="s">
        <v>2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7</v>
      </c>
      <c r="I4" s="130" t="s">
        <v>9</v>
      </c>
      <c r="J4" s="130" t="s">
        <v>125</v>
      </c>
      <c r="K4" s="130" t="s">
        <v>10</v>
      </c>
      <c r="L4" s="130" t="s">
        <v>11</v>
      </c>
      <c r="M4" s="130" t="s">
        <v>917</v>
      </c>
      <c r="N4" s="13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130" t="s">
        <v>13</v>
      </c>
      <c r="W4" s="130" t="s">
        <v>14</v>
      </c>
      <c r="X4" s="130" t="s">
        <v>15</v>
      </c>
      <c r="Y4" s="130" t="s">
        <v>214</v>
      </c>
      <c r="Z4" s="130" t="s">
        <v>502</v>
      </c>
      <c r="AA4" s="130" t="s">
        <v>75</v>
      </c>
      <c r="AB4" s="540" t="s">
        <v>242</v>
      </c>
      <c r="AC4" s="130" t="s">
        <v>16</v>
      </c>
      <c r="AD4" s="131"/>
      <c r="AE4" s="131"/>
      <c r="AF4" s="131"/>
      <c r="AG4" s="131"/>
      <c r="AH4" s="131"/>
      <c r="AI4" s="131"/>
      <c r="AJ4" s="131"/>
      <c r="AK4" s="131"/>
      <c r="AL4" s="131"/>
    </row>
    <row r="5" spans="1:46" s="134" customFormat="1" ht="45" customHeight="1">
      <c r="A5" s="135">
        <v>1</v>
      </c>
      <c r="B5" s="469">
        <v>470</v>
      </c>
      <c r="C5" s="135" t="s">
        <v>58</v>
      </c>
      <c r="D5" s="120">
        <v>2130000</v>
      </c>
      <c r="E5" s="120">
        <v>2130000</v>
      </c>
      <c r="F5" s="120">
        <f t="shared" ref="F5:F18" si="0">D5-E5</f>
        <v>0</v>
      </c>
      <c r="G5" s="120">
        <v>1830000</v>
      </c>
      <c r="H5" s="120">
        <v>1737007</v>
      </c>
      <c r="I5" s="120"/>
      <c r="J5" s="120"/>
      <c r="K5" s="120">
        <f>SUM(I5:J5)</f>
        <v>0</v>
      </c>
      <c r="L5" s="120">
        <f t="shared" ref="L5:L18" si="1">H5+K5</f>
        <v>1737007</v>
      </c>
      <c r="M5" s="120">
        <f>P5+S5-90000</f>
        <v>2993</v>
      </c>
      <c r="N5" s="120">
        <v>90000</v>
      </c>
      <c r="O5" s="120">
        <f t="shared" ref="O5:O18" si="2">D5-L5-M5-N5</f>
        <v>300000</v>
      </c>
      <c r="P5" s="120">
        <f t="shared" ref="P5:P18" si="3">G5-L5</f>
        <v>92993</v>
      </c>
      <c r="Q5" s="120"/>
      <c r="R5" s="120"/>
      <c r="S5" s="120">
        <f t="shared" ref="S5:S18" si="4">SUM(Q5:R5)</f>
        <v>0</v>
      </c>
      <c r="T5" s="120">
        <f t="shared" ref="T5:T18" si="5">P5-M5+S5</f>
        <v>90000</v>
      </c>
      <c r="U5" s="120">
        <f t="shared" ref="U5:U18" si="6">N5-T5</f>
        <v>0</v>
      </c>
      <c r="V5" s="120">
        <f t="shared" ref="V5:V17" si="7">U5-W5-Z5-AA5</f>
        <v>0</v>
      </c>
      <c r="W5" s="120"/>
      <c r="X5" s="120"/>
      <c r="Y5" s="120"/>
      <c r="Z5" s="120"/>
      <c r="AA5" s="135"/>
      <c r="AB5" s="218" t="s">
        <v>288</v>
      </c>
      <c r="AC5" s="135">
        <v>935000</v>
      </c>
      <c r="AD5" s="131"/>
      <c r="AE5" s="131"/>
      <c r="AF5" s="131"/>
      <c r="AG5" s="131"/>
      <c r="AH5" s="131"/>
      <c r="AI5" s="131"/>
      <c r="AJ5" s="131"/>
      <c r="AK5" s="131"/>
      <c r="AL5" s="131"/>
      <c r="AM5" s="538"/>
      <c r="AN5" s="538"/>
      <c r="AO5" s="538"/>
      <c r="AP5" s="538"/>
      <c r="AQ5" s="538"/>
      <c r="AR5" s="538"/>
      <c r="AS5" s="538"/>
      <c r="AT5" s="538"/>
    </row>
    <row r="6" spans="1:46" s="134" customFormat="1" ht="45" customHeight="1">
      <c r="A6" s="135">
        <f>A5+1</f>
        <v>2</v>
      </c>
      <c r="B6" s="469">
        <v>1066</v>
      </c>
      <c r="C6" s="135" t="s">
        <v>59</v>
      </c>
      <c r="D6" s="120">
        <v>75000</v>
      </c>
      <c r="E6" s="120">
        <v>75000</v>
      </c>
      <c r="F6" s="120">
        <f t="shared" si="0"/>
        <v>0</v>
      </c>
      <c r="G6" s="120">
        <v>75000</v>
      </c>
      <c r="H6" s="120">
        <v>40172</v>
      </c>
      <c r="I6" s="120"/>
      <c r="J6" s="120"/>
      <c r="K6" s="120">
        <f t="shared" ref="K6:K18" si="8">SUM(I6:J6)</f>
        <v>0</v>
      </c>
      <c r="L6" s="120">
        <f t="shared" si="1"/>
        <v>40172</v>
      </c>
      <c r="M6" s="120">
        <f>P6+S6-30000</f>
        <v>4828</v>
      </c>
      <c r="N6" s="120">
        <v>30000</v>
      </c>
      <c r="O6" s="120">
        <f t="shared" si="2"/>
        <v>0</v>
      </c>
      <c r="P6" s="120">
        <f t="shared" si="3"/>
        <v>34828</v>
      </c>
      <c r="Q6" s="120"/>
      <c r="R6" s="120"/>
      <c r="S6" s="120">
        <f t="shared" si="4"/>
        <v>0</v>
      </c>
      <c r="T6" s="120">
        <f t="shared" si="5"/>
        <v>30000</v>
      </c>
      <c r="U6" s="120">
        <f t="shared" si="6"/>
        <v>0</v>
      </c>
      <c r="V6" s="120">
        <f t="shared" si="7"/>
        <v>0</v>
      </c>
      <c r="W6" s="120"/>
      <c r="X6" s="120"/>
      <c r="Y6" s="120"/>
      <c r="Z6" s="120"/>
      <c r="AA6" s="135"/>
      <c r="AB6" s="224" t="s">
        <v>308</v>
      </c>
      <c r="AC6" s="135">
        <v>935000</v>
      </c>
      <c r="AD6" s="131"/>
      <c r="AE6" s="131"/>
      <c r="AF6" s="131"/>
      <c r="AG6" s="131"/>
      <c r="AH6" s="131"/>
      <c r="AI6" s="131"/>
      <c r="AJ6" s="131"/>
      <c r="AK6" s="131"/>
      <c r="AL6" s="131"/>
      <c r="AM6" s="538"/>
      <c r="AN6" s="538"/>
      <c r="AO6" s="538"/>
      <c r="AP6" s="538"/>
      <c r="AQ6" s="538"/>
      <c r="AR6" s="538"/>
      <c r="AS6" s="538"/>
      <c r="AT6" s="538"/>
    </row>
    <row r="7" spans="1:46" s="134" customFormat="1" ht="45" customHeight="1">
      <c r="A7" s="135">
        <f t="shared" ref="A7:A19" si="9">A6+1</f>
        <v>3</v>
      </c>
      <c r="B7" s="469">
        <v>1177</v>
      </c>
      <c r="C7" s="135" t="s">
        <v>60</v>
      </c>
      <c r="D7" s="120">
        <v>41850000</v>
      </c>
      <c r="E7" s="120">
        <v>41850000</v>
      </c>
      <c r="F7" s="120">
        <f t="shared" si="0"/>
        <v>0</v>
      </c>
      <c r="G7" s="120">
        <v>28957000</v>
      </c>
      <c r="H7" s="120">
        <v>26879753</v>
      </c>
      <c r="I7" s="120"/>
      <c r="J7" s="120"/>
      <c r="K7" s="120">
        <f t="shared" si="8"/>
        <v>0</v>
      </c>
      <c r="L7" s="120">
        <f t="shared" si="1"/>
        <v>26879753</v>
      </c>
      <c r="M7" s="120">
        <f>P7+S7-2000000-70000</f>
        <v>7247</v>
      </c>
      <c r="N7" s="120">
        <f>2000000+70000</f>
        <v>2070000</v>
      </c>
      <c r="O7" s="120">
        <f t="shared" si="2"/>
        <v>12893000</v>
      </c>
      <c r="P7" s="120">
        <f t="shared" si="3"/>
        <v>2077247</v>
      </c>
      <c r="Q7" s="120"/>
      <c r="R7" s="120"/>
      <c r="S7" s="120">
        <f t="shared" si="4"/>
        <v>0</v>
      </c>
      <c r="T7" s="120">
        <f t="shared" si="5"/>
        <v>2070000</v>
      </c>
      <c r="U7" s="120">
        <f t="shared" si="6"/>
        <v>0</v>
      </c>
      <c r="V7" s="120">
        <f t="shared" si="7"/>
        <v>0</v>
      </c>
      <c r="W7" s="120"/>
      <c r="X7" s="120"/>
      <c r="Y7" s="120"/>
      <c r="Z7" s="120"/>
      <c r="AA7" s="135"/>
      <c r="AB7" s="224" t="s">
        <v>309</v>
      </c>
      <c r="AC7" s="135">
        <v>930000</v>
      </c>
      <c r="AD7" s="131"/>
      <c r="AE7" s="131"/>
      <c r="AF7" s="131"/>
      <c r="AG7" s="131"/>
      <c r="AH7" s="131"/>
      <c r="AI7" s="131"/>
      <c r="AJ7" s="131"/>
      <c r="AK7" s="131"/>
      <c r="AL7" s="131"/>
      <c r="AM7" s="538"/>
      <c r="AN7" s="538"/>
      <c r="AO7" s="538"/>
      <c r="AP7" s="538"/>
      <c r="AQ7" s="538"/>
      <c r="AR7" s="538"/>
      <c r="AS7" s="538"/>
      <c r="AT7" s="538"/>
    </row>
    <row r="8" spans="1:46" s="134" customFormat="1" ht="45" customHeight="1">
      <c r="A8" s="135">
        <f t="shared" si="9"/>
        <v>4</v>
      </c>
      <c r="B8" s="469">
        <v>1258</v>
      </c>
      <c r="C8" s="135" t="s">
        <v>61</v>
      </c>
      <c r="D8" s="120">
        <v>1400000</v>
      </c>
      <c r="E8" s="120">
        <v>1400000</v>
      </c>
      <c r="F8" s="120">
        <f t="shared" si="0"/>
        <v>0</v>
      </c>
      <c r="G8" s="120">
        <v>1300000</v>
      </c>
      <c r="H8" s="120">
        <v>963794</v>
      </c>
      <c r="I8" s="120"/>
      <c r="J8" s="120"/>
      <c r="K8" s="120">
        <f t="shared" si="8"/>
        <v>0</v>
      </c>
      <c r="L8" s="120">
        <f t="shared" si="1"/>
        <v>963794</v>
      </c>
      <c r="M8" s="120">
        <f>P8+S8-300000-35000</f>
        <v>1206</v>
      </c>
      <c r="N8" s="120">
        <f>300000+35000-100000</f>
        <v>235000</v>
      </c>
      <c r="O8" s="120">
        <f t="shared" si="2"/>
        <v>200000</v>
      </c>
      <c r="P8" s="120">
        <f t="shared" si="3"/>
        <v>336206</v>
      </c>
      <c r="Q8" s="120"/>
      <c r="R8" s="120"/>
      <c r="S8" s="120">
        <f t="shared" si="4"/>
        <v>0</v>
      </c>
      <c r="T8" s="120">
        <f t="shared" si="5"/>
        <v>335000</v>
      </c>
      <c r="U8" s="120">
        <f t="shared" si="6"/>
        <v>-100000</v>
      </c>
      <c r="V8" s="120">
        <f t="shared" si="7"/>
        <v>-100000</v>
      </c>
      <c r="W8" s="120"/>
      <c r="X8" s="120"/>
      <c r="Y8" s="120"/>
      <c r="Z8" s="120"/>
      <c r="AA8" s="135"/>
      <c r="AB8" s="214" t="s">
        <v>239</v>
      </c>
      <c r="AC8" s="135">
        <v>930000</v>
      </c>
      <c r="AD8" s="131"/>
      <c r="AE8" s="131"/>
      <c r="AF8" s="131"/>
      <c r="AG8" s="131"/>
      <c r="AH8" s="131"/>
      <c r="AI8" s="131"/>
      <c r="AJ8" s="131"/>
      <c r="AK8" s="131"/>
      <c r="AL8" s="131"/>
      <c r="AM8" s="538"/>
      <c r="AN8" s="538"/>
      <c r="AO8" s="538"/>
      <c r="AP8" s="538"/>
      <c r="AQ8" s="538"/>
      <c r="AR8" s="538"/>
      <c r="AS8" s="538"/>
      <c r="AT8" s="538"/>
    </row>
    <row r="9" spans="1:46" s="134" customFormat="1" ht="45" customHeight="1">
      <c r="A9" s="135">
        <f t="shared" si="9"/>
        <v>5</v>
      </c>
      <c r="B9" s="469">
        <v>1330</v>
      </c>
      <c r="C9" s="135" t="s">
        <v>62</v>
      </c>
      <c r="D9" s="120">
        <v>60700000</v>
      </c>
      <c r="E9" s="120">
        <v>60700000</v>
      </c>
      <c r="F9" s="120">
        <f t="shared" si="0"/>
        <v>0</v>
      </c>
      <c r="G9" s="120">
        <v>17249825</v>
      </c>
      <c r="H9" s="120">
        <v>8203636</v>
      </c>
      <c r="I9" s="120"/>
      <c r="J9" s="120">
        <v>21341</v>
      </c>
      <c r="K9" s="120">
        <f t="shared" si="8"/>
        <v>21341</v>
      </c>
      <c r="L9" s="120">
        <f t="shared" si="1"/>
        <v>8224977</v>
      </c>
      <c r="M9" s="120">
        <f>P9+S9-9000000-20000</f>
        <v>4848</v>
      </c>
      <c r="N9" s="120">
        <f>9000000+20000</f>
        <v>9020000</v>
      </c>
      <c r="O9" s="120">
        <f t="shared" si="2"/>
        <v>43450175</v>
      </c>
      <c r="P9" s="120">
        <f t="shared" si="3"/>
        <v>9024848</v>
      </c>
      <c r="Q9" s="120"/>
      <c r="R9" s="120"/>
      <c r="S9" s="120">
        <f t="shared" si="4"/>
        <v>0</v>
      </c>
      <c r="T9" s="120">
        <f t="shared" si="5"/>
        <v>9020000</v>
      </c>
      <c r="U9" s="120">
        <f t="shared" si="6"/>
        <v>0</v>
      </c>
      <c r="V9" s="120">
        <f t="shared" si="7"/>
        <v>0</v>
      </c>
      <c r="W9" s="120"/>
      <c r="X9" s="120"/>
      <c r="Y9" s="120"/>
      <c r="Z9" s="120"/>
      <c r="AA9" s="135"/>
      <c r="AB9" s="224" t="s">
        <v>310</v>
      </c>
      <c r="AC9" s="135">
        <v>930000</v>
      </c>
      <c r="AD9" s="131"/>
      <c r="AE9" s="131"/>
      <c r="AF9" s="131"/>
      <c r="AG9" s="131"/>
      <c r="AH9" s="131"/>
      <c r="AI9" s="131"/>
      <c r="AJ9" s="131"/>
      <c r="AK9" s="131"/>
      <c r="AL9" s="131"/>
      <c r="AM9" s="538"/>
      <c r="AN9" s="538"/>
      <c r="AO9" s="538"/>
      <c r="AP9" s="538"/>
      <c r="AQ9" s="538"/>
      <c r="AR9" s="538"/>
      <c r="AS9" s="538"/>
      <c r="AT9" s="538"/>
    </row>
    <row r="10" spans="1:46" s="134" customFormat="1" ht="45" customHeight="1">
      <c r="A10" s="135">
        <f t="shared" si="9"/>
        <v>6</v>
      </c>
      <c r="B10" s="135">
        <v>1704</v>
      </c>
      <c r="C10" s="135" t="s">
        <v>909</v>
      </c>
      <c r="D10" s="120">
        <v>5784000</v>
      </c>
      <c r="E10" s="120">
        <v>5784000</v>
      </c>
      <c r="F10" s="120">
        <f t="shared" si="0"/>
        <v>0</v>
      </c>
      <c r="G10" s="120">
        <v>1580000</v>
      </c>
      <c r="H10" s="120">
        <v>803706</v>
      </c>
      <c r="I10" s="120"/>
      <c r="J10" s="120"/>
      <c r="K10" s="120">
        <f t="shared" si="8"/>
        <v>0</v>
      </c>
      <c r="L10" s="120">
        <f t="shared" si="1"/>
        <v>803706</v>
      </c>
      <c r="M10" s="120">
        <f>P10+S10-600000-175000</f>
        <v>1294</v>
      </c>
      <c r="N10" s="120">
        <v>600000</v>
      </c>
      <c r="O10" s="120">
        <f t="shared" si="2"/>
        <v>4379000</v>
      </c>
      <c r="P10" s="120">
        <f t="shared" si="3"/>
        <v>776294</v>
      </c>
      <c r="Q10" s="120"/>
      <c r="R10" s="120"/>
      <c r="S10" s="120">
        <f t="shared" si="4"/>
        <v>0</v>
      </c>
      <c r="T10" s="120">
        <f t="shared" si="5"/>
        <v>775000</v>
      </c>
      <c r="U10" s="120">
        <f t="shared" si="6"/>
        <v>-175000</v>
      </c>
      <c r="V10" s="120">
        <f t="shared" si="7"/>
        <v>-175000</v>
      </c>
      <c r="W10" s="120"/>
      <c r="X10" s="120"/>
      <c r="Y10" s="120"/>
      <c r="Z10" s="120"/>
      <c r="AA10" s="135"/>
      <c r="AB10" s="214" t="s">
        <v>910</v>
      </c>
      <c r="AC10" s="135">
        <v>930000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538"/>
      <c r="AN10" s="538"/>
      <c r="AO10" s="538"/>
      <c r="AP10" s="538"/>
      <c r="AQ10" s="538"/>
      <c r="AR10" s="538"/>
      <c r="AS10" s="538"/>
      <c r="AT10" s="538"/>
    </row>
    <row r="11" spans="1:46" s="452" customFormat="1" ht="45" customHeight="1">
      <c r="A11" s="135">
        <f t="shared" si="9"/>
        <v>7</v>
      </c>
      <c r="B11" s="448">
        <v>1805</v>
      </c>
      <c r="C11" s="448" t="s">
        <v>94</v>
      </c>
      <c r="D11" s="120">
        <v>2250000</v>
      </c>
      <c r="E11" s="120">
        <v>2250000</v>
      </c>
      <c r="F11" s="120">
        <f t="shared" si="0"/>
        <v>0</v>
      </c>
      <c r="G11" s="120">
        <v>850000</v>
      </c>
      <c r="H11" s="120">
        <v>45476</v>
      </c>
      <c r="I11" s="120"/>
      <c r="J11" s="120"/>
      <c r="K11" s="120">
        <f t="shared" si="8"/>
        <v>0</v>
      </c>
      <c r="L11" s="120">
        <f t="shared" si="1"/>
        <v>45476</v>
      </c>
      <c r="M11" s="120">
        <f>P11+S11-800000</f>
        <v>4524</v>
      </c>
      <c r="N11" s="120"/>
      <c r="O11" s="120">
        <f t="shared" si="2"/>
        <v>2200000</v>
      </c>
      <c r="P11" s="120">
        <f t="shared" si="3"/>
        <v>804524</v>
      </c>
      <c r="Q11" s="120"/>
      <c r="R11" s="120"/>
      <c r="S11" s="120">
        <f t="shared" si="4"/>
        <v>0</v>
      </c>
      <c r="T11" s="120">
        <f t="shared" si="5"/>
        <v>800000</v>
      </c>
      <c r="U11" s="120">
        <f t="shared" si="6"/>
        <v>-800000</v>
      </c>
      <c r="V11" s="120">
        <f t="shared" si="7"/>
        <v>-800000</v>
      </c>
      <c r="W11" s="120"/>
      <c r="X11" s="120"/>
      <c r="Y11" s="120"/>
      <c r="Z11" s="120"/>
      <c r="AA11" s="135"/>
      <c r="AB11" s="448" t="s">
        <v>381</v>
      </c>
      <c r="AC11" s="448">
        <v>742000</v>
      </c>
      <c r="AD11" s="131"/>
      <c r="AE11" s="131"/>
      <c r="AF11" s="131"/>
      <c r="AG11" s="131"/>
      <c r="AH11" s="131"/>
      <c r="AI11" s="131"/>
      <c r="AJ11" s="131"/>
      <c r="AK11" s="131"/>
      <c r="AL11" s="131"/>
      <c r="AM11" s="538"/>
      <c r="AN11" s="538"/>
      <c r="AO11" s="538"/>
      <c r="AP11" s="538"/>
      <c r="AQ11" s="538"/>
      <c r="AR11" s="538"/>
      <c r="AS11" s="538"/>
      <c r="AT11" s="538"/>
    </row>
    <row r="12" spans="1:46" s="134" customFormat="1" ht="45" customHeight="1">
      <c r="A12" s="135">
        <f t="shared" si="9"/>
        <v>8</v>
      </c>
      <c r="B12" s="469">
        <v>1983</v>
      </c>
      <c r="C12" s="135" t="s">
        <v>120</v>
      </c>
      <c r="D12" s="120">
        <v>800000</v>
      </c>
      <c r="E12" s="120">
        <v>800000</v>
      </c>
      <c r="F12" s="120">
        <f t="shared" si="0"/>
        <v>0</v>
      </c>
      <c r="G12" s="120">
        <v>100000</v>
      </c>
      <c r="H12" s="120">
        <v>10249</v>
      </c>
      <c r="I12" s="120"/>
      <c r="J12" s="120"/>
      <c r="K12" s="120">
        <f t="shared" si="8"/>
        <v>0</v>
      </c>
      <c r="L12" s="120">
        <f t="shared" si="1"/>
        <v>10249</v>
      </c>
      <c r="M12" s="120">
        <f>P12+S12-85000</f>
        <v>4751</v>
      </c>
      <c r="N12" s="120">
        <v>85000</v>
      </c>
      <c r="O12" s="120">
        <f t="shared" si="2"/>
        <v>700000</v>
      </c>
      <c r="P12" s="120">
        <f t="shared" si="3"/>
        <v>89751</v>
      </c>
      <c r="Q12" s="120"/>
      <c r="R12" s="120"/>
      <c r="S12" s="120">
        <f t="shared" si="4"/>
        <v>0</v>
      </c>
      <c r="T12" s="120">
        <f t="shared" si="5"/>
        <v>85000</v>
      </c>
      <c r="U12" s="120">
        <f t="shared" si="6"/>
        <v>0</v>
      </c>
      <c r="V12" s="120">
        <f t="shared" si="7"/>
        <v>0</v>
      </c>
      <c r="W12" s="120"/>
      <c r="X12" s="120"/>
      <c r="Y12" s="120"/>
      <c r="Z12" s="120"/>
      <c r="AA12" s="135"/>
      <c r="AB12" s="214" t="s">
        <v>240</v>
      </c>
      <c r="AC12" s="135">
        <v>930000</v>
      </c>
      <c r="AD12" s="131"/>
      <c r="AE12" s="131"/>
      <c r="AF12" s="131"/>
      <c r="AG12" s="131"/>
      <c r="AH12" s="131"/>
      <c r="AI12" s="131"/>
      <c r="AJ12" s="131"/>
      <c r="AK12" s="131"/>
      <c r="AL12" s="131"/>
      <c r="AM12" s="538"/>
      <c r="AN12" s="538"/>
      <c r="AO12" s="538"/>
      <c r="AP12" s="538"/>
      <c r="AQ12" s="538"/>
      <c r="AR12" s="538"/>
      <c r="AS12" s="538"/>
      <c r="AT12" s="538"/>
    </row>
    <row r="13" spans="1:46" s="134" customFormat="1" ht="45" customHeight="1">
      <c r="A13" s="135">
        <f t="shared" si="9"/>
        <v>9</v>
      </c>
      <c r="B13" s="469">
        <v>1993</v>
      </c>
      <c r="C13" s="135" t="s">
        <v>128</v>
      </c>
      <c r="D13" s="120">
        <v>6000000</v>
      </c>
      <c r="E13" s="120">
        <v>6000000</v>
      </c>
      <c r="F13" s="120">
        <f t="shared" si="0"/>
        <v>0</v>
      </c>
      <c r="G13" s="120">
        <v>6000000</v>
      </c>
      <c r="H13" s="120">
        <v>5968176</v>
      </c>
      <c r="I13" s="120"/>
      <c r="J13" s="120"/>
      <c r="K13" s="120">
        <f t="shared" si="8"/>
        <v>0</v>
      </c>
      <c r="L13" s="120">
        <f t="shared" si="1"/>
        <v>5968176</v>
      </c>
      <c r="M13" s="120">
        <f>P13+S13-30000</f>
        <v>1824</v>
      </c>
      <c r="N13" s="120">
        <v>30000</v>
      </c>
      <c r="O13" s="120">
        <f t="shared" si="2"/>
        <v>0</v>
      </c>
      <c r="P13" s="120">
        <f t="shared" si="3"/>
        <v>31824</v>
      </c>
      <c r="Q13" s="120"/>
      <c r="R13" s="120"/>
      <c r="S13" s="120">
        <f t="shared" si="4"/>
        <v>0</v>
      </c>
      <c r="T13" s="120">
        <f t="shared" si="5"/>
        <v>30000</v>
      </c>
      <c r="U13" s="120">
        <f t="shared" si="6"/>
        <v>0</v>
      </c>
      <c r="V13" s="120">
        <f t="shared" si="7"/>
        <v>0</v>
      </c>
      <c r="W13" s="120"/>
      <c r="X13" s="120"/>
      <c r="Y13" s="120"/>
      <c r="Z13" s="120"/>
      <c r="AA13" s="135"/>
      <c r="AB13" s="224" t="s">
        <v>290</v>
      </c>
      <c r="AC13" s="135">
        <v>930000</v>
      </c>
      <c r="AD13" s="131"/>
      <c r="AE13" s="131"/>
      <c r="AF13" s="131"/>
      <c r="AG13" s="131"/>
      <c r="AH13" s="131"/>
      <c r="AI13" s="131"/>
      <c r="AJ13" s="131"/>
      <c r="AK13" s="131"/>
      <c r="AL13" s="131"/>
      <c r="AM13" s="538"/>
      <c r="AN13" s="538"/>
      <c r="AO13" s="538"/>
      <c r="AP13" s="538"/>
      <c r="AQ13" s="538"/>
      <c r="AR13" s="538"/>
      <c r="AS13" s="538"/>
      <c r="AT13" s="538"/>
    </row>
    <row r="14" spans="1:46" s="134" customFormat="1" ht="45" customHeight="1">
      <c r="A14" s="135">
        <f t="shared" si="9"/>
        <v>10</v>
      </c>
      <c r="B14" s="469">
        <v>2055</v>
      </c>
      <c r="C14" s="135" t="s">
        <v>286</v>
      </c>
      <c r="D14" s="120">
        <v>220000</v>
      </c>
      <c r="E14" s="120">
        <v>220000</v>
      </c>
      <c r="F14" s="120">
        <f t="shared" si="0"/>
        <v>0</v>
      </c>
      <c r="G14" s="120">
        <v>200000</v>
      </c>
      <c r="H14" s="120">
        <v>122292</v>
      </c>
      <c r="I14" s="120"/>
      <c r="J14" s="120"/>
      <c r="K14" s="120">
        <f t="shared" si="8"/>
        <v>0</v>
      </c>
      <c r="L14" s="120">
        <f t="shared" si="1"/>
        <v>122292</v>
      </c>
      <c r="M14" s="120">
        <f>P14+S14-70000</f>
        <v>7708</v>
      </c>
      <c r="N14" s="120">
        <v>70000</v>
      </c>
      <c r="O14" s="120">
        <f t="shared" si="2"/>
        <v>20000</v>
      </c>
      <c r="P14" s="120">
        <f t="shared" si="3"/>
        <v>77708</v>
      </c>
      <c r="Q14" s="120"/>
      <c r="R14" s="120"/>
      <c r="S14" s="120">
        <f t="shared" si="4"/>
        <v>0</v>
      </c>
      <c r="T14" s="120">
        <f t="shared" si="5"/>
        <v>70000</v>
      </c>
      <c r="U14" s="120">
        <f t="shared" si="6"/>
        <v>0</v>
      </c>
      <c r="V14" s="120">
        <f t="shared" si="7"/>
        <v>0</v>
      </c>
      <c r="W14" s="120"/>
      <c r="X14" s="120"/>
      <c r="Y14" s="120"/>
      <c r="Z14" s="120"/>
      <c r="AA14" s="135"/>
      <c r="AB14" s="224" t="s">
        <v>311</v>
      </c>
      <c r="AC14" s="135">
        <v>930000</v>
      </c>
      <c r="AD14" s="131"/>
      <c r="AE14" s="131"/>
      <c r="AF14" s="131"/>
      <c r="AG14" s="131"/>
      <c r="AH14" s="131"/>
      <c r="AI14" s="131"/>
      <c r="AJ14" s="131"/>
      <c r="AK14" s="131"/>
      <c r="AL14" s="131"/>
      <c r="AM14" s="538"/>
      <c r="AN14" s="538"/>
      <c r="AO14" s="538"/>
      <c r="AP14" s="538"/>
      <c r="AQ14" s="538"/>
      <c r="AR14" s="538"/>
      <c r="AS14" s="538"/>
      <c r="AT14" s="538"/>
    </row>
    <row r="15" spans="1:46" s="134" customFormat="1" ht="45" customHeight="1">
      <c r="A15" s="135">
        <f t="shared" si="9"/>
        <v>11</v>
      </c>
      <c r="B15" s="469">
        <v>2072</v>
      </c>
      <c r="C15" s="135" t="s">
        <v>339</v>
      </c>
      <c r="D15" s="120">
        <v>100000</v>
      </c>
      <c r="E15" s="120">
        <v>100000</v>
      </c>
      <c r="F15" s="120">
        <f t="shared" si="0"/>
        <v>0</v>
      </c>
      <c r="G15" s="120">
        <v>100000</v>
      </c>
      <c r="H15" s="120">
        <v>33398</v>
      </c>
      <c r="I15" s="120"/>
      <c r="J15" s="120"/>
      <c r="K15" s="120">
        <f t="shared" si="8"/>
        <v>0</v>
      </c>
      <c r="L15" s="120">
        <f t="shared" si="1"/>
        <v>33398</v>
      </c>
      <c r="M15" s="120">
        <f>P15+S15-60000</f>
        <v>6602</v>
      </c>
      <c r="N15" s="120">
        <v>60000</v>
      </c>
      <c r="O15" s="120">
        <f t="shared" si="2"/>
        <v>0</v>
      </c>
      <c r="P15" s="120">
        <f t="shared" si="3"/>
        <v>66602</v>
      </c>
      <c r="Q15" s="120"/>
      <c r="R15" s="120"/>
      <c r="S15" s="120">
        <f t="shared" si="4"/>
        <v>0</v>
      </c>
      <c r="T15" s="120">
        <f t="shared" si="5"/>
        <v>60000</v>
      </c>
      <c r="U15" s="120">
        <f t="shared" si="6"/>
        <v>0</v>
      </c>
      <c r="V15" s="120">
        <f t="shared" si="7"/>
        <v>0</v>
      </c>
      <c r="W15" s="120"/>
      <c r="X15" s="120"/>
      <c r="Y15" s="120"/>
      <c r="Z15" s="120"/>
      <c r="AA15" s="135"/>
      <c r="AB15" s="224" t="s">
        <v>312</v>
      </c>
      <c r="AC15" s="135">
        <v>930000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538"/>
      <c r="AN15" s="538"/>
      <c r="AO15" s="538"/>
      <c r="AP15" s="538"/>
      <c r="AQ15" s="538"/>
      <c r="AR15" s="538"/>
      <c r="AS15" s="538"/>
      <c r="AT15" s="538"/>
    </row>
    <row r="16" spans="1:46" s="134" customFormat="1" ht="45" customHeight="1">
      <c r="A16" s="135">
        <f t="shared" si="9"/>
        <v>12</v>
      </c>
      <c r="B16" s="469">
        <v>2223</v>
      </c>
      <c r="C16" s="135" t="s">
        <v>442</v>
      </c>
      <c r="D16" s="120">
        <f>600000+30000</f>
        <v>630000</v>
      </c>
      <c r="E16" s="120">
        <v>600000</v>
      </c>
      <c r="F16" s="120">
        <f t="shared" si="0"/>
        <v>30000</v>
      </c>
      <c r="G16" s="120">
        <v>300000</v>
      </c>
      <c r="H16" s="120">
        <v>250000</v>
      </c>
      <c r="I16" s="120"/>
      <c r="J16" s="120"/>
      <c r="K16" s="120">
        <f t="shared" si="8"/>
        <v>0</v>
      </c>
      <c r="L16" s="120">
        <f t="shared" si="1"/>
        <v>250000</v>
      </c>
      <c r="M16" s="120">
        <f>P16+S16-50000</f>
        <v>0</v>
      </c>
      <c r="N16" s="120">
        <f>50000+325000+5000</f>
        <v>380000</v>
      </c>
      <c r="O16" s="120">
        <f t="shared" si="2"/>
        <v>0</v>
      </c>
      <c r="P16" s="120">
        <f t="shared" si="3"/>
        <v>50000</v>
      </c>
      <c r="Q16" s="120"/>
      <c r="R16" s="120"/>
      <c r="S16" s="120">
        <f t="shared" si="4"/>
        <v>0</v>
      </c>
      <c r="T16" s="120">
        <f t="shared" si="5"/>
        <v>50000</v>
      </c>
      <c r="U16" s="120">
        <f t="shared" si="6"/>
        <v>330000</v>
      </c>
      <c r="V16" s="120">
        <f t="shared" si="7"/>
        <v>330000</v>
      </c>
      <c r="W16" s="120"/>
      <c r="X16" s="120"/>
      <c r="Y16" s="120"/>
      <c r="Z16" s="120"/>
      <c r="AA16" s="135"/>
      <c r="AB16" s="224" t="s">
        <v>443</v>
      </c>
      <c r="AC16" s="135">
        <v>930000</v>
      </c>
      <c r="AD16" s="131"/>
      <c r="AE16" s="131"/>
      <c r="AF16" s="131"/>
      <c r="AG16" s="131"/>
      <c r="AH16" s="131"/>
      <c r="AI16" s="131"/>
      <c r="AJ16" s="131"/>
      <c r="AK16" s="131"/>
      <c r="AL16" s="131"/>
      <c r="AM16" s="538"/>
      <c r="AN16" s="538"/>
      <c r="AO16" s="538"/>
      <c r="AP16" s="538"/>
      <c r="AQ16" s="538"/>
      <c r="AR16" s="538"/>
      <c r="AS16" s="538"/>
      <c r="AT16" s="538"/>
    </row>
    <row r="17" spans="1:54" s="134" customFormat="1" ht="45" customHeight="1">
      <c r="A17" s="135">
        <f t="shared" si="9"/>
        <v>13</v>
      </c>
      <c r="B17" s="469">
        <v>20090</v>
      </c>
      <c r="C17" s="135" t="s">
        <v>943</v>
      </c>
      <c r="D17" s="120">
        <v>280000</v>
      </c>
      <c r="E17" s="120">
        <v>280000</v>
      </c>
      <c r="F17" s="120">
        <f t="shared" si="0"/>
        <v>0</v>
      </c>
      <c r="G17" s="120">
        <v>280000</v>
      </c>
      <c r="H17" s="120">
        <v>257697</v>
      </c>
      <c r="I17" s="120"/>
      <c r="J17" s="120"/>
      <c r="K17" s="120">
        <f>SUM(I17:J17)</f>
        <v>0</v>
      </c>
      <c r="L17" s="120">
        <f t="shared" si="1"/>
        <v>257697</v>
      </c>
      <c r="M17" s="120">
        <f>P17+S17-20000</f>
        <v>2303</v>
      </c>
      <c r="N17" s="120">
        <v>20000</v>
      </c>
      <c r="O17" s="120">
        <f t="shared" si="2"/>
        <v>0</v>
      </c>
      <c r="P17" s="120">
        <f t="shared" si="3"/>
        <v>22303</v>
      </c>
      <c r="Q17" s="120"/>
      <c r="R17" s="120"/>
      <c r="S17" s="120">
        <f t="shared" si="4"/>
        <v>0</v>
      </c>
      <c r="T17" s="120">
        <f t="shared" si="5"/>
        <v>20000</v>
      </c>
      <c r="U17" s="120">
        <f t="shared" si="6"/>
        <v>0</v>
      </c>
      <c r="V17" s="120">
        <f t="shared" si="7"/>
        <v>0</v>
      </c>
      <c r="W17" s="120"/>
      <c r="X17" s="120"/>
      <c r="Y17" s="120"/>
      <c r="Z17" s="120"/>
      <c r="AA17" s="135"/>
      <c r="AB17" s="224" t="s">
        <v>957</v>
      </c>
      <c r="AC17" s="135">
        <v>930000</v>
      </c>
      <c r="AD17" s="131"/>
      <c r="AE17" s="131"/>
      <c r="AF17" s="131"/>
      <c r="AG17" s="131"/>
      <c r="AH17" s="131"/>
      <c r="AI17" s="131"/>
      <c r="AJ17" s="131"/>
      <c r="AK17" s="131"/>
      <c r="AL17" s="131"/>
      <c r="AM17" s="538"/>
      <c r="AN17" s="538"/>
      <c r="AO17" s="538"/>
      <c r="AP17" s="538"/>
      <c r="AQ17" s="538"/>
      <c r="AR17" s="538"/>
      <c r="AS17" s="538"/>
      <c r="AT17" s="538"/>
    </row>
    <row r="18" spans="1:54" s="134" customFormat="1" ht="45" customHeight="1">
      <c r="A18" s="135">
        <f t="shared" si="9"/>
        <v>14</v>
      </c>
      <c r="B18" s="469">
        <v>20103</v>
      </c>
      <c r="C18" s="135" t="s">
        <v>1005</v>
      </c>
      <c r="D18" s="120">
        <v>770000</v>
      </c>
      <c r="E18" s="120">
        <v>770000</v>
      </c>
      <c r="F18" s="120">
        <f t="shared" si="0"/>
        <v>0</v>
      </c>
      <c r="G18" s="120"/>
      <c r="H18" s="120"/>
      <c r="I18" s="120"/>
      <c r="J18" s="120"/>
      <c r="K18" s="120">
        <f t="shared" si="8"/>
        <v>0</v>
      </c>
      <c r="L18" s="120">
        <f t="shared" si="1"/>
        <v>0</v>
      </c>
      <c r="M18" s="120">
        <f>P18+S18-770000</f>
        <v>0</v>
      </c>
      <c r="N18" s="120"/>
      <c r="O18" s="120">
        <f t="shared" si="2"/>
        <v>770000</v>
      </c>
      <c r="P18" s="120">
        <f t="shared" si="3"/>
        <v>0</v>
      </c>
      <c r="Q18" s="120"/>
      <c r="R18" s="120">
        <v>770000</v>
      </c>
      <c r="S18" s="120">
        <f t="shared" si="4"/>
        <v>770000</v>
      </c>
      <c r="T18" s="120">
        <f t="shared" si="5"/>
        <v>770000</v>
      </c>
      <c r="U18" s="120">
        <f t="shared" si="6"/>
        <v>-770000</v>
      </c>
      <c r="V18" s="120">
        <f>U18-W18-Z18-AA18-X18</f>
        <v>0</v>
      </c>
      <c r="W18" s="120"/>
      <c r="X18" s="120">
        <v>-770000</v>
      </c>
      <c r="Y18" s="120"/>
      <c r="Z18" s="120"/>
      <c r="AA18" s="135"/>
      <c r="AB18" s="224" t="s">
        <v>1346</v>
      </c>
      <c r="AC18" s="135">
        <v>930000</v>
      </c>
      <c r="AD18" s="131"/>
      <c r="AE18" s="131"/>
      <c r="AF18" s="131"/>
      <c r="AG18" s="131"/>
      <c r="AH18" s="131"/>
      <c r="AI18" s="131"/>
      <c r="AJ18" s="131"/>
      <c r="AK18" s="131"/>
      <c r="AL18" s="131"/>
      <c r="AM18" s="538"/>
      <c r="AN18" s="538"/>
      <c r="AO18" s="538"/>
      <c r="AP18" s="538"/>
      <c r="AQ18" s="538"/>
      <c r="AR18" s="538"/>
      <c r="AS18" s="538"/>
      <c r="AT18" s="538"/>
    </row>
    <row r="19" spans="1:54" s="452" customFormat="1" ht="55.2">
      <c r="A19" s="135">
        <f t="shared" si="9"/>
        <v>15</v>
      </c>
      <c r="B19" s="455">
        <v>20135</v>
      </c>
      <c r="C19" s="135" t="s">
        <v>1493</v>
      </c>
      <c r="D19" s="120">
        <v>5000000</v>
      </c>
      <c r="E19" s="120"/>
      <c r="F19" s="120">
        <f>D19-E19</f>
        <v>5000000</v>
      </c>
      <c r="G19" s="120">
        <v>0</v>
      </c>
      <c r="H19" s="120"/>
      <c r="I19" s="120"/>
      <c r="J19" s="120"/>
      <c r="K19" s="120">
        <f>I19+J19</f>
        <v>0</v>
      </c>
      <c r="L19" s="120">
        <f>H19+K19</f>
        <v>0</v>
      </c>
      <c r="M19" s="120">
        <f>P19+S19</f>
        <v>0</v>
      </c>
      <c r="N19" s="120">
        <v>4550000</v>
      </c>
      <c r="O19" s="120">
        <f>D19-L19-M19-N19</f>
        <v>450000</v>
      </c>
      <c r="P19" s="120">
        <f>G19-L19</f>
        <v>0</v>
      </c>
      <c r="Q19" s="120"/>
      <c r="R19" s="120"/>
      <c r="S19" s="120">
        <f>SUM(Q19:R19)</f>
        <v>0</v>
      </c>
      <c r="T19" s="120">
        <f>P19-M19+S19</f>
        <v>0</v>
      </c>
      <c r="U19" s="120">
        <f>N19-T19</f>
        <v>4550000</v>
      </c>
      <c r="V19" s="120">
        <f>U19-W19-Z19-AA19</f>
        <v>4550000</v>
      </c>
      <c r="W19" s="120"/>
      <c r="X19" s="120"/>
      <c r="Y19" s="120"/>
      <c r="Z19" s="120"/>
      <c r="AA19" s="120"/>
      <c r="AB19" s="448" t="s">
        <v>1494</v>
      </c>
      <c r="AC19" s="448">
        <v>930000</v>
      </c>
      <c r="AD19" s="131"/>
      <c r="AE19" s="131"/>
      <c r="AF19" s="131"/>
      <c r="AG19" s="131"/>
      <c r="AH19" s="131"/>
      <c r="AI19" s="131"/>
      <c r="AJ19" s="131"/>
      <c r="AK19" s="131"/>
      <c r="AL19" s="131"/>
      <c r="AM19" s="465"/>
      <c r="AN19" s="465"/>
      <c r="AO19" s="465"/>
      <c r="AP19" s="465"/>
      <c r="AQ19" s="465"/>
      <c r="AR19" s="465"/>
      <c r="AS19" s="465"/>
      <c r="AT19" s="272"/>
      <c r="AU19" s="272"/>
      <c r="AV19" s="272"/>
      <c r="AW19" s="272"/>
      <c r="AX19" s="272"/>
      <c r="AY19" s="272"/>
      <c r="AZ19" s="272"/>
      <c r="BA19" s="272"/>
      <c r="BB19" s="272"/>
    </row>
    <row r="20" spans="1:54" s="473" customFormat="1" ht="45" customHeight="1">
      <c r="A20" s="249">
        <f>COUNT(A5:A19)</f>
        <v>15</v>
      </c>
      <c r="B20" s="454"/>
      <c r="C20" s="219" t="s">
        <v>296</v>
      </c>
      <c r="D20" s="249">
        <f t="shared" ref="D20:AA20" si="10">SUM(D5:D19)</f>
        <v>127989000</v>
      </c>
      <c r="E20" s="249">
        <f t="shared" si="10"/>
        <v>122959000</v>
      </c>
      <c r="F20" s="249">
        <f t="shared" si="10"/>
        <v>5030000</v>
      </c>
      <c r="G20" s="249">
        <f t="shared" si="10"/>
        <v>58821825</v>
      </c>
      <c r="H20" s="249">
        <f t="shared" si="10"/>
        <v>45315356</v>
      </c>
      <c r="I20" s="249">
        <f t="shared" si="10"/>
        <v>0</v>
      </c>
      <c r="J20" s="249">
        <f t="shared" si="10"/>
        <v>21341</v>
      </c>
      <c r="K20" s="249">
        <f t="shared" si="10"/>
        <v>21341</v>
      </c>
      <c r="L20" s="249">
        <f t="shared" si="10"/>
        <v>45336697</v>
      </c>
      <c r="M20" s="249">
        <f t="shared" si="10"/>
        <v>50128</v>
      </c>
      <c r="N20" s="249">
        <f t="shared" si="10"/>
        <v>17240000</v>
      </c>
      <c r="O20" s="249">
        <f t="shared" si="10"/>
        <v>65362175</v>
      </c>
      <c r="P20" s="249">
        <f t="shared" si="10"/>
        <v>13485128</v>
      </c>
      <c r="Q20" s="249">
        <f t="shared" si="10"/>
        <v>0</v>
      </c>
      <c r="R20" s="249">
        <f t="shared" si="10"/>
        <v>770000</v>
      </c>
      <c r="S20" s="249">
        <f t="shared" si="10"/>
        <v>770000</v>
      </c>
      <c r="T20" s="249">
        <f t="shared" si="10"/>
        <v>14205000</v>
      </c>
      <c r="U20" s="249">
        <f t="shared" si="10"/>
        <v>3035000</v>
      </c>
      <c r="V20" s="249">
        <f t="shared" si="10"/>
        <v>3805000</v>
      </c>
      <c r="W20" s="249">
        <f t="shared" si="10"/>
        <v>0</v>
      </c>
      <c r="X20" s="249">
        <f t="shared" si="10"/>
        <v>-770000</v>
      </c>
      <c r="Y20" s="249">
        <f t="shared" si="10"/>
        <v>0</v>
      </c>
      <c r="Z20" s="249">
        <f t="shared" si="10"/>
        <v>0</v>
      </c>
      <c r="AA20" s="249">
        <f t="shared" si="10"/>
        <v>0</v>
      </c>
      <c r="AB20" s="454"/>
      <c r="AC20" s="454"/>
      <c r="AD20" s="131"/>
      <c r="AE20" s="131"/>
      <c r="AF20" s="131"/>
      <c r="AG20" s="131"/>
      <c r="AH20" s="131"/>
      <c r="AI20" s="131"/>
      <c r="AJ20" s="131"/>
      <c r="AK20" s="131"/>
      <c r="AL20" s="131"/>
      <c r="AM20" s="472"/>
      <c r="AN20" s="472"/>
      <c r="AO20" s="472"/>
      <c r="AP20" s="472"/>
      <c r="AQ20" s="472"/>
      <c r="AR20" s="472"/>
      <c r="AS20" s="472"/>
      <c r="AT20" s="359"/>
      <c r="AU20" s="359"/>
      <c r="AV20" s="359"/>
      <c r="AW20" s="359"/>
      <c r="AX20" s="359"/>
      <c r="AY20" s="359"/>
      <c r="AZ20" s="359"/>
      <c r="BA20" s="359"/>
      <c r="BB20" s="359"/>
    </row>
    <row r="21" spans="1:54" hidden="1">
      <c r="D21" s="492">
        <f>SUM(L20:O20)</f>
        <v>127989000</v>
      </c>
      <c r="E21" s="467"/>
      <c r="F21" s="493">
        <f>D20-E20</f>
        <v>5030000</v>
      </c>
      <c r="G21" s="493"/>
      <c r="H21" s="493"/>
      <c r="I21" s="493"/>
      <c r="J21" s="493"/>
      <c r="K21" s="493"/>
      <c r="L21" s="492">
        <f>H20+K20</f>
        <v>45336697</v>
      </c>
      <c r="M21" s="493"/>
      <c r="N21" s="493"/>
      <c r="O21" s="493"/>
      <c r="P21" s="492">
        <f>G20-L21</f>
        <v>13485128</v>
      </c>
      <c r="Q21" s="493"/>
      <c r="R21" s="493"/>
      <c r="S21" s="493"/>
      <c r="T21" s="492">
        <f>P21+S20-M20</f>
        <v>14205000</v>
      </c>
      <c r="U21" s="492">
        <f>N20-T21</f>
        <v>3035000</v>
      </c>
    </row>
    <row r="22" spans="1:54" hidden="1">
      <c r="D22" s="492">
        <f>D20-D21</f>
        <v>0</v>
      </c>
      <c r="E22" s="467"/>
      <c r="F22" s="493"/>
      <c r="G22" s="493"/>
      <c r="H22" s="493"/>
      <c r="I22" s="493"/>
      <c r="J22" s="493"/>
      <c r="K22" s="493"/>
      <c r="L22" s="492">
        <f>L20-L21</f>
        <v>0</v>
      </c>
      <c r="M22" s="493"/>
      <c r="N22" s="493"/>
      <c r="O22" s="493"/>
      <c r="P22" s="492">
        <f>P20-P21</f>
        <v>0</v>
      </c>
      <c r="Q22" s="493"/>
      <c r="R22" s="493"/>
      <c r="S22" s="493"/>
      <c r="T22" s="492">
        <f>T20-T21</f>
        <v>0</v>
      </c>
      <c r="U22" s="492">
        <f>U20-U21</f>
        <v>0</v>
      </c>
    </row>
    <row r="23" spans="1:54" hidden="1"/>
    <row r="24" spans="1:54" hidden="1"/>
    <row r="128" spans="1:1">
      <c r="A128" s="539">
        <f>COUNT(A5:A127)</f>
        <v>16</v>
      </c>
    </row>
    <row r="131" spans="1:1">
      <c r="A131" s="539">
        <f>A128+1</f>
        <v>17</v>
      </c>
    </row>
    <row r="134" spans="1:1" ht="37.950000000000003" customHeight="1"/>
    <row r="137" spans="1:1" ht="70.95" customHeight="1"/>
    <row r="140" spans="1:1" ht="72" customHeight="1"/>
    <row r="142" spans="1:1" ht="43.95" customHeight="1"/>
    <row r="144" spans="1:1" ht="30" customHeight="1"/>
  </sheetData>
  <sheetProtection formatCells="0" formatColumns="0" formatRows="0" insertColumns="0" insertRows="0" insertHyperlinks="0" deleteColumns="0" deleteRows="0" sort="0" autoFilter="0" pivotTables="0"/>
  <conditionalFormatting sqref="AB4">
    <cfRule type="cellIs" dxfId="118" priority="11" operator="equal">
      <formula>0</formula>
    </cfRule>
  </conditionalFormatting>
  <conditionalFormatting sqref="AF4">
    <cfRule type="cellIs" dxfId="117" priority="5" operator="equal">
      <formula>0</formula>
    </cfRule>
  </conditionalFormatting>
  <conditionalFormatting sqref="AG4">
    <cfRule type="cellIs" dxfId="116" priority="3" operator="equal">
      <formula>0</formula>
    </cfRule>
  </conditionalFormatting>
  <conditionalFormatting sqref="AL4">
    <cfRule type="cellIs" dxfId="115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8"/>
  <sheetViews>
    <sheetView showZeros="0" rightToLeft="1" zoomScaleNormal="100" workbookViewId="0">
      <pane xSplit="3" ySplit="4" topLeftCell="D11" activePane="bottomRight" state="frozen"/>
      <selection activeCell="F25" sqref="F25"/>
      <selection pane="topRight" activeCell="F25" sqref="F25"/>
      <selection pane="bottomLeft" activeCell="F25" sqref="F25"/>
      <selection pane="bottomRight" sqref="A1:AC17"/>
    </sheetView>
  </sheetViews>
  <sheetFormatPr defaultColWidth="8.88671875" defaultRowHeight="13.8"/>
  <cols>
    <col min="1" max="1" width="3.33203125" style="131" customWidth="1"/>
    <col min="2" max="2" width="5.5546875" style="131" customWidth="1"/>
    <col min="3" max="3" width="29.6640625" style="131" bestFit="1" customWidth="1"/>
    <col min="4" max="4" width="11.109375" style="132" bestFit="1" customWidth="1"/>
    <col min="5" max="5" width="11.109375" style="132" customWidth="1"/>
    <col min="6" max="6" width="9.33203125" style="132" customWidth="1"/>
    <col min="7" max="8" width="10.109375" style="132" hidden="1" customWidth="1"/>
    <col min="9" max="9" width="7.5546875" style="132" hidden="1" customWidth="1"/>
    <col min="10" max="10" width="6.5546875" style="132" hidden="1" customWidth="1"/>
    <col min="11" max="11" width="9.5546875" style="132" hidden="1" customWidth="1"/>
    <col min="12" max="15" width="10.109375" style="132" customWidth="1"/>
    <col min="16" max="16" width="10.109375" style="132" hidden="1" customWidth="1"/>
    <col min="17" max="18" width="13.5546875" style="132" hidden="1" customWidth="1"/>
    <col min="19" max="19" width="7.5546875" style="132" hidden="1" customWidth="1"/>
    <col min="20" max="20" width="10.109375" style="132" customWidth="1"/>
    <col min="21" max="21" width="8.44140625" style="131" bestFit="1" customWidth="1"/>
    <col min="22" max="22" width="8.88671875" style="131" bestFit="1" customWidth="1"/>
    <col min="23" max="24" width="7" style="131" hidden="1" customWidth="1"/>
    <col min="25" max="25" width="9.109375" style="131" hidden="1" customWidth="1"/>
    <col min="26" max="26" width="9.5546875" style="131" hidden="1" customWidth="1"/>
    <col min="27" max="27" width="7.5546875" style="131" hidden="1" customWidth="1"/>
    <col min="28" max="28" width="42.5546875" style="131" hidden="1" customWidth="1"/>
    <col min="29" max="29" width="7" style="131" customWidth="1"/>
    <col min="30" max="30" width="32" style="142" customWidth="1"/>
    <col min="31" max="31" width="15.5546875" style="142" customWidth="1"/>
    <col min="32" max="16384" width="8.88671875" style="131"/>
  </cols>
  <sheetData>
    <row r="1" spans="1:32" s="141" customFormat="1" ht="18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D1" s="142"/>
      <c r="AE1" s="142"/>
    </row>
    <row r="2" spans="1:32" ht="18">
      <c r="A2" s="154" t="s">
        <v>291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</row>
    <row r="3" spans="1:32" ht="21" customHeight="1"/>
    <row r="4" spans="1:32" s="142" customFormat="1" ht="86.25" customHeight="1">
      <c r="A4" s="130" t="s">
        <v>0</v>
      </c>
      <c r="B4" s="130" t="s">
        <v>1</v>
      </c>
      <c r="C4" s="130" t="s">
        <v>2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7</v>
      </c>
      <c r="I4" s="130" t="s">
        <v>9</v>
      </c>
      <c r="J4" s="130" t="s">
        <v>125</v>
      </c>
      <c r="K4" s="130" t="s">
        <v>10</v>
      </c>
      <c r="L4" s="130" t="s">
        <v>11</v>
      </c>
      <c r="M4" s="130" t="s">
        <v>707</v>
      </c>
      <c r="N4" s="130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0" t="s">
        <v>13</v>
      </c>
      <c r="W4" s="130" t="s">
        <v>14</v>
      </c>
      <c r="X4" s="130" t="s">
        <v>15</v>
      </c>
      <c r="Y4" s="130" t="s">
        <v>214</v>
      </c>
      <c r="Z4" s="130" t="s">
        <v>502</v>
      </c>
      <c r="AA4" s="130" t="s">
        <v>75</v>
      </c>
      <c r="AB4" s="327" t="s">
        <v>242</v>
      </c>
      <c r="AC4" s="130" t="s">
        <v>16</v>
      </c>
    </row>
    <row r="5" spans="1:32" s="134" customFormat="1" ht="27.6">
      <c r="A5" s="135">
        <v>1</v>
      </c>
      <c r="B5" s="135">
        <v>470</v>
      </c>
      <c r="C5" s="135" t="s">
        <v>58</v>
      </c>
      <c r="D5" s="120">
        <v>2130000</v>
      </c>
      <c r="E5" s="120">
        <v>2130000</v>
      </c>
      <c r="F5" s="120">
        <f t="shared" ref="F5:F14" si="0">D5-E5</f>
        <v>0</v>
      </c>
      <c r="G5" s="120">
        <v>1830000</v>
      </c>
      <c r="H5" s="120">
        <v>1737007</v>
      </c>
      <c r="I5" s="120">
        <v>0</v>
      </c>
      <c r="J5" s="120">
        <v>0</v>
      </c>
      <c r="K5" s="120">
        <f>SUM(I5:J5)</f>
        <v>0</v>
      </c>
      <c r="L5" s="120">
        <f t="shared" ref="L5:L16" si="1">H5+K5</f>
        <v>1737007</v>
      </c>
      <c r="M5" s="120">
        <f t="shared" ref="M5:M16" si="2">P5+S5</f>
        <v>92993</v>
      </c>
      <c r="N5" s="120"/>
      <c r="O5" s="120">
        <f t="shared" ref="O5:O16" si="3">D5-L5-M5-N5</f>
        <v>300000</v>
      </c>
      <c r="P5" s="120">
        <f t="shared" ref="P5:P16" si="4">G5-L5</f>
        <v>92993</v>
      </c>
      <c r="Q5" s="120"/>
      <c r="R5" s="120"/>
      <c r="S5" s="120">
        <f t="shared" ref="S5:S16" si="5">SUM(Q5:R5)</f>
        <v>0</v>
      </c>
      <c r="T5" s="120">
        <f t="shared" ref="T5:T16" si="6">P5-M5+S5</f>
        <v>0</v>
      </c>
      <c r="U5" s="120">
        <f t="shared" ref="U5:U16" si="7">N5-T5</f>
        <v>0</v>
      </c>
      <c r="V5" s="120">
        <f t="shared" ref="V5:V16" si="8">U5-W5-Z5-AA5</f>
        <v>0</v>
      </c>
      <c r="W5" s="120"/>
      <c r="X5" s="120"/>
      <c r="Y5" s="120"/>
      <c r="Z5" s="120"/>
      <c r="AA5" s="135"/>
      <c r="AB5" s="218" t="s">
        <v>288</v>
      </c>
      <c r="AC5" s="135">
        <v>935000</v>
      </c>
      <c r="AD5" s="142"/>
      <c r="AE5" s="142"/>
      <c r="AF5" s="227"/>
    </row>
    <row r="6" spans="1:32" s="134" customFormat="1" ht="30" customHeight="1">
      <c r="A6" s="135">
        <f>A5+1</f>
        <v>2</v>
      </c>
      <c r="B6" s="135">
        <v>1066</v>
      </c>
      <c r="C6" s="135" t="s">
        <v>59</v>
      </c>
      <c r="D6" s="120">
        <v>75000</v>
      </c>
      <c r="E6" s="120">
        <v>75000</v>
      </c>
      <c r="F6" s="120">
        <f t="shared" si="0"/>
        <v>0</v>
      </c>
      <c r="G6" s="120">
        <v>75000</v>
      </c>
      <c r="H6" s="120">
        <v>40172</v>
      </c>
      <c r="I6" s="120">
        <v>0</v>
      </c>
      <c r="J6" s="120">
        <v>0</v>
      </c>
      <c r="K6" s="120">
        <f t="shared" ref="K6:K16" si="9">SUM(I6:J6)</f>
        <v>0</v>
      </c>
      <c r="L6" s="120">
        <f t="shared" si="1"/>
        <v>40172</v>
      </c>
      <c r="M6" s="120">
        <f>P6+S6-30000</f>
        <v>4828</v>
      </c>
      <c r="N6" s="120">
        <v>30000</v>
      </c>
      <c r="O6" s="120">
        <f t="shared" si="3"/>
        <v>0</v>
      </c>
      <c r="P6" s="120">
        <f t="shared" si="4"/>
        <v>34828</v>
      </c>
      <c r="Q6" s="120"/>
      <c r="R6" s="120"/>
      <c r="S6" s="120">
        <f t="shared" si="5"/>
        <v>0</v>
      </c>
      <c r="T6" s="120">
        <f t="shared" si="6"/>
        <v>30000</v>
      </c>
      <c r="U6" s="120">
        <f t="shared" si="7"/>
        <v>0</v>
      </c>
      <c r="V6" s="120">
        <f t="shared" si="8"/>
        <v>0</v>
      </c>
      <c r="W6" s="120"/>
      <c r="X6" s="120"/>
      <c r="Y6" s="120"/>
      <c r="Z6" s="120"/>
      <c r="AA6" s="135"/>
      <c r="AB6" s="224" t="s">
        <v>308</v>
      </c>
      <c r="AC6" s="135">
        <v>935000</v>
      </c>
      <c r="AD6" s="142"/>
      <c r="AE6" s="142"/>
      <c r="AF6" s="227"/>
    </row>
    <row r="7" spans="1:32" s="134" customFormat="1" ht="30" customHeight="1">
      <c r="A7" s="135">
        <f t="shared" ref="A7:A16" si="10">A6+1</f>
        <v>3</v>
      </c>
      <c r="B7" s="135">
        <v>1177</v>
      </c>
      <c r="C7" s="135" t="s">
        <v>60</v>
      </c>
      <c r="D7" s="120">
        <v>41850000</v>
      </c>
      <c r="E7" s="120">
        <v>41850000</v>
      </c>
      <c r="F7" s="120">
        <f t="shared" si="0"/>
        <v>0</v>
      </c>
      <c r="G7" s="120">
        <v>28957000</v>
      </c>
      <c r="H7" s="120">
        <v>26727455</v>
      </c>
      <c r="I7" s="120">
        <v>0</v>
      </c>
      <c r="J7" s="120">
        <v>0</v>
      </c>
      <c r="K7" s="120">
        <f t="shared" si="9"/>
        <v>0</v>
      </c>
      <c r="L7" s="120">
        <f t="shared" si="1"/>
        <v>26727455</v>
      </c>
      <c r="M7" s="120">
        <f>P7+S7-2200000</f>
        <v>29545</v>
      </c>
      <c r="N7" s="120">
        <v>2200000</v>
      </c>
      <c r="O7" s="120">
        <f t="shared" si="3"/>
        <v>12893000</v>
      </c>
      <c r="P7" s="120">
        <f t="shared" si="4"/>
        <v>2229545</v>
      </c>
      <c r="Q7" s="120"/>
      <c r="R7" s="120"/>
      <c r="S7" s="120">
        <f t="shared" si="5"/>
        <v>0</v>
      </c>
      <c r="T7" s="120">
        <f t="shared" si="6"/>
        <v>2200000</v>
      </c>
      <c r="U7" s="120">
        <f t="shared" si="7"/>
        <v>0</v>
      </c>
      <c r="V7" s="120">
        <f t="shared" si="8"/>
        <v>0</v>
      </c>
      <c r="W7" s="120"/>
      <c r="X7" s="120"/>
      <c r="Y7" s="120"/>
      <c r="Z7" s="120"/>
      <c r="AA7" s="135"/>
      <c r="AB7" s="224" t="s">
        <v>309</v>
      </c>
      <c r="AC7" s="135">
        <v>930000</v>
      </c>
      <c r="AD7" s="142"/>
      <c r="AE7" s="142"/>
      <c r="AF7" s="227"/>
    </row>
    <row r="8" spans="1:32" s="134" customFormat="1" ht="30" customHeight="1">
      <c r="A8" s="135">
        <f t="shared" si="10"/>
        <v>4</v>
      </c>
      <c r="B8" s="135">
        <v>1258</v>
      </c>
      <c r="C8" s="135" t="s">
        <v>61</v>
      </c>
      <c r="D8" s="120">
        <v>1400000</v>
      </c>
      <c r="E8" s="120">
        <v>1400000</v>
      </c>
      <c r="F8" s="120">
        <f t="shared" si="0"/>
        <v>0</v>
      </c>
      <c r="G8" s="120">
        <v>950000</v>
      </c>
      <c r="H8" s="120">
        <v>949150</v>
      </c>
      <c r="I8" s="120">
        <v>0</v>
      </c>
      <c r="J8" s="120">
        <v>0</v>
      </c>
      <c r="K8" s="120">
        <f t="shared" si="9"/>
        <v>0</v>
      </c>
      <c r="L8" s="120">
        <f t="shared" si="1"/>
        <v>949150</v>
      </c>
      <c r="M8" s="120">
        <f t="shared" si="2"/>
        <v>300850</v>
      </c>
      <c r="N8" s="120"/>
      <c r="O8" s="120">
        <f t="shared" si="3"/>
        <v>150000</v>
      </c>
      <c r="P8" s="120">
        <f t="shared" si="4"/>
        <v>850</v>
      </c>
      <c r="Q8" s="120">
        <v>300000</v>
      </c>
      <c r="R8" s="120"/>
      <c r="S8" s="120">
        <f t="shared" si="5"/>
        <v>300000</v>
      </c>
      <c r="T8" s="120">
        <f t="shared" si="6"/>
        <v>0</v>
      </c>
      <c r="U8" s="120">
        <f t="shared" si="7"/>
        <v>0</v>
      </c>
      <c r="V8" s="120">
        <f t="shared" si="8"/>
        <v>0</v>
      </c>
      <c r="W8" s="120"/>
      <c r="X8" s="120"/>
      <c r="Y8" s="120"/>
      <c r="Z8" s="120"/>
      <c r="AA8" s="135"/>
      <c r="AB8" s="214" t="s">
        <v>239</v>
      </c>
      <c r="AC8" s="135">
        <v>930000</v>
      </c>
      <c r="AD8" s="142"/>
      <c r="AE8" s="142"/>
      <c r="AF8" s="227"/>
    </row>
    <row r="9" spans="1:32" s="134" customFormat="1" ht="30" customHeight="1">
      <c r="A9" s="135">
        <f t="shared" si="10"/>
        <v>5</v>
      </c>
      <c r="B9" s="135">
        <v>1330</v>
      </c>
      <c r="C9" s="135" t="s">
        <v>62</v>
      </c>
      <c r="D9" s="120">
        <v>60700000</v>
      </c>
      <c r="E9" s="120">
        <v>60700000</v>
      </c>
      <c r="F9" s="120">
        <f t="shared" si="0"/>
        <v>0</v>
      </c>
      <c r="G9" s="120">
        <v>17249825</v>
      </c>
      <c r="H9" s="120">
        <v>7626051</v>
      </c>
      <c r="I9" s="120">
        <v>0</v>
      </c>
      <c r="J9" s="120">
        <v>21341</v>
      </c>
      <c r="K9" s="120">
        <f t="shared" si="9"/>
        <v>21341</v>
      </c>
      <c r="L9" s="120">
        <f t="shared" si="1"/>
        <v>7647392</v>
      </c>
      <c r="M9" s="120">
        <f>P9+S9-9600000</f>
        <v>2433</v>
      </c>
      <c r="N9" s="120">
        <v>9600000</v>
      </c>
      <c r="O9" s="120">
        <f t="shared" si="3"/>
        <v>43450175</v>
      </c>
      <c r="P9" s="120">
        <f t="shared" si="4"/>
        <v>9602433</v>
      </c>
      <c r="Q9" s="120"/>
      <c r="R9" s="120"/>
      <c r="S9" s="120">
        <f t="shared" si="5"/>
        <v>0</v>
      </c>
      <c r="T9" s="120">
        <f t="shared" si="6"/>
        <v>9600000</v>
      </c>
      <c r="U9" s="120">
        <f t="shared" si="7"/>
        <v>0</v>
      </c>
      <c r="V9" s="120">
        <f t="shared" si="8"/>
        <v>0</v>
      </c>
      <c r="W9" s="120"/>
      <c r="X9" s="120"/>
      <c r="Y9" s="120"/>
      <c r="Z9" s="120"/>
      <c r="AA9" s="135"/>
      <c r="AB9" s="224" t="s">
        <v>310</v>
      </c>
      <c r="AC9" s="135">
        <v>930000</v>
      </c>
      <c r="AD9" s="142"/>
      <c r="AE9" s="142"/>
      <c r="AF9" s="227"/>
    </row>
    <row r="10" spans="1:32" s="134" customFormat="1" ht="36.6" customHeight="1">
      <c r="A10" s="135">
        <f t="shared" si="10"/>
        <v>6</v>
      </c>
      <c r="B10" s="135">
        <v>1704</v>
      </c>
      <c r="C10" s="135" t="s">
        <v>63</v>
      </c>
      <c r="D10" s="120">
        <v>5784000</v>
      </c>
      <c r="E10" s="120">
        <v>5784000</v>
      </c>
      <c r="F10" s="120">
        <f t="shared" si="0"/>
        <v>0</v>
      </c>
      <c r="G10" s="120">
        <v>890000</v>
      </c>
      <c r="H10" s="120">
        <v>257171</v>
      </c>
      <c r="I10" s="120">
        <v>0</v>
      </c>
      <c r="J10" s="120">
        <v>562556</v>
      </c>
      <c r="K10" s="120">
        <f t="shared" si="9"/>
        <v>562556</v>
      </c>
      <c r="L10" s="120">
        <f t="shared" si="1"/>
        <v>819727</v>
      </c>
      <c r="M10" s="120">
        <f t="shared" si="2"/>
        <v>760273</v>
      </c>
      <c r="N10" s="120"/>
      <c r="O10" s="120">
        <f t="shared" si="3"/>
        <v>4204000</v>
      </c>
      <c r="P10" s="120">
        <f t="shared" si="4"/>
        <v>70273</v>
      </c>
      <c r="Q10" s="120">
        <v>690000</v>
      </c>
      <c r="R10" s="120"/>
      <c r="S10" s="120">
        <f t="shared" si="5"/>
        <v>690000</v>
      </c>
      <c r="T10" s="120">
        <f t="shared" si="6"/>
        <v>0</v>
      </c>
      <c r="U10" s="120">
        <f t="shared" si="7"/>
        <v>0</v>
      </c>
      <c r="V10" s="120">
        <f t="shared" si="8"/>
        <v>0</v>
      </c>
      <c r="W10" s="120"/>
      <c r="X10" s="120"/>
      <c r="Y10" s="120"/>
      <c r="Z10" s="120"/>
      <c r="AA10" s="135"/>
      <c r="AB10" s="214" t="s">
        <v>289</v>
      </c>
      <c r="AC10" s="135">
        <v>930000</v>
      </c>
      <c r="AD10" s="142"/>
      <c r="AE10" s="142"/>
      <c r="AF10" s="227"/>
    </row>
    <row r="11" spans="1:32" s="5" customFormat="1" ht="30" customHeight="1">
      <c r="A11" s="135">
        <f t="shared" si="10"/>
        <v>7</v>
      </c>
      <c r="B11" s="3">
        <v>1805</v>
      </c>
      <c r="C11" s="3" t="s">
        <v>94</v>
      </c>
      <c r="D11" s="4">
        <v>2250000</v>
      </c>
      <c r="E11" s="4">
        <v>2250000</v>
      </c>
      <c r="F11" s="4">
        <f t="shared" si="0"/>
        <v>0</v>
      </c>
      <c r="G11" s="4">
        <v>850000</v>
      </c>
      <c r="H11" s="4">
        <v>38266</v>
      </c>
      <c r="I11" s="4">
        <v>0</v>
      </c>
      <c r="J11" s="4">
        <v>5343</v>
      </c>
      <c r="K11" s="4">
        <f t="shared" si="9"/>
        <v>5343</v>
      </c>
      <c r="L11" s="4">
        <f t="shared" si="1"/>
        <v>43609</v>
      </c>
      <c r="M11" s="120">
        <f>P11+S11-800000</f>
        <v>6391</v>
      </c>
      <c r="N11" s="4">
        <v>800000</v>
      </c>
      <c r="O11" s="4">
        <f>D11-L11-M11-N11</f>
        <v>1400000</v>
      </c>
      <c r="P11" s="4">
        <f>G11-L11</f>
        <v>806391</v>
      </c>
      <c r="Q11" s="4"/>
      <c r="R11" s="4"/>
      <c r="S11" s="4">
        <f>SUM(Q11:R11)</f>
        <v>0</v>
      </c>
      <c r="T11" s="4">
        <f>P11-M11+S11</f>
        <v>800000</v>
      </c>
      <c r="U11" s="4">
        <f>N11-T11</f>
        <v>0</v>
      </c>
      <c r="V11" s="4">
        <f>U11-AA11-W11-Z11</f>
        <v>0</v>
      </c>
      <c r="W11" s="4"/>
      <c r="X11" s="4"/>
      <c r="Y11" s="4"/>
      <c r="Z11" s="4"/>
      <c r="AA11" s="3"/>
      <c r="AB11" s="3" t="s">
        <v>381</v>
      </c>
      <c r="AC11" s="3">
        <v>742000</v>
      </c>
      <c r="AD11" s="142"/>
      <c r="AE11" s="142"/>
      <c r="AF11" s="227"/>
    </row>
    <row r="12" spans="1:32" s="134" customFormat="1" ht="30" customHeight="1">
      <c r="A12" s="135">
        <f t="shared" si="10"/>
        <v>8</v>
      </c>
      <c r="B12" s="135">
        <v>1983</v>
      </c>
      <c r="C12" s="135" t="s">
        <v>120</v>
      </c>
      <c r="D12" s="120">
        <v>800000</v>
      </c>
      <c r="E12" s="120">
        <v>800000</v>
      </c>
      <c r="F12" s="120">
        <f t="shared" si="0"/>
        <v>0</v>
      </c>
      <c r="G12" s="120">
        <v>100000</v>
      </c>
      <c r="H12" s="120">
        <v>10249</v>
      </c>
      <c r="I12" s="120">
        <v>0</v>
      </c>
      <c r="J12" s="120">
        <v>0</v>
      </c>
      <c r="K12" s="120">
        <f t="shared" si="9"/>
        <v>0</v>
      </c>
      <c r="L12" s="120">
        <f t="shared" si="1"/>
        <v>10249</v>
      </c>
      <c r="M12" s="120">
        <f t="shared" si="2"/>
        <v>89751</v>
      </c>
      <c r="N12" s="120"/>
      <c r="O12" s="120">
        <f t="shared" si="3"/>
        <v>700000</v>
      </c>
      <c r="P12" s="120">
        <f t="shared" si="4"/>
        <v>89751</v>
      </c>
      <c r="Q12" s="120"/>
      <c r="R12" s="120"/>
      <c r="S12" s="120">
        <f t="shared" si="5"/>
        <v>0</v>
      </c>
      <c r="T12" s="120">
        <f t="shared" si="6"/>
        <v>0</v>
      </c>
      <c r="U12" s="120">
        <f t="shared" si="7"/>
        <v>0</v>
      </c>
      <c r="V12" s="120">
        <f t="shared" si="8"/>
        <v>0</v>
      </c>
      <c r="W12" s="120"/>
      <c r="X12" s="120"/>
      <c r="Y12" s="120"/>
      <c r="Z12" s="120"/>
      <c r="AA12" s="135"/>
      <c r="AB12" s="214" t="s">
        <v>240</v>
      </c>
      <c r="AC12" s="135">
        <v>930000</v>
      </c>
      <c r="AD12" s="142"/>
      <c r="AE12" s="142"/>
      <c r="AF12" s="227"/>
    </row>
    <row r="13" spans="1:32" s="134" customFormat="1" ht="30" customHeight="1">
      <c r="A13" s="135">
        <f t="shared" si="10"/>
        <v>9</v>
      </c>
      <c r="B13" s="135">
        <v>1993</v>
      </c>
      <c r="C13" s="135" t="s">
        <v>128</v>
      </c>
      <c r="D13" s="120">
        <v>6000000</v>
      </c>
      <c r="E13" s="120">
        <v>6000000</v>
      </c>
      <c r="F13" s="120">
        <f t="shared" si="0"/>
        <v>0</v>
      </c>
      <c r="G13" s="120">
        <v>6000000</v>
      </c>
      <c r="H13" s="120">
        <v>3768953</v>
      </c>
      <c r="I13" s="120">
        <v>280567</v>
      </c>
      <c r="J13" s="120">
        <v>0</v>
      </c>
      <c r="K13" s="120">
        <f t="shared" si="9"/>
        <v>280567</v>
      </c>
      <c r="L13" s="120">
        <f t="shared" si="1"/>
        <v>4049520</v>
      </c>
      <c r="M13" s="120">
        <f t="shared" si="2"/>
        <v>1950480</v>
      </c>
      <c r="N13" s="120"/>
      <c r="O13" s="120">
        <f t="shared" si="3"/>
        <v>0</v>
      </c>
      <c r="P13" s="120">
        <f t="shared" si="4"/>
        <v>1950480</v>
      </c>
      <c r="Q13" s="120"/>
      <c r="R13" s="120"/>
      <c r="S13" s="120">
        <f t="shared" si="5"/>
        <v>0</v>
      </c>
      <c r="T13" s="120">
        <f t="shared" si="6"/>
        <v>0</v>
      </c>
      <c r="U13" s="120">
        <f t="shared" si="7"/>
        <v>0</v>
      </c>
      <c r="V13" s="120">
        <f t="shared" si="8"/>
        <v>0</v>
      </c>
      <c r="W13" s="120"/>
      <c r="X13" s="120"/>
      <c r="Y13" s="120"/>
      <c r="Z13" s="120"/>
      <c r="AA13" s="135"/>
      <c r="AB13" s="224" t="s">
        <v>290</v>
      </c>
      <c r="AC13" s="135">
        <v>930000</v>
      </c>
      <c r="AD13" s="142"/>
      <c r="AE13" s="142"/>
      <c r="AF13" s="227"/>
    </row>
    <row r="14" spans="1:32" s="134" customFormat="1" ht="30" customHeight="1">
      <c r="A14" s="135">
        <f t="shared" si="10"/>
        <v>10</v>
      </c>
      <c r="B14" s="135">
        <v>2055</v>
      </c>
      <c r="C14" s="135" t="s">
        <v>286</v>
      </c>
      <c r="D14" s="120">
        <v>220000</v>
      </c>
      <c r="E14" s="120">
        <v>220000</v>
      </c>
      <c r="F14" s="120">
        <f t="shared" si="0"/>
        <v>0</v>
      </c>
      <c r="G14" s="120">
        <v>200000</v>
      </c>
      <c r="H14" s="120">
        <v>122292</v>
      </c>
      <c r="I14" s="120">
        <v>0</v>
      </c>
      <c r="J14" s="120">
        <v>0</v>
      </c>
      <c r="K14" s="120">
        <f t="shared" si="9"/>
        <v>0</v>
      </c>
      <c r="L14" s="120">
        <f t="shared" si="1"/>
        <v>122292</v>
      </c>
      <c r="M14" s="120">
        <f>P14+S14-70000</f>
        <v>7708</v>
      </c>
      <c r="N14" s="120">
        <v>70000</v>
      </c>
      <c r="O14" s="120">
        <f t="shared" si="3"/>
        <v>20000</v>
      </c>
      <c r="P14" s="120">
        <f t="shared" si="4"/>
        <v>77708</v>
      </c>
      <c r="Q14" s="120"/>
      <c r="R14" s="120"/>
      <c r="S14" s="120">
        <f t="shared" si="5"/>
        <v>0</v>
      </c>
      <c r="T14" s="120">
        <f t="shared" si="6"/>
        <v>70000</v>
      </c>
      <c r="U14" s="120">
        <f t="shared" si="7"/>
        <v>0</v>
      </c>
      <c r="V14" s="120">
        <f t="shared" si="8"/>
        <v>0</v>
      </c>
      <c r="W14" s="120"/>
      <c r="X14" s="120"/>
      <c r="Y14" s="120"/>
      <c r="Z14" s="120"/>
      <c r="AA14" s="135"/>
      <c r="AB14" s="224" t="s">
        <v>311</v>
      </c>
      <c r="AC14" s="135">
        <v>930000</v>
      </c>
      <c r="AD14" s="142"/>
      <c r="AE14" s="142"/>
      <c r="AF14" s="227"/>
    </row>
    <row r="15" spans="1:32" s="134" customFormat="1" ht="30" customHeight="1">
      <c r="A15" s="135">
        <f t="shared" si="10"/>
        <v>11</v>
      </c>
      <c r="B15" s="135">
        <v>2072</v>
      </c>
      <c r="C15" s="135" t="s">
        <v>339</v>
      </c>
      <c r="D15" s="120">
        <v>100000</v>
      </c>
      <c r="E15" s="120">
        <v>100000</v>
      </c>
      <c r="F15" s="120">
        <f>D15-E15</f>
        <v>0</v>
      </c>
      <c r="G15" s="120">
        <v>100000</v>
      </c>
      <c r="H15" s="120">
        <v>33398</v>
      </c>
      <c r="I15" s="120">
        <v>0</v>
      </c>
      <c r="J15" s="120">
        <v>0</v>
      </c>
      <c r="K15" s="120">
        <f t="shared" si="9"/>
        <v>0</v>
      </c>
      <c r="L15" s="120">
        <f t="shared" si="1"/>
        <v>33398</v>
      </c>
      <c r="M15" s="120">
        <f>P15+S15-60000</f>
        <v>6602</v>
      </c>
      <c r="N15" s="120">
        <v>60000</v>
      </c>
      <c r="O15" s="120">
        <f t="shared" si="3"/>
        <v>0</v>
      </c>
      <c r="P15" s="120">
        <f t="shared" si="4"/>
        <v>66602</v>
      </c>
      <c r="Q15" s="120"/>
      <c r="R15" s="120"/>
      <c r="S15" s="120">
        <f t="shared" si="5"/>
        <v>0</v>
      </c>
      <c r="T15" s="120">
        <f t="shared" si="6"/>
        <v>60000</v>
      </c>
      <c r="U15" s="120">
        <f t="shared" si="7"/>
        <v>0</v>
      </c>
      <c r="V15" s="120">
        <f t="shared" si="8"/>
        <v>0</v>
      </c>
      <c r="W15" s="120"/>
      <c r="X15" s="120"/>
      <c r="Y15" s="120"/>
      <c r="Z15" s="120"/>
      <c r="AA15" s="135"/>
      <c r="AB15" s="224" t="s">
        <v>312</v>
      </c>
      <c r="AC15" s="135">
        <v>930000</v>
      </c>
      <c r="AD15" s="142"/>
      <c r="AE15" s="142"/>
      <c r="AF15" s="227"/>
    </row>
    <row r="16" spans="1:32" s="134" customFormat="1" ht="27.6">
      <c r="A16" s="135">
        <f t="shared" si="10"/>
        <v>12</v>
      </c>
      <c r="B16" s="135">
        <v>2223</v>
      </c>
      <c r="C16" s="135" t="s">
        <v>442</v>
      </c>
      <c r="D16" s="120">
        <v>600000</v>
      </c>
      <c r="E16" s="120">
        <v>600000</v>
      </c>
      <c r="F16" s="120">
        <f>D16-E16</f>
        <v>0</v>
      </c>
      <c r="G16" s="120">
        <v>300000</v>
      </c>
      <c r="H16" s="120">
        <v>0</v>
      </c>
      <c r="I16" s="120">
        <v>0</v>
      </c>
      <c r="J16" s="120">
        <v>0</v>
      </c>
      <c r="K16" s="120">
        <f t="shared" si="9"/>
        <v>0</v>
      </c>
      <c r="L16" s="120">
        <f t="shared" si="1"/>
        <v>0</v>
      </c>
      <c r="M16" s="120">
        <f t="shared" si="2"/>
        <v>300000</v>
      </c>
      <c r="N16" s="120">
        <v>300000</v>
      </c>
      <c r="O16" s="120">
        <f t="shared" si="3"/>
        <v>0</v>
      </c>
      <c r="P16" s="120">
        <f t="shared" si="4"/>
        <v>300000</v>
      </c>
      <c r="Q16" s="120"/>
      <c r="R16" s="120"/>
      <c r="S16" s="120">
        <f t="shared" si="5"/>
        <v>0</v>
      </c>
      <c r="T16" s="120">
        <f t="shared" si="6"/>
        <v>0</v>
      </c>
      <c r="U16" s="120">
        <f t="shared" si="7"/>
        <v>300000</v>
      </c>
      <c r="V16" s="120">
        <f t="shared" si="8"/>
        <v>300000</v>
      </c>
      <c r="W16" s="120"/>
      <c r="X16" s="120"/>
      <c r="Y16" s="120"/>
      <c r="Z16" s="120"/>
      <c r="AA16" s="135"/>
      <c r="AB16" s="224" t="s">
        <v>443</v>
      </c>
      <c r="AC16" s="135">
        <v>930000</v>
      </c>
      <c r="AD16" s="142"/>
      <c r="AE16" s="142"/>
      <c r="AF16" s="227"/>
    </row>
    <row r="17" spans="1:49" s="6" customFormat="1" ht="28.2" customHeight="1">
      <c r="A17" s="7">
        <f>A16</f>
        <v>12</v>
      </c>
      <c r="B17" s="20"/>
      <c r="C17" s="20" t="s">
        <v>534</v>
      </c>
      <c r="D17" s="8">
        <f>SUM(D5:D16)</f>
        <v>121909000</v>
      </c>
      <c r="E17" s="8">
        <f t="shared" ref="E17:AA17" si="11">SUM(E5:E16)</f>
        <v>121909000</v>
      </c>
      <c r="F17" s="8">
        <f t="shared" si="11"/>
        <v>0</v>
      </c>
      <c r="G17" s="8">
        <f t="shared" si="11"/>
        <v>57501825</v>
      </c>
      <c r="H17" s="8">
        <f t="shared" si="11"/>
        <v>41310164</v>
      </c>
      <c r="I17" s="8">
        <f t="shared" si="11"/>
        <v>280567</v>
      </c>
      <c r="J17" s="8">
        <f t="shared" si="11"/>
        <v>589240</v>
      </c>
      <c r="K17" s="8">
        <f t="shared" si="11"/>
        <v>869807</v>
      </c>
      <c r="L17" s="8">
        <f t="shared" si="11"/>
        <v>42179971</v>
      </c>
      <c r="M17" s="8">
        <f t="shared" si="11"/>
        <v>3551854</v>
      </c>
      <c r="N17" s="8">
        <f t="shared" si="11"/>
        <v>13060000</v>
      </c>
      <c r="O17" s="8">
        <f t="shared" si="11"/>
        <v>63117175</v>
      </c>
      <c r="P17" s="8">
        <f t="shared" si="11"/>
        <v>15321854</v>
      </c>
      <c r="Q17" s="8">
        <f t="shared" si="11"/>
        <v>990000</v>
      </c>
      <c r="R17" s="8">
        <f t="shared" si="11"/>
        <v>0</v>
      </c>
      <c r="S17" s="8">
        <f t="shared" si="11"/>
        <v>990000</v>
      </c>
      <c r="T17" s="8">
        <f t="shared" si="11"/>
        <v>12760000</v>
      </c>
      <c r="U17" s="8">
        <f t="shared" si="11"/>
        <v>300000</v>
      </c>
      <c r="V17" s="8">
        <f t="shared" si="11"/>
        <v>300000</v>
      </c>
      <c r="W17" s="8">
        <f t="shared" si="11"/>
        <v>0</v>
      </c>
      <c r="X17" s="8">
        <f t="shared" si="11"/>
        <v>0</v>
      </c>
      <c r="Y17" s="8">
        <f t="shared" si="11"/>
        <v>0</v>
      </c>
      <c r="Z17" s="8">
        <f t="shared" si="11"/>
        <v>0</v>
      </c>
      <c r="AA17" s="8">
        <f t="shared" si="11"/>
        <v>0</v>
      </c>
      <c r="AB17" s="7"/>
      <c r="AC17" s="7"/>
      <c r="AD17" s="142"/>
      <c r="AE17" s="142"/>
      <c r="AF17" s="157"/>
      <c r="AG17" s="374"/>
      <c r="AH17" s="374"/>
      <c r="AI17" s="374"/>
      <c r="AJ17" s="374"/>
      <c r="AK17" s="374"/>
      <c r="AL17" s="374"/>
      <c r="AM17" s="374"/>
      <c r="AN17" s="374"/>
      <c r="AO17" s="374"/>
      <c r="AP17" s="374"/>
      <c r="AQ17" s="374"/>
      <c r="AR17" s="374"/>
      <c r="AS17" s="374"/>
      <c r="AT17" s="374"/>
      <c r="AU17" s="374"/>
      <c r="AV17" s="374"/>
      <c r="AW17" s="374"/>
    </row>
    <row r="18" spans="1:49">
      <c r="L18" s="402">
        <f>H17+K17</f>
        <v>42179971</v>
      </c>
      <c r="N18" s="402"/>
      <c r="O18" s="402"/>
      <c r="P18" s="402">
        <f>G17-L18</f>
        <v>15321854</v>
      </c>
      <c r="Q18" s="402"/>
      <c r="T18" s="402">
        <f>P18+S17-M17</f>
        <v>12760000</v>
      </c>
    </row>
  </sheetData>
  <sheetProtection formatCells="0" formatColumns="0" formatRows="0" insertColumns="0" insertRows="0" insertHyperlinks="0" deleteColumns="0" deleteRows="0" sort="0" autoFilter="0" pivotTables="0"/>
  <conditionalFormatting sqref="AB4">
    <cfRule type="cellIs" dxfId="114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144"/>
  <sheetViews>
    <sheetView showZeros="0" rightToLeft="1" zoomScaleNormal="100" workbookViewId="0">
      <pane xSplit="3" ySplit="4" topLeftCell="D19" activePane="bottomRight" state="frozen"/>
      <selection activeCell="S45" sqref="S45"/>
      <selection pane="topRight" activeCell="S45" sqref="S45"/>
      <selection pane="bottomLeft" activeCell="S45" sqref="S45"/>
      <selection pane="bottomRight" activeCell="T20" sqref="T20"/>
    </sheetView>
  </sheetViews>
  <sheetFormatPr defaultColWidth="8.88671875" defaultRowHeight="13.8"/>
  <cols>
    <col min="1" max="1" width="3.6640625" style="539" customWidth="1"/>
    <col min="2" max="2" width="5.6640625" style="131" customWidth="1"/>
    <col min="3" max="3" width="29.6640625" style="131" bestFit="1" customWidth="1"/>
    <col min="4" max="4" width="10.88671875" style="132" customWidth="1"/>
    <col min="5" max="11" width="9.88671875" style="132" hidden="1" customWidth="1"/>
    <col min="12" max="15" width="9.88671875" style="132" customWidth="1"/>
    <col min="16" max="19" width="9.88671875" style="132" hidden="1" customWidth="1"/>
    <col min="20" max="20" width="9" style="132" customWidth="1"/>
    <col min="21" max="22" width="9.88671875" style="131" customWidth="1"/>
    <col min="23" max="23" width="9.88671875" style="131" hidden="1" customWidth="1"/>
    <col min="24" max="24" width="8.109375" style="131" customWidth="1"/>
    <col min="25" max="27" width="9.88671875" style="131" hidden="1" customWidth="1"/>
    <col min="28" max="28" width="31.6640625" style="131" customWidth="1"/>
    <col min="29" max="29" width="7" style="131" customWidth="1"/>
    <col min="30" max="30" width="27.6640625" style="131" customWidth="1"/>
    <col min="31" max="32" width="10.6640625" style="131" customWidth="1"/>
    <col min="33" max="33" width="27.6640625" style="131" customWidth="1"/>
    <col min="34" max="34" width="9.88671875" style="131" customWidth="1"/>
    <col min="35" max="35" width="16" style="131" customWidth="1"/>
    <col min="36" max="37" width="10.6640625" style="131" customWidth="1"/>
    <col min="38" max="38" width="18.109375" style="131" customWidth="1"/>
    <col min="39" max="45" width="10.6640625" style="538" customWidth="1"/>
    <col min="46" max="46" width="8.88671875" style="538"/>
    <col min="47" max="16384" width="8.88671875" style="131"/>
  </cols>
  <sheetData>
    <row r="1" spans="1:46" s="141" customFormat="1" ht="18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D1" s="131"/>
      <c r="AE1" s="131"/>
      <c r="AF1" s="131"/>
      <c r="AG1" s="131"/>
      <c r="AH1" s="131"/>
      <c r="AI1" s="131"/>
      <c r="AJ1" s="131"/>
      <c r="AK1" s="131"/>
      <c r="AL1" s="131"/>
      <c r="AM1" s="538"/>
      <c r="AN1" s="538"/>
      <c r="AO1" s="538"/>
      <c r="AP1" s="538"/>
      <c r="AQ1" s="538"/>
      <c r="AR1" s="538"/>
      <c r="AS1" s="538"/>
      <c r="AT1" s="538"/>
    </row>
    <row r="2" spans="1:46" ht="18">
      <c r="A2" s="537" t="s">
        <v>291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</row>
    <row r="3" spans="1:46" ht="21" customHeight="1">
      <c r="V3" s="895" t="s">
        <v>79</v>
      </c>
      <c r="W3" s="895"/>
      <c r="X3" s="895"/>
      <c r="Y3" s="895"/>
      <c r="Z3" s="895"/>
      <c r="AA3" s="895"/>
    </row>
    <row r="4" spans="1:46" s="538" customFormat="1" ht="86.25" customHeight="1">
      <c r="A4" s="130" t="s">
        <v>0</v>
      </c>
      <c r="B4" s="130" t="s">
        <v>1</v>
      </c>
      <c r="C4" s="130" t="s">
        <v>2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7</v>
      </c>
      <c r="I4" s="130" t="s">
        <v>9</v>
      </c>
      <c r="J4" s="130" t="s">
        <v>125</v>
      </c>
      <c r="K4" s="130" t="s">
        <v>10</v>
      </c>
      <c r="L4" s="130" t="s">
        <v>11</v>
      </c>
      <c r="M4" s="130" t="s">
        <v>917</v>
      </c>
      <c r="N4" s="130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130" t="s">
        <v>13</v>
      </c>
      <c r="W4" s="130" t="s">
        <v>14</v>
      </c>
      <c r="X4" s="130" t="s">
        <v>15</v>
      </c>
      <c r="Y4" s="130" t="s">
        <v>214</v>
      </c>
      <c r="Z4" s="130" t="s">
        <v>502</v>
      </c>
      <c r="AA4" s="130" t="s">
        <v>75</v>
      </c>
      <c r="AB4" s="540" t="s">
        <v>242</v>
      </c>
      <c r="AC4" s="130" t="s">
        <v>16</v>
      </c>
      <c r="AD4" s="131"/>
      <c r="AE4" s="131"/>
      <c r="AF4" s="131"/>
      <c r="AG4" s="131"/>
      <c r="AH4" s="131"/>
      <c r="AI4" s="131"/>
      <c r="AJ4" s="131"/>
      <c r="AK4" s="131"/>
      <c r="AL4" s="131"/>
    </row>
    <row r="5" spans="1:46" s="134" customFormat="1" ht="63" customHeight="1">
      <c r="A5" s="135">
        <v>1</v>
      </c>
      <c r="B5" s="469">
        <v>470</v>
      </c>
      <c r="C5" s="135" t="s">
        <v>58</v>
      </c>
      <c r="D5" s="120">
        <v>2130000</v>
      </c>
      <c r="E5" s="120">
        <v>2130000</v>
      </c>
      <c r="F5" s="120">
        <f t="shared" ref="F5:F18" si="0">D5-E5</f>
        <v>0</v>
      </c>
      <c r="G5" s="120">
        <v>1830000</v>
      </c>
      <c r="H5" s="120">
        <v>1737007</v>
      </c>
      <c r="I5" s="120"/>
      <c r="J5" s="120"/>
      <c r="K5" s="120">
        <f>SUM(I5:J5)</f>
        <v>0</v>
      </c>
      <c r="L5" s="120">
        <f t="shared" ref="L5:L18" si="1">H5+K5</f>
        <v>1737007</v>
      </c>
      <c r="M5" s="120">
        <f>P5+S5-90000</f>
        <v>2993</v>
      </c>
      <c r="N5" s="120">
        <v>90000</v>
      </c>
      <c r="O5" s="120">
        <f t="shared" ref="O5:O18" si="2">D5-L5-M5-N5</f>
        <v>300000</v>
      </c>
      <c r="P5" s="120">
        <f t="shared" ref="P5:P18" si="3">G5-L5</f>
        <v>92993</v>
      </c>
      <c r="Q5" s="120"/>
      <c r="R5" s="120"/>
      <c r="S5" s="120">
        <f t="shared" ref="S5:S18" si="4">SUM(Q5:R5)</f>
        <v>0</v>
      </c>
      <c r="T5" s="120">
        <f t="shared" ref="T5:T18" si="5">P5-M5+S5</f>
        <v>90000</v>
      </c>
      <c r="U5" s="120">
        <f t="shared" ref="U5:U18" si="6">N5-T5</f>
        <v>0</v>
      </c>
      <c r="V5" s="120">
        <f t="shared" ref="V5:V17" si="7">U5-W5-Z5-AA5</f>
        <v>0</v>
      </c>
      <c r="W5" s="120"/>
      <c r="X5" s="120"/>
      <c r="Y5" s="120"/>
      <c r="Z5" s="120"/>
      <c r="AA5" s="135"/>
      <c r="AB5" s="218" t="s">
        <v>288</v>
      </c>
      <c r="AC5" s="135">
        <v>935000</v>
      </c>
      <c r="AD5" s="131"/>
      <c r="AE5" s="131"/>
      <c r="AF5" s="131"/>
      <c r="AG5" s="131"/>
      <c r="AH5" s="131"/>
      <c r="AI5" s="131"/>
      <c r="AJ5" s="131"/>
      <c r="AK5" s="131"/>
      <c r="AL5" s="131"/>
      <c r="AM5" s="538"/>
      <c r="AN5" s="538"/>
      <c r="AO5" s="538"/>
      <c r="AP5" s="538"/>
      <c r="AQ5" s="538"/>
      <c r="AR5" s="538"/>
      <c r="AS5" s="538"/>
      <c r="AT5" s="538"/>
    </row>
    <row r="6" spans="1:46" s="134" customFormat="1" ht="30" customHeight="1">
      <c r="A6" s="135">
        <f>A5+1</f>
        <v>2</v>
      </c>
      <c r="B6" s="469">
        <v>1066</v>
      </c>
      <c r="C6" s="135" t="s">
        <v>59</v>
      </c>
      <c r="D6" s="120">
        <v>75000</v>
      </c>
      <c r="E6" s="120">
        <v>75000</v>
      </c>
      <c r="F6" s="120">
        <f t="shared" si="0"/>
        <v>0</v>
      </c>
      <c r="G6" s="120">
        <v>75000</v>
      </c>
      <c r="H6" s="120">
        <v>40172</v>
      </c>
      <c r="I6" s="120"/>
      <c r="J6" s="120"/>
      <c r="K6" s="120">
        <f t="shared" ref="K6:K18" si="8">SUM(I6:J6)</f>
        <v>0</v>
      </c>
      <c r="L6" s="120">
        <f t="shared" si="1"/>
        <v>40172</v>
      </c>
      <c r="M6" s="120">
        <f>P6+S6-30000</f>
        <v>4828</v>
      </c>
      <c r="N6" s="120">
        <v>30000</v>
      </c>
      <c r="O6" s="120">
        <f t="shared" si="2"/>
        <v>0</v>
      </c>
      <c r="P6" s="120">
        <f t="shared" si="3"/>
        <v>34828</v>
      </c>
      <c r="Q6" s="120"/>
      <c r="R6" s="120"/>
      <c r="S6" s="120">
        <f t="shared" si="4"/>
        <v>0</v>
      </c>
      <c r="T6" s="120">
        <f t="shared" si="5"/>
        <v>30000</v>
      </c>
      <c r="U6" s="120">
        <f t="shared" si="6"/>
        <v>0</v>
      </c>
      <c r="V6" s="120">
        <f t="shared" si="7"/>
        <v>0</v>
      </c>
      <c r="W6" s="120"/>
      <c r="X6" s="120"/>
      <c r="Y6" s="120"/>
      <c r="Z6" s="120"/>
      <c r="AA6" s="135"/>
      <c r="AB6" s="224" t="s">
        <v>308</v>
      </c>
      <c r="AC6" s="135">
        <v>935000</v>
      </c>
      <c r="AD6" s="131"/>
      <c r="AE6" s="131"/>
      <c r="AF6" s="131"/>
      <c r="AG6" s="131"/>
      <c r="AH6" s="131"/>
      <c r="AI6" s="131"/>
      <c r="AJ6" s="131"/>
      <c r="AK6" s="131"/>
      <c r="AL6" s="131"/>
      <c r="AM6" s="538"/>
      <c r="AN6" s="538"/>
      <c r="AO6" s="538"/>
      <c r="AP6" s="538"/>
      <c r="AQ6" s="538"/>
      <c r="AR6" s="538"/>
      <c r="AS6" s="538"/>
      <c r="AT6" s="538"/>
    </row>
    <row r="7" spans="1:46" s="134" customFormat="1" ht="30" customHeight="1">
      <c r="A7" s="135">
        <f t="shared" ref="A7:A19" si="9">A6+1</f>
        <v>3</v>
      </c>
      <c r="B7" s="469">
        <v>1177</v>
      </c>
      <c r="C7" s="135" t="s">
        <v>60</v>
      </c>
      <c r="D7" s="120">
        <v>41850000</v>
      </c>
      <c r="E7" s="120">
        <v>41850000</v>
      </c>
      <c r="F7" s="120">
        <f t="shared" si="0"/>
        <v>0</v>
      </c>
      <c r="G7" s="120">
        <v>28957000</v>
      </c>
      <c r="H7" s="120">
        <v>26879753</v>
      </c>
      <c r="I7" s="120"/>
      <c r="J7" s="120"/>
      <c r="K7" s="120">
        <f t="shared" si="8"/>
        <v>0</v>
      </c>
      <c r="L7" s="120">
        <f t="shared" si="1"/>
        <v>26879753</v>
      </c>
      <c r="M7" s="120">
        <f>P7+S7-2000000-70000</f>
        <v>7247</v>
      </c>
      <c r="N7" s="120">
        <f>2000000+70000</f>
        <v>2070000</v>
      </c>
      <c r="O7" s="120">
        <f t="shared" si="2"/>
        <v>12893000</v>
      </c>
      <c r="P7" s="120">
        <f t="shared" si="3"/>
        <v>2077247</v>
      </c>
      <c r="Q7" s="120"/>
      <c r="R7" s="120"/>
      <c r="S7" s="120">
        <f t="shared" si="4"/>
        <v>0</v>
      </c>
      <c r="T7" s="120">
        <f t="shared" si="5"/>
        <v>2070000</v>
      </c>
      <c r="U7" s="120">
        <f t="shared" si="6"/>
        <v>0</v>
      </c>
      <c r="V7" s="120">
        <f t="shared" si="7"/>
        <v>0</v>
      </c>
      <c r="W7" s="120"/>
      <c r="X7" s="120"/>
      <c r="Y7" s="120"/>
      <c r="Z7" s="120"/>
      <c r="AA7" s="135"/>
      <c r="AB7" s="224" t="s">
        <v>309</v>
      </c>
      <c r="AC7" s="135">
        <v>930000</v>
      </c>
      <c r="AD7" s="131"/>
      <c r="AE7" s="131"/>
      <c r="AF7" s="131"/>
      <c r="AG7" s="131"/>
      <c r="AH7" s="131"/>
      <c r="AI7" s="131"/>
      <c r="AJ7" s="131"/>
      <c r="AK7" s="131"/>
      <c r="AL7" s="131"/>
      <c r="AM7" s="538"/>
      <c r="AN7" s="538"/>
      <c r="AO7" s="538"/>
      <c r="AP7" s="538"/>
      <c r="AQ7" s="538"/>
      <c r="AR7" s="538"/>
      <c r="AS7" s="538"/>
      <c r="AT7" s="538"/>
    </row>
    <row r="8" spans="1:46" s="134" customFormat="1" ht="30" customHeight="1">
      <c r="A8" s="135">
        <f t="shared" si="9"/>
        <v>4</v>
      </c>
      <c r="B8" s="469">
        <v>1258</v>
      </c>
      <c r="C8" s="135" t="s">
        <v>61</v>
      </c>
      <c r="D8" s="120">
        <v>1400000</v>
      </c>
      <c r="E8" s="120">
        <v>1400000</v>
      </c>
      <c r="F8" s="120">
        <f t="shared" si="0"/>
        <v>0</v>
      </c>
      <c r="G8" s="120">
        <v>1300000</v>
      </c>
      <c r="H8" s="120">
        <v>963794</v>
      </c>
      <c r="I8" s="120"/>
      <c r="J8" s="120"/>
      <c r="K8" s="120">
        <f t="shared" si="8"/>
        <v>0</v>
      </c>
      <c r="L8" s="120">
        <f t="shared" si="1"/>
        <v>963794</v>
      </c>
      <c r="M8" s="120">
        <f>P8+S8-300000-35000</f>
        <v>1206</v>
      </c>
      <c r="N8" s="120">
        <f>300000+35000-100000</f>
        <v>235000</v>
      </c>
      <c r="O8" s="120">
        <f t="shared" si="2"/>
        <v>200000</v>
      </c>
      <c r="P8" s="120">
        <f t="shared" si="3"/>
        <v>336206</v>
      </c>
      <c r="Q8" s="120"/>
      <c r="R8" s="120"/>
      <c r="S8" s="120">
        <f t="shared" si="4"/>
        <v>0</v>
      </c>
      <c r="T8" s="120">
        <f t="shared" si="5"/>
        <v>335000</v>
      </c>
      <c r="U8" s="120">
        <f t="shared" si="6"/>
        <v>-100000</v>
      </c>
      <c r="V8" s="120">
        <f t="shared" si="7"/>
        <v>-100000</v>
      </c>
      <c r="W8" s="120"/>
      <c r="X8" s="120"/>
      <c r="Y8" s="120"/>
      <c r="Z8" s="120"/>
      <c r="AA8" s="135"/>
      <c r="AB8" s="214" t="s">
        <v>239</v>
      </c>
      <c r="AC8" s="135">
        <v>930000</v>
      </c>
      <c r="AD8" s="131"/>
      <c r="AE8" s="131"/>
      <c r="AF8" s="131"/>
      <c r="AG8" s="131"/>
      <c r="AH8" s="131"/>
      <c r="AI8" s="131"/>
      <c r="AJ8" s="131"/>
      <c r="AK8" s="131"/>
      <c r="AL8" s="131"/>
      <c r="AM8" s="538"/>
      <c r="AN8" s="538"/>
      <c r="AO8" s="538"/>
      <c r="AP8" s="538"/>
      <c r="AQ8" s="538"/>
      <c r="AR8" s="538"/>
      <c r="AS8" s="538"/>
      <c r="AT8" s="538"/>
    </row>
    <row r="9" spans="1:46" s="134" customFormat="1" ht="30" customHeight="1">
      <c r="A9" s="135">
        <f t="shared" si="9"/>
        <v>5</v>
      </c>
      <c r="B9" s="469">
        <v>1330</v>
      </c>
      <c r="C9" s="135" t="s">
        <v>62</v>
      </c>
      <c r="D9" s="120">
        <v>60700000</v>
      </c>
      <c r="E9" s="120">
        <v>60700000</v>
      </c>
      <c r="F9" s="120">
        <f t="shared" si="0"/>
        <v>0</v>
      </c>
      <c r="G9" s="120">
        <v>17249825</v>
      </c>
      <c r="H9" s="120">
        <v>8203636</v>
      </c>
      <c r="I9" s="120"/>
      <c r="J9" s="120">
        <v>21341</v>
      </c>
      <c r="K9" s="120">
        <f t="shared" si="8"/>
        <v>21341</v>
      </c>
      <c r="L9" s="120">
        <f t="shared" si="1"/>
        <v>8224977</v>
      </c>
      <c r="M9" s="120">
        <f>P9+S9-9000000-20000</f>
        <v>4848</v>
      </c>
      <c r="N9" s="120">
        <f>9000000+20000</f>
        <v>9020000</v>
      </c>
      <c r="O9" s="120">
        <f t="shared" si="2"/>
        <v>43450175</v>
      </c>
      <c r="P9" s="120">
        <f t="shared" si="3"/>
        <v>9024848</v>
      </c>
      <c r="Q9" s="120"/>
      <c r="R9" s="120"/>
      <c r="S9" s="120">
        <f t="shared" si="4"/>
        <v>0</v>
      </c>
      <c r="T9" s="120">
        <f t="shared" si="5"/>
        <v>9020000</v>
      </c>
      <c r="U9" s="120">
        <f t="shared" si="6"/>
        <v>0</v>
      </c>
      <c r="V9" s="120">
        <f t="shared" si="7"/>
        <v>0</v>
      </c>
      <c r="W9" s="120"/>
      <c r="X9" s="120"/>
      <c r="Y9" s="120"/>
      <c r="Z9" s="120"/>
      <c r="AA9" s="135"/>
      <c r="AB9" s="224" t="s">
        <v>310</v>
      </c>
      <c r="AC9" s="135">
        <v>930000</v>
      </c>
      <c r="AD9" s="131"/>
      <c r="AE9" s="131"/>
      <c r="AF9" s="131"/>
      <c r="AG9" s="131"/>
      <c r="AH9" s="131"/>
      <c r="AI9" s="131"/>
      <c r="AJ9" s="131"/>
      <c r="AK9" s="131"/>
      <c r="AL9" s="131"/>
      <c r="AM9" s="538"/>
      <c r="AN9" s="538"/>
      <c r="AO9" s="538"/>
      <c r="AP9" s="538"/>
      <c r="AQ9" s="538"/>
      <c r="AR9" s="538"/>
      <c r="AS9" s="538"/>
      <c r="AT9" s="538"/>
    </row>
    <row r="10" spans="1:46" s="134" customFormat="1" ht="41.4">
      <c r="A10" s="135">
        <f t="shared" si="9"/>
        <v>6</v>
      </c>
      <c r="B10" s="135">
        <v>1704</v>
      </c>
      <c r="C10" s="135" t="s">
        <v>909</v>
      </c>
      <c r="D10" s="120">
        <v>5784000</v>
      </c>
      <c r="E10" s="120">
        <v>5784000</v>
      </c>
      <c r="F10" s="120">
        <f t="shared" si="0"/>
        <v>0</v>
      </c>
      <c r="G10" s="120">
        <v>1580000</v>
      </c>
      <c r="H10" s="120">
        <v>803706</v>
      </c>
      <c r="I10" s="120"/>
      <c r="J10" s="120"/>
      <c r="K10" s="120">
        <f t="shared" si="8"/>
        <v>0</v>
      </c>
      <c r="L10" s="120">
        <f t="shared" si="1"/>
        <v>803706</v>
      </c>
      <c r="M10" s="120">
        <f>P10+S10-600000-175000</f>
        <v>1294</v>
      </c>
      <c r="N10" s="120">
        <v>600000</v>
      </c>
      <c r="O10" s="120">
        <f t="shared" si="2"/>
        <v>4379000</v>
      </c>
      <c r="P10" s="120">
        <f t="shared" si="3"/>
        <v>776294</v>
      </c>
      <c r="Q10" s="120"/>
      <c r="R10" s="120"/>
      <c r="S10" s="120">
        <f t="shared" si="4"/>
        <v>0</v>
      </c>
      <c r="T10" s="120">
        <f t="shared" si="5"/>
        <v>775000</v>
      </c>
      <c r="U10" s="120">
        <f t="shared" si="6"/>
        <v>-175000</v>
      </c>
      <c r="V10" s="120">
        <f t="shared" si="7"/>
        <v>-175000</v>
      </c>
      <c r="W10" s="120"/>
      <c r="X10" s="120"/>
      <c r="Y10" s="120"/>
      <c r="Z10" s="120"/>
      <c r="AA10" s="135"/>
      <c r="AB10" s="214" t="s">
        <v>910</v>
      </c>
      <c r="AC10" s="135">
        <v>930000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538"/>
      <c r="AN10" s="538"/>
      <c r="AO10" s="538"/>
      <c r="AP10" s="538"/>
      <c r="AQ10" s="538"/>
      <c r="AR10" s="538"/>
      <c r="AS10" s="538"/>
      <c r="AT10" s="538"/>
    </row>
    <row r="11" spans="1:46" s="452" customFormat="1" ht="30" customHeight="1">
      <c r="A11" s="135">
        <f t="shared" si="9"/>
        <v>7</v>
      </c>
      <c r="B11" s="448">
        <v>1805</v>
      </c>
      <c r="C11" s="448" t="s">
        <v>94</v>
      </c>
      <c r="D11" s="120">
        <v>2250000</v>
      </c>
      <c r="E11" s="120">
        <v>2250000</v>
      </c>
      <c r="F11" s="120">
        <f t="shared" si="0"/>
        <v>0</v>
      </c>
      <c r="G11" s="120">
        <v>850000</v>
      </c>
      <c r="H11" s="120">
        <v>45476</v>
      </c>
      <c r="I11" s="120"/>
      <c r="J11" s="120"/>
      <c r="K11" s="120">
        <f t="shared" si="8"/>
        <v>0</v>
      </c>
      <c r="L11" s="120">
        <f t="shared" si="1"/>
        <v>45476</v>
      </c>
      <c r="M11" s="120">
        <f>P11+S11-800000</f>
        <v>4524</v>
      </c>
      <c r="N11" s="120"/>
      <c r="O11" s="120">
        <f t="shared" si="2"/>
        <v>2200000</v>
      </c>
      <c r="P11" s="120">
        <f t="shared" si="3"/>
        <v>804524</v>
      </c>
      <c r="Q11" s="120"/>
      <c r="R11" s="120"/>
      <c r="S11" s="120">
        <f t="shared" si="4"/>
        <v>0</v>
      </c>
      <c r="T11" s="120">
        <f t="shared" si="5"/>
        <v>800000</v>
      </c>
      <c r="U11" s="120">
        <f t="shared" si="6"/>
        <v>-800000</v>
      </c>
      <c r="V11" s="120">
        <f t="shared" si="7"/>
        <v>-800000</v>
      </c>
      <c r="W11" s="120"/>
      <c r="X11" s="120"/>
      <c r="Y11" s="120"/>
      <c r="Z11" s="120"/>
      <c r="AA11" s="135"/>
      <c r="AB11" s="448" t="s">
        <v>381</v>
      </c>
      <c r="AC11" s="448">
        <v>742000</v>
      </c>
      <c r="AD11" s="131"/>
      <c r="AE11" s="131"/>
      <c r="AF11" s="131"/>
      <c r="AG11" s="131"/>
      <c r="AH11" s="131"/>
      <c r="AI11" s="131"/>
      <c r="AJ11" s="131"/>
      <c r="AK11" s="131"/>
      <c r="AL11" s="131"/>
      <c r="AM11" s="538"/>
      <c r="AN11" s="538"/>
      <c r="AO11" s="538"/>
      <c r="AP11" s="538"/>
      <c r="AQ11" s="538"/>
      <c r="AR11" s="538"/>
      <c r="AS11" s="538"/>
      <c r="AT11" s="538"/>
    </row>
    <row r="12" spans="1:46" s="134" customFormat="1" ht="30" customHeight="1">
      <c r="A12" s="135">
        <f t="shared" si="9"/>
        <v>8</v>
      </c>
      <c r="B12" s="469">
        <v>1983</v>
      </c>
      <c r="C12" s="135" t="s">
        <v>120</v>
      </c>
      <c r="D12" s="120">
        <v>800000</v>
      </c>
      <c r="E12" s="120">
        <v>800000</v>
      </c>
      <c r="F12" s="120">
        <f t="shared" si="0"/>
        <v>0</v>
      </c>
      <c r="G12" s="120">
        <v>100000</v>
      </c>
      <c r="H12" s="120">
        <v>10249</v>
      </c>
      <c r="I12" s="120"/>
      <c r="J12" s="120"/>
      <c r="K12" s="120">
        <f t="shared" si="8"/>
        <v>0</v>
      </c>
      <c r="L12" s="120">
        <f t="shared" si="1"/>
        <v>10249</v>
      </c>
      <c r="M12" s="120">
        <f>P12+S12-85000</f>
        <v>4751</v>
      </c>
      <c r="N12" s="120">
        <v>85000</v>
      </c>
      <c r="O12" s="120">
        <f t="shared" si="2"/>
        <v>700000</v>
      </c>
      <c r="P12" s="120">
        <f t="shared" si="3"/>
        <v>89751</v>
      </c>
      <c r="Q12" s="120"/>
      <c r="R12" s="120"/>
      <c r="S12" s="120">
        <f t="shared" si="4"/>
        <v>0</v>
      </c>
      <c r="T12" s="120">
        <f t="shared" si="5"/>
        <v>85000</v>
      </c>
      <c r="U12" s="120">
        <f t="shared" si="6"/>
        <v>0</v>
      </c>
      <c r="V12" s="120">
        <f t="shared" si="7"/>
        <v>0</v>
      </c>
      <c r="W12" s="120"/>
      <c r="X12" s="120"/>
      <c r="Y12" s="120"/>
      <c r="Z12" s="120"/>
      <c r="AA12" s="135"/>
      <c r="AB12" s="214" t="s">
        <v>240</v>
      </c>
      <c r="AC12" s="135">
        <v>930000</v>
      </c>
      <c r="AD12" s="131"/>
      <c r="AE12" s="131"/>
      <c r="AF12" s="131"/>
      <c r="AG12" s="131"/>
      <c r="AH12" s="131"/>
      <c r="AI12" s="131"/>
      <c r="AJ12" s="131"/>
      <c r="AK12" s="131"/>
      <c r="AL12" s="131"/>
      <c r="AM12" s="538"/>
      <c r="AN12" s="538"/>
      <c r="AO12" s="538"/>
      <c r="AP12" s="538"/>
      <c r="AQ12" s="538"/>
      <c r="AR12" s="538"/>
      <c r="AS12" s="538"/>
      <c r="AT12" s="538"/>
    </row>
    <row r="13" spans="1:46" s="134" customFormat="1" ht="30" customHeight="1">
      <c r="A13" s="135">
        <f t="shared" si="9"/>
        <v>9</v>
      </c>
      <c r="B13" s="469">
        <v>1993</v>
      </c>
      <c r="C13" s="135" t="s">
        <v>128</v>
      </c>
      <c r="D13" s="120">
        <v>6000000</v>
      </c>
      <c r="E13" s="120">
        <v>6000000</v>
      </c>
      <c r="F13" s="120">
        <f t="shared" si="0"/>
        <v>0</v>
      </c>
      <c r="G13" s="120">
        <v>6000000</v>
      </c>
      <c r="H13" s="120">
        <v>5968176</v>
      </c>
      <c r="I13" s="120"/>
      <c r="J13" s="120"/>
      <c r="K13" s="120">
        <f t="shared" si="8"/>
        <v>0</v>
      </c>
      <c r="L13" s="120">
        <f t="shared" si="1"/>
        <v>5968176</v>
      </c>
      <c r="M13" s="120">
        <f>P13+S13-30000</f>
        <v>1824</v>
      </c>
      <c r="N13" s="120">
        <v>30000</v>
      </c>
      <c r="O13" s="120">
        <f t="shared" si="2"/>
        <v>0</v>
      </c>
      <c r="P13" s="120">
        <f t="shared" si="3"/>
        <v>31824</v>
      </c>
      <c r="Q13" s="120"/>
      <c r="R13" s="120"/>
      <c r="S13" s="120">
        <f t="shared" si="4"/>
        <v>0</v>
      </c>
      <c r="T13" s="120">
        <f t="shared" si="5"/>
        <v>30000</v>
      </c>
      <c r="U13" s="120">
        <f t="shared" si="6"/>
        <v>0</v>
      </c>
      <c r="V13" s="120">
        <f t="shared" si="7"/>
        <v>0</v>
      </c>
      <c r="W13" s="120"/>
      <c r="X13" s="120"/>
      <c r="Y13" s="120"/>
      <c r="Z13" s="120"/>
      <c r="AA13" s="135"/>
      <c r="AB13" s="224" t="s">
        <v>290</v>
      </c>
      <c r="AC13" s="135">
        <v>930000</v>
      </c>
      <c r="AD13" s="131"/>
      <c r="AE13" s="131"/>
      <c r="AF13" s="131"/>
      <c r="AG13" s="131"/>
      <c r="AH13" s="131"/>
      <c r="AI13" s="131"/>
      <c r="AJ13" s="131"/>
      <c r="AK13" s="131"/>
      <c r="AL13" s="131"/>
      <c r="AM13" s="538"/>
      <c r="AN13" s="538"/>
      <c r="AO13" s="538"/>
      <c r="AP13" s="538"/>
      <c r="AQ13" s="538"/>
      <c r="AR13" s="538"/>
      <c r="AS13" s="538"/>
      <c r="AT13" s="538"/>
    </row>
    <row r="14" spans="1:46" s="134" customFormat="1" ht="30" customHeight="1">
      <c r="A14" s="135">
        <f t="shared" si="9"/>
        <v>10</v>
      </c>
      <c r="B14" s="469">
        <v>2055</v>
      </c>
      <c r="C14" s="135" t="s">
        <v>286</v>
      </c>
      <c r="D14" s="120">
        <v>220000</v>
      </c>
      <c r="E14" s="120">
        <v>220000</v>
      </c>
      <c r="F14" s="120">
        <f t="shared" si="0"/>
        <v>0</v>
      </c>
      <c r="G14" s="120">
        <v>200000</v>
      </c>
      <c r="H14" s="120">
        <v>122292</v>
      </c>
      <c r="I14" s="120"/>
      <c r="J14" s="120"/>
      <c r="K14" s="120">
        <f t="shared" si="8"/>
        <v>0</v>
      </c>
      <c r="L14" s="120">
        <f t="shared" si="1"/>
        <v>122292</v>
      </c>
      <c r="M14" s="120">
        <f>P14+S14-70000</f>
        <v>7708</v>
      </c>
      <c r="N14" s="120">
        <v>70000</v>
      </c>
      <c r="O14" s="120">
        <f t="shared" si="2"/>
        <v>20000</v>
      </c>
      <c r="P14" s="120">
        <f t="shared" si="3"/>
        <v>77708</v>
      </c>
      <c r="Q14" s="120"/>
      <c r="R14" s="120"/>
      <c r="S14" s="120">
        <f t="shared" si="4"/>
        <v>0</v>
      </c>
      <c r="T14" s="120">
        <f t="shared" si="5"/>
        <v>70000</v>
      </c>
      <c r="U14" s="120">
        <f t="shared" si="6"/>
        <v>0</v>
      </c>
      <c r="V14" s="120">
        <f t="shared" si="7"/>
        <v>0</v>
      </c>
      <c r="W14" s="120"/>
      <c r="X14" s="120"/>
      <c r="Y14" s="120"/>
      <c r="Z14" s="120"/>
      <c r="AA14" s="135"/>
      <c r="AB14" s="224" t="s">
        <v>311</v>
      </c>
      <c r="AC14" s="135">
        <v>930000</v>
      </c>
      <c r="AD14" s="131"/>
      <c r="AE14" s="131"/>
      <c r="AF14" s="131"/>
      <c r="AG14" s="131"/>
      <c r="AH14" s="131"/>
      <c r="AI14" s="131"/>
      <c r="AJ14" s="131"/>
      <c r="AK14" s="131"/>
      <c r="AL14" s="131"/>
      <c r="AM14" s="538"/>
      <c r="AN14" s="538"/>
      <c r="AO14" s="538"/>
      <c r="AP14" s="538"/>
      <c r="AQ14" s="538"/>
      <c r="AR14" s="538"/>
      <c r="AS14" s="538"/>
      <c r="AT14" s="538"/>
    </row>
    <row r="15" spans="1:46" s="134" customFormat="1" ht="30" customHeight="1">
      <c r="A15" s="135">
        <f t="shared" si="9"/>
        <v>11</v>
      </c>
      <c r="B15" s="469">
        <v>2072</v>
      </c>
      <c r="C15" s="135" t="s">
        <v>339</v>
      </c>
      <c r="D15" s="120">
        <v>100000</v>
      </c>
      <c r="E15" s="120">
        <v>100000</v>
      </c>
      <c r="F15" s="120">
        <f t="shared" si="0"/>
        <v>0</v>
      </c>
      <c r="G15" s="120">
        <v>100000</v>
      </c>
      <c r="H15" s="120">
        <v>33398</v>
      </c>
      <c r="I15" s="120"/>
      <c r="J15" s="120"/>
      <c r="K15" s="120">
        <f t="shared" si="8"/>
        <v>0</v>
      </c>
      <c r="L15" s="120">
        <f t="shared" si="1"/>
        <v>33398</v>
      </c>
      <c r="M15" s="120">
        <f>P15+S15-60000</f>
        <v>6602</v>
      </c>
      <c r="N15" s="120">
        <v>60000</v>
      </c>
      <c r="O15" s="120">
        <f t="shared" si="2"/>
        <v>0</v>
      </c>
      <c r="P15" s="120">
        <f t="shared" si="3"/>
        <v>66602</v>
      </c>
      <c r="Q15" s="120"/>
      <c r="R15" s="120"/>
      <c r="S15" s="120">
        <f t="shared" si="4"/>
        <v>0</v>
      </c>
      <c r="T15" s="120">
        <f t="shared" si="5"/>
        <v>60000</v>
      </c>
      <c r="U15" s="120">
        <f t="shared" si="6"/>
        <v>0</v>
      </c>
      <c r="V15" s="120">
        <f t="shared" si="7"/>
        <v>0</v>
      </c>
      <c r="W15" s="120"/>
      <c r="X15" s="120"/>
      <c r="Y15" s="120"/>
      <c r="Z15" s="120"/>
      <c r="AA15" s="135"/>
      <c r="AB15" s="224" t="s">
        <v>312</v>
      </c>
      <c r="AC15" s="135">
        <v>930000</v>
      </c>
      <c r="AD15" s="131"/>
      <c r="AE15" s="131"/>
      <c r="AF15" s="131"/>
      <c r="AG15" s="131"/>
      <c r="AH15" s="131"/>
      <c r="AI15" s="131"/>
      <c r="AJ15" s="131"/>
      <c r="AK15" s="131"/>
      <c r="AL15" s="131"/>
      <c r="AM15" s="538"/>
      <c r="AN15" s="538"/>
      <c r="AO15" s="538"/>
      <c r="AP15" s="538"/>
      <c r="AQ15" s="538"/>
      <c r="AR15" s="538"/>
      <c r="AS15" s="538"/>
      <c r="AT15" s="538"/>
    </row>
    <row r="16" spans="1:46" s="134" customFormat="1" ht="30" customHeight="1">
      <c r="A16" s="135">
        <f t="shared" si="9"/>
        <v>12</v>
      </c>
      <c r="B16" s="469">
        <v>2223</v>
      </c>
      <c r="C16" s="135" t="s">
        <v>442</v>
      </c>
      <c r="D16" s="120">
        <f>600000+30000</f>
        <v>630000</v>
      </c>
      <c r="E16" s="120">
        <v>600000</v>
      </c>
      <c r="F16" s="120">
        <f t="shared" si="0"/>
        <v>30000</v>
      </c>
      <c r="G16" s="120">
        <v>300000</v>
      </c>
      <c r="H16" s="120">
        <v>250000</v>
      </c>
      <c r="I16" s="120"/>
      <c r="J16" s="120"/>
      <c r="K16" s="120">
        <f t="shared" si="8"/>
        <v>0</v>
      </c>
      <c r="L16" s="120">
        <f t="shared" si="1"/>
        <v>250000</v>
      </c>
      <c r="M16" s="120">
        <f>P16+S16-50000</f>
        <v>0</v>
      </c>
      <c r="N16" s="120">
        <f>50000+325000+5000</f>
        <v>380000</v>
      </c>
      <c r="O16" s="120">
        <f t="shared" si="2"/>
        <v>0</v>
      </c>
      <c r="P16" s="120">
        <f t="shared" si="3"/>
        <v>50000</v>
      </c>
      <c r="Q16" s="120"/>
      <c r="R16" s="120"/>
      <c r="S16" s="120">
        <f t="shared" si="4"/>
        <v>0</v>
      </c>
      <c r="T16" s="120">
        <f t="shared" si="5"/>
        <v>50000</v>
      </c>
      <c r="U16" s="120">
        <f t="shared" si="6"/>
        <v>330000</v>
      </c>
      <c r="V16" s="120">
        <f t="shared" si="7"/>
        <v>330000</v>
      </c>
      <c r="W16" s="120"/>
      <c r="X16" s="120"/>
      <c r="Y16" s="120"/>
      <c r="Z16" s="120"/>
      <c r="AA16" s="135"/>
      <c r="AB16" s="224" t="s">
        <v>443</v>
      </c>
      <c r="AC16" s="135">
        <v>930000</v>
      </c>
      <c r="AD16" s="131"/>
      <c r="AE16" s="131"/>
      <c r="AF16" s="131"/>
      <c r="AG16" s="131"/>
      <c r="AH16" s="131"/>
      <c r="AI16" s="131"/>
      <c r="AJ16" s="131"/>
      <c r="AK16" s="131"/>
      <c r="AL16" s="131"/>
      <c r="AM16" s="538"/>
      <c r="AN16" s="538"/>
      <c r="AO16" s="538"/>
      <c r="AP16" s="538"/>
      <c r="AQ16" s="538"/>
      <c r="AR16" s="538"/>
      <c r="AS16" s="538"/>
      <c r="AT16" s="538"/>
    </row>
    <row r="17" spans="1:54" s="134" customFormat="1" ht="30" customHeight="1">
      <c r="A17" s="135">
        <f t="shared" si="9"/>
        <v>13</v>
      </c>
      <c r="B17" s="469">
        <v>20090</v>
      </c>
      <c r="C17" s="135" t="s">
        <v>943</v>
      </c>
      <c r="D17" s="120">
        <v>280000</v>
      </c>
      <c r="E17" s="120">
        <v>280000</v>
      </c>
      <c r="F17" s="120">
        <f t="shared" si="0"/>
        <v>0</v>
      </c>
      <c r="G17" s="120">
        <v>280000</v>
      </c>
      <c r="H17" s="120">
        <v>257697</v>
      </c>
      <c r="I17" s="120"/>
      <c r="J17" s="120"/>
      <c r="K17" s="120">
        <f>SUM(I17:J17)</f>
        <v>0</v>
      </c>
      <c r="L17" s="120">
        <f t="shared" si="1"/>
        <v>257697</v>
      </c>
      <c r="M17" s="120">
        <f>P17+S17-20000</f>
        <v>2303</v>
      </c>
      <c r="N17" s="120">
        <v>20000</v>
      </c>
      <c r="O17" s="120">
        <f t="shared" si="2"/>
        <v>0</v>
      </c>
      <c r="P17" s="120">
        <f t="shared" si="3"/>
        <v>22303</v>
      </c>
      <c r="Q17" s="120"/>
      <c r="R17" s="120"/>
      <c r="S17" s="120">
        <f t="shared" si="4"/>
        <v>0</v>
      </c>
      <c r="T17" s="120">
        <f t="shared" si="5"/>
        <v>20000</v>
      </c>
      <c r="U17" s="120">
        <f t="shared" si="6"/>
        <v>0</v>
      </c>
      <c r="V17" s="120">
        <f t="shared" si="7"/>
        <v>0</v>
      </c>
      <c r="W17" s="120"/>
      <c r="X17" s="120"/>
      <c r="Y17" s="120"/>
      <c r="Z17" s="120"/>
      <c r="AA17" s="135"/>
      <c r="AB17" s="224" t="s">
        <v>957</v>
      </c>
      <c r="AC17" s="135">
        <v>930000</v>
      </c>
      <c r="AD17" s="131"/>
      <c r="AE17" s="131"/>
      <c r="AF17" s="131"/>
      <c r="AG17" s="131"/>
      <c r="AH17" s="131"/>
      <c r="AI17" s="131"/>
      <c r="AJ17" s="131"/>
      <c r="AK17" s="131"/>
      <c r="AL17" s="131"/>
      <c r="AM17" s="538"/>
      <c r="AN17" s="538"/>
      <c r="AO17" s="538"/>
      <c r="AP17" s="538"/>
      <c r="AQ17" s="538"/>
      <c r="AR17" s="538"/>
      <c r="AS17" s="538"/>
      <c r="AT17" s="538"/>
    </row>
    <row r="18" spans="1:54" s="134" customFormat="1" ht="30" customHeight="1">
      <c r="A18" s="135">
        <f t="shared" si="9"/>
        <v>14</v>
      </c>
      <c r="B18" s="469">
        <v>20103</v>
      </c>
      <c r="C18" s="135" t="s">
        <v>1005</v>
      </c>
      <c r="D18" s="120">
        <v>770000</v>
      </c>
      <c r="E18" s="120">
        <v>770000</v>
      </c>
      <c r="F18" s="120">
        <f t="shared" si="0"/>
        <v>0</v>
      </c>
      <c r="G18" s="120"/>
      <c r="H18" s="120"/>
      <c r="I18" s="120"/>
      <c r="J18" s="120"/>
      <c r="K18" s="120">
        <f t="shared" si="8"/>
        <v>0</v>
      </c>
      <c r="L18" s="120">
        <f t="shared" si="1"/>
        <v>0</v>
      </c>
      <c r="M18" s="120">
        <f>P18+S18-770000</f>
        <v>0</v>
      </c>
      <c r="N18" s="120"/>
      <c r="O18" s="120">
        <f t="shared" si="2"/>
        <v>770000</v>
      </c>
      <c r="P18" s="120">
        <f t="shared" si="3"/>
        <v>0</v>
      </c>
      <c r="Q18" s="120"/>
      <c r="R18" s="120">
        <v>770000</v>
      </c>
      <c r="S18" s="120">
        <f t="shared" si="4"/>
        <v>770000</v>
      </c>
      <c r="T18" s="120">
        <f t="shared" si="5"/>
        <v>770000</v>
      </c>
      <c r="U18" s="120">
        <f t="shared" si="6"/>
        <v>-770000</v>
      </c>
      <c r="V18" s="120">
        <f>U18-W18-Z18-AA18-X18</f>
        <v>0</v>
      </c>
      <c r="W18" s="120"/>
      <c r="X18" s="120">
        <v>-770000</v>
      </c>
      <c r="Y18" s="120"/>
      <c r="Z18" s="120"/>
      <c r="AA18" s="135"/>
      <c r="AB18" s="224" t="s">
        <v>1346</v>
      </c>
      <c r="AC18" s="135">
        <v>930000</v>
      </c>
      <c r="AD18" s="131"/>
      <c r="AE18" s="131"/>
      <c r="AF18" s="131"/>
      <c r="AG18" s="131"/>
      <c r="AH18" s="131"/>
      <c r="AI18" s="131"/>
      <c r="AJ18" s="131"/>
      <c r="AK18" s="131"/>
      <c r="AL18" s="131"/>
      <c r="AM18" s="538"/>
      <c r="AN18" s="538"/>
      <c r="AO18" s="538"/>
      <c r="AP18" s="538"/>
      <c r="AQ18" s="538"/>
      <c r="AR18" s="538"/>
      <c r="AS18" s="538"/>
      <c r="AT18" s="538"/>
    </row>
    <row r="19" spans="1:54" s="452" customFormat="1" ht="58.95" customHeight="1">
      <c r="A19" s="135">
        <f t="shared" si="9"/>
        <v>15</v>
      </c>
      <c r="B19" s="455">
        <v>20135</v>
      </c>
      <c r="C19" s="135" t="s">
        <v>1493</v>
      </c>
      <c r="D19" s="120">
        <v>5000000</v>
      </c>
      <c r="E19" s="120"/>
      <c r="F19" s="120">
        <f>D19-E19</f>
        <v>5000000</v>
      </c>
      <c r="G19" s="120">
        <v>0</v>
      </c>
      <c r="H19" s="120"/>
      <c r="I19" s="120"/>
      <c r="J19" s="120"/>
      <c r="K19" s="120">
        <f>I19+J19</f>
        <v>0</v>
      </c>
      <c r="L19" s="120">
        <f>H19+K19</f>
        <v>0</v>
      </c>
      <c r="M19" s="120">
        <f>P19+S19</f>
        <v>0</v>
      </c>
      <c r="N19" s="120">
        <v>4550000</v>
      </c>
      <c r="O19" s="120">
        <f>D19-L19-M19-N19</f>
        <v>450000</v>
      </c>
      <c r="P19" s="120">
        <f>G19-L19</f>
        <v>0</v>
      </c>
      <c r="Q19" s="120"/>
      <c r="R19" s="120"/>
      <c r="S19" s="120">
        <f>SUM(Q19:R19)</f>
        <v>0</v>
      </c>
      <c r="T19" s="120">
        <f>P19-M19+S19</f>
        <v>0</v>
      </c>
      <c r="U19" s="120">
        <f>N19-T19</f>
        <v>4550000</v>
      </c>
      <c r="V19" s="120">
        <f>U19-W19-Z19-AA19</f>
        <v>4550000</v>
      </c>
      <c r="W19" s="120"/>
      <c r="X19" s="120"/>
      <c r="Y19" s="120"/>
      <c r="Z19" s="120"/>
      <c r="AA19" s="120"/>
      <c r="AB19" s="448" t="s">
        <v>1494</v>
      </c>
      <c r="AC19" s="448">
        <v>930000</v>
      </c>
      <c r="AD19" s="131"/>
      <c r="AE19" s="131"/>
      <c r="AF19" s="131"/>
      <c r="AG19" s="131"/>
      <c r="AH19" s="131"/>
      <c r="AI19" s="131"/>
      <c r="AJ19" s="131"/>
      <c r="AK19" s="131"/>
      <c r="AL19" s="131"/>
      <c r="AM19" s="465"/>
      <c r="AN19" s="465"/>
      <c r="AO19" s="465"/>
      <c r="AP19" s="465"/>
      <c r="AQ19" s="465"/>
      <c r="AR19" s="465"/>
      <c r="AS19" s="465"/>
      <c r="AT19" s="272"/>
      <c r="AU19" s="272"/>
      <c r="AV19" s="272"/>
      <c r="AW19" s="272"/>
      <c r="AX19" s="272"/>
      <c r="AY19" s="272"/>
      <c r="AZ19" s="272"/>
      <c r="BA19" s="272"/>
      <c r="BB19" s="272"/>
    </row>
    <row r="20" spans="1:54" s="473" customFormat="1" ht="25.2" customHeight="1">
      <c r="A20" s="249">
        <f>COUNT(A5:A19)</f>
        <v>15</v>
      </c>
      <c r="B20" s="454"/>
      <c r="C20" s="219" t="s">
        <v>296</v>
      </c>
      <c r="D20" s="249">
        <f t="shared" ref="D20:AA20" si="10">SUM(D5:D19)</f>
        <v>127989000</v>
      </c>
      <c r="E20" s="249">
        <f t="shared" si="10"/>
        <v>122959000</v>
      </c>
      <c r="F20" s="249">
        <f t="shared" si="10"/>
        <v>5030000</v>
      </c>
      <c r="G20" s="249">
        <f t="shared" si="10"/>
        <v>58821825</v>
      </c>
      <c r="H20" s="249">
        <f t="shared" si="10"/>
        <v>45315356</v>
      </c>
      <c r="I20" s="249">
        <f t="shared" si="10"/>
        <v>0</v>
      </c>
      <c r="J20" s="249">
        <f t="shared" si="10"/>
        <v>21341</v>
      </c>
      <c r="K20" s="249">
        <f t="shared" si="10"/>
        <v>21341</v>
      </c>
      <c r="L20" s="249">
        <f t="shared" si="10"/>
        <v>45336697</v>
      </c>
      <c r="M20" s="249">
        <f t="shared" si="10"/>
        <v>50128</v>
      </c>
      <c r="N20" s="249">
        <f t="shared" si="10"/>
        <v>17240000</v>
      </c>
      <c r="O20" s="249">
        <f t="shared" si="10"/>
        <v>65362175</v>
      </c>
      <c r="P20" s="249">
        <f t="shared" si="10"/>
        <v>13485128</v>
      </c>
      <c r="Q20" s="249">
        <f t="shared" si="10"/>
        <v>0</v>
      </c>
      <c r="R20" s="249">
        <f t="shared" si="10"/>
        <v>770000</v>
      </c>
      <c r="S20" s="249">
        <f t="shared" si="10"/>
        <v>770000</v>
      </c>
      <c r="T20" s="249">
        <f t="shared" si="10"/>
        <v>14205000</v>
      </c>
      <c r="U20" s="249">
        <f t="shared" si="10"/>
        <v>3035000</v>
      </c>
      <c r="V20" s="249">
        <f t="shared" si="10"/>
        <v>3805000</v>
      </c>
      <c r="W20" s="249">
        <f t="shared" si="10"/>
        <v>0</v>
      </c>
      <c r="X20" s="249">
        <f t="shared" si="10"/>
        <v>-770000</v>
      </c>
      <c r="Y20" s="249">
        <f t="shared" si="10"/>
        <v>0</v>
      </c>
      <c r="Z20" s="249">
        <f t="shared" si="10"/>
        <v>0</v>
      </c>
      <c r="AA20" s="249">
        <f t="shared" si="10"/>
        <v>0</v>
      </c>
      <c r="AB20" s="454"/>
      <c r="AC20" s="454"/>
      <c r="AD20" s="131"/>
      <c r="AE20" s="131"/>
      <c r="AF20" s="131"/>
      <c r="AG20" s="131"/>
      <c r="AH20" s="131"/>
      <c r="AI20" s="131"/>
      <c r="AJ20" s="131"/>
      <c r="AK20" s="131"/>
      <c r="AL20" s="131"/>
      <c r="AM20" s="472"/>
      <c r="AN20" s="472"/>
      <c r="AO20" s="472"/>
      <c r="AP20" s="472"/>
      <c r="AQ20" s="472"/>
      <c r="AR20" s="472"/>
      <c r="AS20" s="472"/>
      <c r="AT20" s="359"/>
      <c r="AU20" s="359"/>
      <c r="AV20" s="359"/>
      <c r="AW20" s="359"/>
      <c r="AX20" s="359"/>
      <c r="AY20" s="359"/>
      <c r="AZ20" s="359"/>
      <c r="BA20" s="359"/>
      <c r="BB20" s="359"/>
    </row>
    <row r="21" spans="1:54">
      <c r="D21" s="492">
        <f>SUM(L20:O20)</f>
        <v>127989000</v>
      </c>
      <c r="E21" s="467"/>
      <c r="F21" s="493">
        <f>D20-E20</f>
        <v>5030000</v>
      </c>
      <c r="G21" s="493"/>
      <c r="H21" s="493"/>
      <c r="I21" s="493"/>
      <c r="J21" s="493"/>
      <c r="K21" s="493"/>
      <c r="L21" s="492">
        <f>H20+K20</f>
        <v>45336697</v>
      </c>
      <c r="M21" s="493"/>
      <c r="N21" s="493"/>
      <c r="O21" s="493"/>
      <c r="P21" s="492">
        <f>G20-L21</f>
        <v>13485128</v>
      </c>
      <c r="Q21" s="493"/>
      <c r="R21" s="493"/>
      <c r="S21" s="493"/>
      <c r="T21" s="492">
        <f>P21+S20-M20</f>
        <v>14205000</v>
      </c>
      <c r="U21" s="492">
        <f>N20-T21</f>
        <v>3035000</v>
      </c>
    </row>
    <row r="22" spans="1:54">
      <c r="D22" s="492">
        <f>D20-D21</f>
        <v>0</v>
      </c>
      <c r="E22" s="467"/>
      <c r="F22" s="493"/>
      <c r="G22" s="493"/>
      <c r="H22" s="493"/>
      <c r="I22" s="493"/>
      <c r="J22" s="493"/>
      <c r="K22" s="493"/>
      <c r="L22" s="492">
        <f>L20-L21</f>
        <v>0</v>
      </c>
      <c r="M22" s="493"/>
      <c r="N22" s="493"/>
      <c r="O22" s="493"/>
      <c r="P22" s="492">
        <f>P20-P21</f>
        <v>0</v>
      </c>
      <c r="Q22" s="493"/>
      <c r="R22" s="493"/>
      <c r="S22" s="493"/>
      <c r="T22" s="492">
        <f>T20-T21</f>
        <v>0</v>
      </c>
      <c r="U22" s="492">
        <f>U20-U21</f>
        <v>0</v>
      </c>
    </row>
    <row r="128" spans="1:1">
      <c r="A128" s="539">
        <f>COUNT(A5:A127)</f>
        <v>16</v>
      </c>
    </row>
    <row r="131" spans="1:1">
      <c r="A131" s="539">
        <f>A128+1</f>
        <v>17</v>
      </c>
    </row>
    <row r="134" spans="1:1" ht="37.950000000000003" customHeight="1"/>
    <row r="137" spans="1:1" ht="70.95" customHeight="1"/>
    <row r="140" spans="1:1" ht="72" customHeight="1"/>
    <row r="142" spans="1:1" ht="43.95" customHeight="1"/>
    <row r="144" spans="1:1" ht="30" customHeight="1"/>
  </sheetData>
  <sheetProtection formatCells="0" formatColumns="0" formatRows="0" insertColumns="0" insertRows="0" insertHyperlinks="0" deleteColumns="0" deleteRows="0" sort="0" autoFilter="0" pivotTables="0"/>
  <mergeCells count="1">
    <mergeCell ref="V3:AA3"/>
  </mergeCells>
  <conditionalFormatting sqref="AB4">
    <cfRule type="cellIs" dxfId="113" priority="4" operator="equal">
      <formula>0</formula>
    </cfRule>
  </conditionalFormatting>
  <conditionalFormatting sqref="AF4">
    <cfRule type="cellIs" dxfId="112" priority="3" operator="equal">
      <formula>0</formula>
    </cfRule>
  </conditionalFormatting>
  <conditionalFormatting sqref="AG4">
    <cfRule type="cellIs" dxfId="111" priority="2" operator="equal">
      <formula>0</formula>
    </cfRule>
  </conditionalFormatting>
  <conditionalFormatting sqref="AL4">
    <cfRule type="cellIs" dxfId="11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1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3" width="4.109375" style="176" customWidth="1"/>
    <col min="4" max="4" width="34.88671875" style="176" customWidth="1"/>
    <col min="5" max="5" width="30.44140625" style="176" customWidth="1"/>
    <col min="6" max="6" width="10.88671875" style="176" customWidth="1"/>
    <col min="7" max="16384" width="9.109375" style="176"/>
  </cols>
  <sheetData>
    <row r="3" spans="1:8" ht="21">
      <c r="A3" s="175"/>
      <c r="C3" s="177" t="s">
        <v>202</v>
      </c>
      <c r="D3" s="175"/>
      <c r="E3" s="175"/>
      <c r="F3" s="175"/>
    </row>
    <row r="4" spans="1:8" ht="21">
      <c r="A4" s="175"/>
      <c r="C4" s="177"/>
      <c r="D4" s="175"/>
      <c r="E4" s="175"/>
      <c r="F4" s="175"/>
    </row>
    <row r="5" spans="1:8" ht="21.6" thickBot="1">
      <c r="A5" s="175"/>
      <c r="C5" s="177"/>
      <c r="D5" s="175"/>
      <c r="E5" s="175"/>
      <c r="F5" s="175"/>
    </row>
    <row r="6" spans="1:8" ht="16.2" thickBot="1">
      <c r="A6" s="175"/>
      <c r="B6" s="178" t="s">
        <v>129</v>
      </c>
      <c r="C6" s="175" t="s">
        <v>1279</v>
      </c>
      <c r="D6" s="175"/>
      <c r="E6" s="175"/>
      <c r="F6" s="179">
        <f>'תקציב איכות הסביבה 2024  '!U13+'תקציב מינהל כללי 2024  '!U16</f>
        <v>6038754</v>
      </c>
    </row>
    <row r="7" spans="1:8" ht="15.6">
      <c r="B7" s="178"/>
      <c r="C7" s="175"/>
      <c r="D7" s="175"/>
      <c r="E7" s="175"/>
      <c r="F7" s="175"/>
      <c r="G7" s="175"/>
      <c r="H7" s="175"/>
    </row>
    <row r="8" spans="1:8" ht="15.6">
      <c r="B8" s="178" t="s">
        <v>129</v>
      </c>
      <c r="C8" s="175" t="s">
        <v>219</v>
      </c>
      <c r="D8" s="175"/>
      <c r="E8" s="175"/>
      <c r="F8" s="175"/>
    </row>
    <row r="9" spans="1:8" ht="16.2" thickBot="1">
      <c r="B9" s="175"/>
      <c r="C9" s="175"/>
      <c r="D9" s="175"/>
      <c r="E9" s="175"/>
      <c r="F9" s="175"/>
      <c r="G9" s="175"/>
      <c r="H9" s="175"/>
    </row>
    <row r="10" spans="1:8" ht="15.6">
      <c r="D10" s="186" t="s">
        <v>220</v>
      </c>
      <c r="E10" s="187" t="s">
        <v>221</v>
      </c>
      <c r="F10" s="188" t="s">
        <v>222</v>
      </c>
      <c r="G10" s="175"/>
      <c r="H10" s="175"/>
    </row>
    <row r="11" spans="1:8" ht="15.6">
      <c r="C11" s="178"/>
      <c r="D11" s="182" t="s">
        <v>13</v>
      </c>
      <c r="E11" s="189">
        <f>'תקציב איכות הסביבה 2024  '!V13+'תקציב מינהל כללי 2024  '!V16</f>
        <v>7909683</v>
      </c>
      <c r="F11" s="197">
        <f>E11/$E$14</f>
        <v>1.3098203702286928</v>
      </c>
      <c r="G11" s="175"/>
      <c r="H11" s="175"/>
    </row>
    <row r="12" spans="1:8" ht="15.6">
      <c r="C12" s="178"/>
      <c r="D12" s="182" t="s">
        <v>14</v>
      </c>
      <c r="E12" s="189">
        <f>'תקציב איכות הסביבה 2024  '!W13+'תקציב מינהל כללי 2024  '!W16</f>
        <v>-2465962</v>
      </c>
      <c r="F12" s="197">
        <f>E12/$E$14</f>
        <v>-0.40835609465131384</v>
      </c>
      <c r="G12" s="175"/>
      <c r="H12" s="175"/>
    </row>
    <row r="13" spans="1:8" ht="15.6">
      <c r="C13" s="178"/>
      <c r="D13" s="193" t="s">
        <v>75</v>
      </c>
      <c r="E13" s="244">
        <f>'תקציב איכות הסביבה 2024  '!AA13+'תקציב מינהל כללי 2024  '!AA17</f>
        <v>595033</v>
      </c>
      <c r="F13" s="197">
        <f>E13/$E$14</f>
        <v>9.8535724422620957E-2</v>
      </c>
      <c r="G13" s="175"/>
      <c r="H13" s="175"/>
    </row>
    <row r="14" spans="1:8" ht="16.2" thickBot="1">
      <c r="C14" s="178"/>
      <c r="D14" s="184" t="s">
        <v>84</v>
      </c>
      <c r="E14" s="191">
        <f>SUM(E11:E13)</f>
        <v>6038754</v>
      </c>
      <c r="F14" s="256">
        <f>SUM(F11:F13)</f>
        <v>0.99999999999999989</v>
      </c>
      <c r="G14" s="175"/>
      <c r="H14" s="175"/>
    </row>
    <row r="15" spans="1:8" ht="15.6">
      <c r="C15" s="178"/>
      <c r="D15" s="181"/>
      <c r="E15" s="200"/>
      <c r="F15" s="201"/>
      <c r="G15" s="175"/>
      <c r="H15" s="175"/>
    </row>
    <row r="16" spans="1:8" ht="15.6">
      <c r="C16" s="178"/>
      <c r="D16" s="181"/>
      <c r="E16" s="200"/>
      <c r="F16" s="201"/>
      <c r="G16" s="175"/>
      <c r="H16" s="175"/>
    </row>
    <row r="17" spans="1:17" ht="15.6">
      <c r="B17" s="178"/>
      <c r="C17" s="175"/>
      <c r="D17" s="175"/>
      <c r="E17" s="175"/>
      <c r="F17" s="175"/>
    </row>
    <row r="18" spans="1:17" s="801" customFormat="1" ht="15.6">
      <c r="B18" s="802" t="s">
        <v>129</v>
      </c>
      <c r="C18" s="803" t="s">
        <v>1270</v>
      </c>
      <c r="D18" s="803"/>
      <c r="F18" s="803"/>
      <c r="G18" s="803"/>
      <c r="H18" s="803"/>
    </row>
    <row r="19" spans="1:17" ht="15.6">
      <c r="C19" s="175" t="s">
        <v>367</v>
      </c>
      <c r="D19" s="175"/>
      <c r="E19" s="175"/>
      <c r="F19" s="175"/>
    </row>
    <row r="20" spans="1:17" ht="15.6">
      <c r="B20" s="178"/>
      <c r="C20" s="175" t="s">
        <v>1556</v>
      </c>
      <c r="D20" s="175"/>
      <c r="E20" s="175"/>
      <c r="F20" s="175"/>
      <c r="G20" s="175"/>
      <c r="H20" s="175"/>
    </row>
    <row r="21" spans="1:17" ht="15.6">
      <c r="B21" s="178"/>
      <c r="C21" s="175"/>
      <c r="D21" s="175"/>
      <c r="E21" s="175"/>
      <c r="F21" s="175"/>
      <c r="G21" s="175"/>
      <c r="H21" s="175"/>
    </row>
    <row r="22" spans="1:17" s="801" customFormat="1" ht="15.6">
      <c r="B22" s="802" t="s">
        <v>129</v>
      </c>
      <c r="C22" s="803" t="s">
        <v>1612</v>
      </c>
      <c r="D22" s="803"/>
      <c r="F22" s="803"/>
      <c r="G22" s="803"/>
      <c r="H22" s="803"/>
    </row>
    <row r="24" spans="1:17" s="260" customFormat="1" ht="15.6">
      <c r="C24" s="261" t="s">
        <v>129</v>
      </c>
      <c r="D24" s="262" t="s">
        <v>1643</v>
      </c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</row>
    <row r="27" spans="1:17" s="240" customFormat="1" ht="15.6">
      <c r="C27" s="242"/>
      <c r="D27" s="734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</row>
    <row r="28" spans="1:17" s="240" customFormat="1" ht="15.6">
      <c r="C28" s="242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</row>
    <row r="29" spans="1:17" s="240" customFormat="1" ht="15.6">
      <c r="A29" s="239"/>
      <c r="B29" s="239"/>
      <c r="C29" s="239"/>
      <c r="D29" s="417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</row>
    <row r="41" spans="3:3">
      <c r="C41" s="255"/>
    </row>
  </sheetData>
  <sortState ref="C20">
    <sortCondition ref="C20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8"/>
  <sheetViews>
    <sheetView showZeros="0" rightToLeft="1" workbookViewId="0">
      <selection activeCell="T10" sqref="T10"/>
    </sheetView>
  </sheetViews>
  <sheetFormatPr defaultColWidth="9.109375" defaultRowHeight="13.8"/>
  <cols>
    <col min="1" max="2" width="4.109375" style="71" customWidth="1"/>
    <col min="3" max="3" width="34" style="71" customWidth="1"/>
    <col min="4" max="4" width="9.88671875" style="71" customWidth="1"/>
    <col min="5" max="7" width="12.109375" style="71" customWidth="1"/>
    <col min="8" max="8" width="12.109375" style="71" hidden="1" customWidth="1"/>
    <col min="9" max="9" width="7.88671875" style="71" customWidth="1"/>
    <col min="10" max="16384" width="9.109375" style="71"/>
  </cols>
  <sheetData>
    <row r="3" spans="1:16" ht="21">
      <c r="D3" s="72"/>
    </row>
    <row r="4" spans="1:16" ht="15.6">
      <c r="A4" s="73"/>
      <c r="C4" s="73"/>
      <c r="D4" s="73"/>
      <c r="E4" s="73"/>
      <c r="F4" s="73"/>
      <c r="G4" s="73"/>
      <c r="H4" s="73"/>
      <c r="I4" s="73"/>
      <c r="J4" s="73"/>
      <c r="K4" s="73"/>
      <c r="N4" s="73"/>
      <c r="O4" s="73"/>
      <c r="P4" s="73"/>
    </row>
    <row r="5" spans="1:16" ht="15.6">
      <c r="A5" s="73">
        <v>3.3</v>
      </c>
      <c r="C5" s="73" t="s">
        <v>560</v>
      </c>
      <c r="D5" s="73"/>
      <c r="E5" s="73"/>
      <c r="F5" s="73"/>
      <c r="G5" s="73"/>
      <c r="H5" s="73"/>
      <c r="I5" s="73"/>
      <c r="J5" s="73"/>
      <c r="K5" s="73"/>
      <c r="N5" s="73"/>
      <c r="O5" s="73"/>
      <c r="P5" s="73"/>
    </row>
    <row r="6" spans="1:16" ht="16.2" thickBot="1">
      <c r="A6" s="73"/>
      <c r="C6" s="73"/>
      <c r="D6" s="73"/>
      <c r="E6" s="73"/>
      <c r="F6" s="73"/>
      <c r="G6" s="73"/>
      <c r="H6" s="73"/>
      <c r="I6" s="73"/>
      <c r="J6" s="73"/>
      <c r="K6" s="73"/>
      <c r="N6" s="73"/>
      <c r="O6" s="73"/>
      <c r="P6" s="73"/>
    </row>
    <row r="7" spans="1:16" ht="20.100000000000001" customHeight="1">
      <c r="A7" s="73"/>
      <c r="C7" s="91" t="s">
        <v>170</v>
      </c>
      <c r="D7" s="265" t="s">
        <v>347</v>
      </c>
      <c r="E7" s="94" t="s">
        <v>1248</v>
      </c>
      <c r="F7" s="95" t="s">
        <v>771</v>
      </c>
      <c r="N7" s="73"/>
      <c r="O7" s="73"/>
      <c r="P7" s="73"/>
    </row>
    <row r="8" spans="1:16" ht="20.100000000000001" customHeight="1">
      <c r="A8" s="73"/>
      <c r="C8" s="96" t="s">
        <v>368</v>
      </c>
      <c r="D8" s="156">
        <v>81</v>
      </c>
      <c r="E8" s="156">
        <f>'ריכוז פרקים'!S11/1000</f>
        <v>203150.242</v>
      </c>
      <c r="F8" s="143">
        <v>271615</v>
      </c>
      <c r="H8" s="209">
        <f t="shared" ref="H8:H14" si="0">E8/$E$22</f>
        <v>0.44878821086578924</v>
      </c>
      <c r="N8" s="73"/>
      <c r="O8" s="73"/>
      <c r="P8" s="73"/>
    </row>
    <row r="9" spans="1:16" ht="20.100000000000001" customHeight="1">
      <c r="A9" s="73"/>
      <c r="C9" s="96" t="s">
        <v>199</v>
      </c>
      <c r="D9" s="156">
        <v>74</v>
      </c>
      <c r="E9" s="156">
        <f>'ריכוז פרקים'!S8/1000</f>
        <v>106755.70600000001</v>
      </c>
      <c r="F9" s="270">
        <v>91981</v>
      </c>
      <c r="H9" s="209">
        <f t="shared" si="0"/>
        <v>0.2358387655548754</v>
      </c>
      <c r="N9" s="73"/>
      <c r="O9" s="73"/>
      <c r="P9" s="73"/>
    </row>
    <row r="10" spans="1:16" ht="20.100000000000001" customHeight="1">
      <c r="A10" s="73"/>
      <c r="C10" s="96" t="s">
        <v>369</v>
      </c>
      <c r="D10" s="156">
        <v>82</v>
      </c>
      <c r="E10" s="156">
        <f>'ריכוז פרקים'!S12/1000</f>
        <v>69237.118000000002</v>
      </c>
      <c r="F10" s="143">
        <v>44367</v>
      </c>
      <c r="H10" s="209">
        <f t="shared" si="0"/>
        <v>0.15295478856837164</v>
      </c>
      <c r="N10" s="73"/>
      <c r="O10" s="73"/>
      <c r="P10" s="73"/>
    </row>
    <row r="11" spans="1:16" ht="20.100000000000001" customHeight="1">
      <c r="A11" s="73"/>
      <c r="C11" s="96" t="s">
        <v>203</v>
      </c>
      <c r="D11" s="156" t="s">
        <v>684</v>
      </c>
      <c r="E11" s="156">
        <f>'ריכוז פרקים'!S10/1000</f>
        <v>27715</v>
      </c>
      <c r="F11" s="143">
        <v>14786</v>
      </c>
      <c r="H11" s="209">
        <f t="shared" si="0"/>
        <v>6.1226435871759133E-2</v>
      </c>
      <c r="N11" s="73"/>
      <c r="O11" s="73"/>
      <c r="P11" s="73"/>
    </row>
    <row r="12" spans="1:16" ht="20.100000000000001" customHeight="1">
      <c r="A12" s="73"/>
      <c r="C12" s="103" t="s">
        <v>200</v>
      </c>
      <c r="D12" s="156">
        <v>93</v>
      </c>
      <c r="E12" s="156">
        <f>'ריכוז פרקים'!S18/1000</f>
        <v>14019.793</v>
      </c>
      <c r="F12" s="143">
        <v>2100</v>
      </c>
      <c r="H12" s="209">
        <f t="shared" si="0"/>
        <v>3.0971746601112668E-2</v>
      </c>
      <c r="N12" s="73"/>
      <c r="O12" s="73"/>
      <c r="P12" s="73"/>
    </row>
    <row r="13" spans="1:16" ht="20.100000000000001" customHeight="1">
      <c r="A13" s="73"/>
      <c r="C13" s="96" t="s">
        <v>353</v>
      </c>
      <c r="D13" s="156">
        <v>764</v>
      </c>
      <c r="E13" s="156">
        <f>'ריכוז פרקים'!S17/1000</f>
        <v>12000</v>
      </c>
      <c r="F13" s="143">
        <v>7000</v>
      </c>
      <c r="H13" s="209">
        <f t="shared" si="0"/>
        <v>2.6509732291578915E-2</v>
      </c>
      <c r="N13" s="73"/>
      <c r="O13" s="73"/>
      <c r="P13" s="73"/>
    </row>
    <row r="14" spans="1:16" ht="20.100000000000001" customHeight="1">
      <c r="A14" s="73"/>
      <c r="C14" s="103" t="s">
        <v>370</v>
      </c>
      <c r="D14" s="156">
        <v>84</v>
      </c>
      <c r="E14" s="156">
        <f>'ריכוז פרקים'!S13/1000</f>
        <v>9200</v>
      </c>
      <c r="F14" s="143">
        <v>6000</v>
      </c>
      <c r="H14" s="209">
        <f t="shared" si="0"/>
        <v>2.0324128090210499E-2</v>
      </c>
      <c r="N14" s="73"/>
      <c r="O14" s="73"/>
      <c r="P14" s="73"/>
    </row>
    <row r="15" spans="1:16" ht="20.100000000000001" customHeight="1">
      <c r="A15" s="73"/>
      <c r="C15" s="96" t="s">
        <v>1575</v>
      </c>
      <c r="D15" s="156">
        <v>99</v>
      </c>
      <c r="E15" s="156">
        <f>'ריכוז פרקים'!S19/1000</f>
        <v>5450</v>
      </c>
      <c r="F15" s="143"/>
      <c r="H15" s="209"/>
      <c r="N15" s="73"/>
      <c r="O15" s="73"/>
      <c r="P15" s="73"/>
    </row>
    <row r="16" spans="1:16" ht="20.100000000000001" customHeight="1">
      <c r="A16" s="73"/>
      <c r="C16" s="96" t="s">
        <v>76</v>
      </c>
      <c r="D16" s="156">
        <v>747</v>
      </c>
      <c r="E16" s="156">
        <f>'ריכוז פרקים'!S9/1000</f>
        <v>3043.1869999999999</v>
      </c>
      <c r="F16" s="143">
        <v>5341</v>
      </c>
      <c r="H16" s="209">
        <f t="shared" ref="H16:H21" si="1">E16/$E$22</f>
        <v>6.722839390267763E-3</v>
      </c>
      <c r="N16" s="73"/>
      <c r="O16" s="73"/>
      <c r="P16" s="73"/>
    </row>
    <row r="17" spans="1:16" ht="20.100000000000001" customHeight="1">
      <c r="A17" s="73"/>
      <c r="C17" s="96" t="s">
        <v>77</v>
      </c>
      <c r="D17" s="156">
        <v>87</v>
      </c>
      <c r="E17" s="156">
        <f>'ריכוז פרקים'!S15/1000</f>
        <v>2518.752</v>
      </c>
      <c r="F17" s="143">
        <v>700</v>
      </c>
      <c r="H17" s="209">
        <f t="shared" si="1"/>
        <v>5.5642867690732477E-3</v>
      </c>
      <c r="N17" s="73"/>
      <c r="O17" s="73"/>
      <c r="P17" s="73"/>
    </row>
    <row r="18" spans="1:16" ht="20.100000000000001" customHeight="1">
      <c r="A18" s="73"/>
      <c r="C18" s="96" t="s">
        <v>352</v>
      </c>
      <c r="D18" s="156">
        <v>848</v>
      </c>
      <c r="E18" s="156">
        <f>'ריכוז פרקים'!S16/1000</f>
        <v>1569.923</v>
      </c>
      <c r="F18" s="143">
        <v>4200</v>
      </c>
      <c r="H18" s="209">
        <f t="shared" si="1"/>
        <v>3.4681865373660369E-3</v>
      </c>
      <c r="M18" s="106"/>
      <c r="N18" s="73"/>
      <c r="O18" s="73"/>
      <c r="P18" s="73"/>
    </row>
    <row r="19" spans="1:16" ht="20.100000000000001" customHeight="1">
      <c r="A19" s="73"/>
      <c r="C19" s="96" t="s">
        <v>202</v>
      </c>
      <c r="D19" s="156">
        <v>61</v>
      </c>
      <c r="E19" s="156">
        <f>'ריכוז פרקים'!S6/1000</f>
        <v>1370</v>
      </c>
      <c r="F19" s="143">
        <v>1970</v>
      </c>
      <c r="H19" s="209">
        <f t="shared" si="1"/>
        <v>3.0265277699552595E-3</v>
      </c>
      <c r="N19" s="73"/>
      <c r="O19" s="73"/>
      <c r="P19" s="73"/>
    </row>
    <row r="20" spans="1:16" ht="20.100000000000001" customHeight="1">
      <c r="A20" s="73"/>
      <c r="C20" s="96" t="s">
        <v>204</v>
      </c>
      <c r="D20" s="156">
        <v>85</v>
      </c>
      <c r="E20" s="156">
        <f>'ריכוז פרקים'!S14/1000</f>
        <v>801.60900000000004</v>
      </c>
      <c r="F20" s="143">
        <v>4150</v>
      </c>
      <c r="H20" s="209">
        <f t="shared" si="1"/>
        <v>1.7708699993766901E-3</v>
      </c>
      <c r="N20" s="73"/>
      <c r="O20" s="73"/>
      <c r="P20" s="73"/>
    </row>
    <row r="21" spans="1:16" ht="20.100000000000001" customHeight="1">
      <c r="A21" s="73"/>
      <c r="C21" s="96" t="s">
        <v>201</v>
      </c>
      <c r="D21" s="156">
        <v>73</v>
      </c>
      <c r="E21" s="156">
        <f>'ריכוז פרקים'!S7/1000</f>
        <v>-4167.3850000000002</v>
      </c>
      <c r="F21" s="143">
        <v>11960</v>
      </c>
      <c r="H21" s="209">
        <f t="shared" si="1"/>
        <v>-9.2063550588284658E-3</v>
      </c>
      <c r="N21" s="73"/>
      <c r="O21" s="73"/>
      <c r="P21" s="73"/>
    </row>
    <row r="22" spans="1:16" ht="20.100000000000001" customHeight="1" thickBot="1">
      <c r="A22" s="73"/>
      <c r="C22" s="144" t="s">
        <v>84</v>
      </c>
      <c r="D22" s="145"/>
      <c r="E22" s="148">
        <f>SUM(E8:E21)</f>
        <v>452663.94499999995</v>
      </c>
      <c r="F22" s="149">
        <f>SUM(F8:F21)</f>
        <v>466170</v>
      </c>
      <c r="H22" s="146">
        <f>SUM(H8:H21)</f>
        <v>0.98796016325090796</v>
      </c>
      <c r="N22" s="73"/>
      <c r="O22" s="73"/>
      <c r="P22" s="73"/>
    </row>
    <row r="23" spans="1:16" ht="15.6">
      <c r="A23" s="73"/>
      <c r="M23" s="73"/>
      <c r="N23" s="73"/>
      <c r="O23" s="73"/>
      <c r="P23" s="73"/>
    </row>
    <row r="24" spans="1:16" s="268" customFormat="1" ht="15.6">
      <c r="A24" s="267"/>
      <c r="C24" s="269"/>
      <c r="M24" s="267"/>
      <c r="N24" s="267"/>
      <c r="O24" s="267"/>
      <c r="P24" s="267"/>
    </row>
    <row r="25" spans="1:16" ht="15.6">
      <c r="A25" s="73"/>
      <c r="B25" s="78"/>
      <c r="C25" s="78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</row>
    <row r="26" spans="1:16" ht="15.6">
      <c r="A26" s="78"/>
      <c r="B26" s="78"/>
      <c r="C26" s="78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</row>
    <row r="27" spans="1:16" ht="15.6"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</row>
    <row r="28" spans="1:16" ht="15.6"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</row>
  </sheetData>
  <sortState ref="A8:P21">
    <sortCondition descending="1" ref="E8:E21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4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3.6640625" style="464" customWidth="1"/>
    <col min="2" max="2" width="5.6640625" style="465" customWidth="1"/>
    <col min="3" max="3" width="16.44140625" style="465" customWidth="1"/>
    <col min="4" max="4" width="8.6640625" style="467" customWidth="1"/>
    <col min="5" max="6" width="11.109375" style="467" customWidth="1"/>
    <col min="7" max="8" width="11.109375" style="467" hidden="1" customWidth="1"/>
    <col min="9" max="9" width="7.5546875" style="467" hidden="1" customWidth="1"/>
    <col min="10" max="11" width="9.109375" style="467" hidden="1" customWidth="1"/>
    <col min="12" max="12" width="9.5546875" style="467" customWidth="1"/>
    <col min="13" max="13" width="7.88671875" style="467" customWidth="1"/>
    <col min="14" max="14" width="8.5546875" style="467" customWidth="1"/>
    <col min="15" max="15" width="7.33203125" style="467" customWidth="1"/>
    <col min="16" max="16" width="10.109375" style="467" hidden="1" customWidth="1"/>
    <col min="17" max="18" width="13.5546875" style="467" hidden="1" customWidth="1"/>
    <col min="19" max="19" width="8.44140625" style="467" hidden="1" customWidth="1"/>
    <col min="20" max="20" width="7.33203125" style="467" customWidth="1"/>
    <col min="21" max="21" width="8.88671875" style="465" customWidth="1"/>
    <col min="22" max="22" width="8" style="465" customWidth="1"/>
    <col min="23" max="23" width="7.5546875" style="465" customWidth="1"/>
    <col min="24" max="24" width="6.44140625" style="465" hidden="1" customWidth="1"/>
    <col min="25" max="25" width="7.44140625" style="465" hidden="1" customWidth="1"/>
    <col min="26" max="26" width="7.88671875" style="465" hidden="1" customWidth="1"/>
    <col min="27" max="27" width="7.33203125" style="465" customWidth="1"/>
    <col min="28" max="28" width="38.44140625" style="468" customWidth="1"/>
    <col min="29" max="29" width="7" style="465" hidden="1" customWidth="1"/>
    <col min="30" max="30" width="25.44140625" style="562" customWidth="1"/>
    <col min="31" max="31" width="21.33203125" style="562" customWidth="1"/>
    <col min="32" max="32" width="16.109375" style="562" customWidth="1"/>
    <col min="33" max="33" width="25.44140625" style="465" customWidth="1"/>
    <col min="34" max="34" width="24.6640625" style="465" customWidth="1"/>
    <col min="35" max="35" width="7" style="465" customWidth="1"/>
    <col min="36" max="36" width="24.6640625" style="465" customWidth="1"/>
    <col min="37" max="37" width="36.6640625" style="465" customWidth="1"/>
    <col min="38" max="48" width="10.6640625" style="465" customWidth="1"/>
    <col min="49" max="16384" width="9.109375" style="465"/>
  </cols>
  <sheetData>
    <row r="1" spans="1:57" s="542" customFormat="1" ht="18">
      <c r="A1" s="897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541"/>
      <c r="Y1" s="541"/>
      <c r="Z1" s="541"/>
      <c r="AB1" s="543"/>
      <c r="AD1" s="562"/>
      <c r="AE1" s="562"/>
      <c r="AF1" s="562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</row>
    <row r="2" spans="1:57" ht="18">
      <c r="A2" s="544" t="s">
        <v>77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57">
      <c r="V3" s="468"/>
      <c r="W3" s="468"/>
      <c r="X3" s="468"/>
      <c r="Y3" s="468"/>
      <c r="Z3" s="468"/>
      <c r="AA3" s="468"/>
    </row>
    <row r="4" spans="1:57" s="547" customFormat="1" ht="69">
      <c r="A4" s="545" t="s">
        <v>0</v>
      </c>
      <c r="B4" s="545" t="s">
        <v>1</v>
      </c>
      <c r="C4" s="545" t="s">
        <v>2</v>
      </c>
      <c r="D4" s="545" t="s">
        <v>3</v>
      </c>
      <c r="E4" s="545" t="s">
        <v>4</v>
      </c>
      <c r="F4" s="545" t="s">
        <v>5</v>
      </c>
      <c r="G4" s="545" t="s">
        <v>6</v>
      </c>
      <c r="H4" s="545" t="s">
        <v>7</v>
      </c>
      <c r="I4" s="545" t="s">
        <v>9</v>
      </c>
      <c r="J4" s="545" t="s">
        <v>125</v>
      </c>
      <c r="K4" s="545" t="s">
        <v>10</v>
      </c>
      <c r="L4" s="545" t="s">
        <v>11</v>
      </c>
      <c r="M4" s="545" t="s">
        <v>917</v>
      </c>
      <c r="N4" s="545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545" t="s">
        <v>13</v>
      </c>
      <c r="W4" s="545" t="s">
        <v>14</v>
      </c>
      <c r="X4" s="545" t="s">
        <v>15</v>
      </c>
      <c r="Y4" s="545" t="s">
        <v>214</v>
      </c>
      <c r="Z4" s="545" t="s">
        <v>502</v>
      </c>
      <c r="AA4" s="545" t="s">
        <v>75</v>
      </c>
      <c r="AB4" s="558" t="s">
        <v>242</v>
      </c>
      <c r="AC4" s="545" t="s">
        <v>16</v>
      </c>
      <c r="AD4" s="562"/>
      <c r="AE4" s="562"/>
      <c r="AF4" s="562"/>
      <c r="AG4" s="465"/>
      <c r="AH4" s="465"/>
      <c r="AI4" s="465"/>
      <c r="AJ4" s="465"/>
      <c r="AK4" s="465"/>
      <c r="AL4" s="465"/>
      <c r="AM4" s="465"/>
      <c r="AN4" s="465"/>
      <c r="AO4" s="465"/>
      <c r="AP4" s="465"/>
      <c r="AQ4" s="465"/>
      <c r="AR4" s="465"/>
      <c r="AS4" s="465"/>
      <c r="AT4" s="465"/>
      <c r="AU4" s="465"/>
      <c r="AV4" s="465"/>
    </row>
    <row r="5" spans="1:57" s="157" customFormat="1" ht="55.2">
      <c r="A5" s="448">
        <v>1</v>
      </c>
      <c r="B5" s="448">
        <v>1134</v>
      </c>
      <c r="C5" s="135" t="s">
        <v>53</v>
      </c>
      <c r="D5" s="120">
        <f>2905000+200000</f>
        <v>3105000</v>
      </c>
      <c r="E5" s="120">
        <v>2905000</v>
      </c>
      <c r="F5" s="120">
        <f t="shared" ref="F5:F11" si="0">D5-E5</f>
        <v>200000</v>
      </c>
      <c r="G5" s="120">
        <v>2755000</v>
      </c>
      <c r="H5" s="120">
        <v>2641458</v>
      </c>
      <c r="I5" s="120"/>
      <c r="J5" s="120">
        <v>14144</v>
      </c>
      <c r="K5" s="120">
        <f t="shared" ref="K5:K11" si="1">I5+J5</f>
        <v>14144</v>
      </c>
      <c r="L5" s="120">
        <f t="shared" ref="L5:L11" si="2">H5+K5</f>
        <v>2655602</v>
      </c>
      <c r="M5" s="120">
        <f>P5+S5-199000</f>
        <v>398</v>
      </c>
      <c r="N5" s="120">
        <f>150000-50000</f>
        <v>100000</v>
      </c>
      <c r="O5" s="120">
        <f t="shared" ref="O5:O11" si="3">D5-L5-M5-N5</f>
        <v>349000</v>
      </c>
      <c r="P5" s="120">
        <f t="shared" ref="P5:P11" si="4">G5-L5</f>
        <v>99398</v>
      </c>
      <c r="Q5" s="120">
        <v>100000</v>
      </c>
      <c r="R5" s="120"/>
      <c r="S5" s="120">
        <f t="shared" ref="S5:S11" si="5">SUM(Q5:R5)</f>
        <v>100000</v>
      </c>
      <c r="T5" s="120">
        <f t="shared" ref="T5:T11" si="6">P5-M5+S5</f>
        <v>199000</v>
      </c>
      <c r="U5" s="120">
        <f t="shared" ref="U5:U11" si="7">N5-T5</f>
        <v>-99000</v>
      </c>
      <c r="V5" s="120">
        <f t="shared" ref="V5:V11" si="8">U5-W5-Z5-AA5</f>
        <v>-99000</v>
      </c>
      <c r="W5" s="120"/>
      <c r="X5" s="120"/>
      <c r="Y5" s="120"/>
      <c r="Z5" s="120"/>
      <c r="AA5" s="120"/>
      <c r="AB5" s="448" t="s">
        <v>905</v>
      </c>
      <c r="AC5" s="448">
        <v>746000</v>
      </c>
      <c r="AD5" s="562"/>
      <c r="AE5" s="562"/>
      <c r="AF5" s="562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  <c r="AU5" s="465"/>
      <c r="AV5" s="465"/>
      <c r="AW5" s="318"/>
      <c r="AX5" s="318"/>
      <c r="AY5" s="318"/>
    </row>
    <row r="6" spans="1:57" s="157" customFormat="1" ht="45" customHeight="1">
      <c r="A6" s="448">
        <f t="shared" ref="A6:A12" si="9">1+A5</f>
        <v>2</v>
      </c>
      <c r="B6" s="448">
        <v>1598</v>
      </c>
      <c r="C6" s="135" t="s">
        <v>54</v>
      </c>
      <c r="D6" s="120">
        <f>716500-28000</f>
        <v>688500</v>
      </c>
      <c r="E6" s="120">
        <v>716500</v>
      </c>
      <c r="F6" s="120">
        <f t="shared" si="0"/>
        <v>-28000</v>
      </c>
      <c r="G6" s="120">
        <v>616500</v>
      </c>
      <c r="H6" s="120">
        <v>596016</v>
      </c>
      <c r="I6" s="120"/>
      <c r="J6" s="120"/>
      <c r="K6" s="120">
        <f t="shared" si="1"/>
        <v>0</v>
      </c>
      <c r="L6" s="120">
        <f t="shared" si="2"/>
        <v>596016</v>
      </c>
      <c r="M6" s="120">
        <f>P6+S6-90000</f>
        <v>2484</v>
      </c>
      <c r="N6" s="120">
        <v>90000</v>
      </c>
      <c r="O6" s="120">
        <f t="shared" si="3"/>
        <v>0</v>
      </c>
      <c r="P6" s="120">
        <f t="shared" si="4"/>
        <v>20484</v>
      </c>
      <c r="Q6" s="120">
        <v>72000</v>
      </c>
      <c r="R6" s="120"/>
      <c r="S6" s="120">
        <f t="shared" si="5"/>
        <v>72000</v>
      </c>
      <c r="T6" s="120">
        <f t="shared" si="6"/>
        <v>90000</v>
      </c>
      <c r="U6" s="120">
        <f t="shared" si="7"/>
        <v>0</v>
      </c>
      <c r="V6" s="120">
        <f t="shared" si="8"/>
        <v>0</v>
      </c>
      <c r="W6" s="120">
        <v>27881</v>
      </c>
      <c r="X6" s="120"/>
      <c r="Y6" s="120"/>
      <c r="Z6" s="120"/>
      <c r="AA6" s="120">
        <v>-27881</v>
      </c>
      <c r="AB6" s="448" t="s">
        <v>1467</v>
      </c>
      <c r="AC6" s="448">
        <v>870000</v>
      </c>
      <c r="AD6" s="562"/>
      <c r="AE6" s="562"/>
      <c r="AF6" s="562"/>
      <c r="AG6" s="465"/>
      <c r="AH6" s="465"/>
      <c r="AI6" s="465"/>
      <c r="AJ6" s="465"/>
      <c r="AK6" s="465"/>
      <c r="AL6" s="465"/>
      <c r="AM6" s="465"/>
      <c r="AN6" s="465"/>
      <c r="AO6" s="465"/>
      <c r="AP6" s="465"/>
      <c r="AQ6" s="465"/>
      <c r="AR6" s="465"/>
      <c r="AS6" s="465"/>
      <c r="AT6" s="465"/>
      <c r="AU6" s="465"/>
      <c r="AV6" s="465"/>
      <c r="AW6" s="318"/>
      <c r="AX6" s="318"/>
      <c r="AY6" s="318"/>
    </row>
    <row r="7" spans="1:57" s="157" customFormat="1" ht="45" customHeight="1">
      <c r="A7" s="448">
        <f t="shared" si="9"/>
        <v>3</v>
      </c>
      <c r="B7" s="448">
        <v>1817</v>
      </c>
      <c r="C7" s="135" t="s">
        <v>95</v>
      </c>
      <c r="D7" s="120">
        <v>940000</v>
      </c>
      <c r="E7" s="120">
        <v>940000</v>
      </c>
      <c r="F7" s="120">
        <f t="shared" si="0"/>
        <v>0</v>
      </c>
      <c r="G7" s="120">
        <v>840000</v>
      </c>
      <c r="H7" s="120">
        <v>798502</v>
      </c>
      <c r="I7" s="120"/>
      <c r="J7" s="120"/>
      <c r="K7" s="120">
        <f t="shared" si="1"/>
        <v>0</v>
      </c>
      <c r="L7" s="120">
        <f t="shared" si="2"/>
        <v>798502</v>
      </c>
      <c r="M7" s="120">
        <f>P7+S7-38000-2000</f>
        <v>1498</v>
      </c>
      <c r="N7" s="120">
        <f>100000+38000+2000</f>
        <v>140000</v>
      </c>
      <c r="O7" s="120">
        <f t="shared" si="3"/>
        <v>0</v>
      </c>
      <c r="P7" s="120">
        <f t="shared" si="4"/>
        <v>41498</v>
      </c>
      <c r="Q7" s="120"/>
      <c r="R7" s="120"/>
      <c r="S7" s="120">
        <f t="shared" si="5"/>
        <v>0</v>
      </c>
      <c r="T7" s="120">
        <f t="shared" si="6"/>
        <v>40000</v>
      </c>
      <c r="U7" s="120">
        <f t="shared" si="7"/>
        <v>100000</v>
      </c>
      <c r="V7" s="120">
        <f t="shared" si="8"/>
        <v>0</v>
      </c>
      <c r="W7" s="120"/>
      <c r="X7" s="120"/>
      <c r="Y7" s="120"/>
      <c r="Z7" s="120"/>
      <c r="AA7" s="120">
        <v>100000</v>
      </c>
      <c r="AB7" s="448" t="s">
        <v>517</v>
      </c>
      <c r="AC7" s="448">
        <v>810000</v>
      </c>
      <c r="AD7" s="562"/>
      <c r="AE7" s="562"/>
      <c r="AF7" s="562"/>
      <c r="AG7" s="465"/>
      <c r="AH7" s="465"/>
      <c r="AI7" s="465"/>
      <c r="AJ7" s="465"/>
      <c r="AK7" s="465"/>
      <c r="AL7" s="465"/>
      <c r="AM7" s="465"/>
      <c r="AN7" s="465"/>
      <c r="AO7" s="465"/>
      <c r="AP7" s="465"/>
      <c r="AQ7" s="465"/>
      <c r="AR7" s="465"/>
      <c r="AS7" s="465"/>
      <c r="AT7" s="465"/>
      <c r="AU7" s="465"/>
      <c r="AV7" s="465"/>
      <c r="AW7" s="318"/>
      <c r="AX7" s="318"/>
      <c r="AY7" s="318"/>
    </row>
    <row r="8" spans="1:57" s="157" customFormat="1" ht="82.8">
      <c r="A8" s="448">
        <f t="shared" si="9"/>
        <v>4</v>
      </c>
      <c r="B8" s="448">
        <v>1922</v>
      </c>
      <c r="C8" s="135" t="s">
        <v>112</v>
      </c>
      <c r="D8" s="120">
        <v>330000</v>
      </c>
      <c r="E8" s="120">
        <v>330000</v>
      </c>
      <c r="F8" s="120">
        <f t="shared" si="0"/>
        <v>0</v>
      </c>
      <c r="G8" s="120">
        <v>200000</v>
      </c>
      <c r="H8" s="120">
        <v>97444</v>
      </c>
      <c r="I8" s="120"/>
      <c r="J8" s="120"/>
      <c r="K8" s="120">
        <f t="shared" si="1"/>
        <v>0</v>
      </c>
      <c r="L8" s="120">
        <f t="shared" si="2"/>
        <v>97444</v>
      </c>
      <c r="M8" s="120">
        <f>P8+S8-100000</f>
        <v>2556</v>
      </c>
      <c r="N8" s="120">
        <v>100000</v>
      </c>
      <c r="O8" s="120">
        <f t="shared" si="3"/>
        <v>130000</v>
      </c>
      <c r="P8" s="120">
        <f t="shared" si="4"/>
        <v>102556</v>
      </c>
      <c r="Q8" s="120"/>
      <c r="R8" s="120"/>
      <c r="S8" s="120">
        <f t="shared" si="5"/>
        <v>0</v>
      </c>
      <c r="T8" s="120">
        <f t="shared" si="6"/>
        <v>100000</v>
      </c>
      <c r="U8" s="120">
        <f t="shared" si="7"/>
        <v>0</v>
      </c>
      <c r="V8" s="120">
        <f t="shared" si="8"/>
        <v>0</v>
      </c>
      <c r="W8" s="120"/>
      <c r="X8" s="120"/>
      <c r="Y8" s="120"/>
      <c r="Z8" s="120"/>
      <c r="AA8" s="120"/>
      <c r="AB8" s="448" t="s">
        <v>906</v>
      </c>
      <c r="AC8" s="448">
        <v>870000</v>
      </c>
      <c r="AD8" s="562"/>
      <c r="AE8" s="562"/>
      <c r="AF8" s="562"/>
      <c r="AG8" s="465"/>
      <c r="AH8" s="465"/>
      <c r="AI8" s="465"/>
      <c r="AJ8" s="465"/>
      <c r="AK8" s="465"/>
      <c r="AL8" s="465"/>
      <c r="AM8" s="465"/>
      <c r="AN8" s="465"/>
      <c r="AO8" s="465"/>
      <c r="AP8" s="465"/>
      <c r="AQ8" s="465"/>
      <c r="AR8" s="465"/>
      <c r="AS8" s="465"/>
      <c r="AT8" s="465"/>
      <c r="AU8" s="465"/>
      <c r="AV8" s="465"/>
      <c r="AW8" s="318"/>
      <c r="AX8" s="318"/>
      <c r="AY8" s="318"/>
    </row>
    <row r="9" spans="1:57" s="556" customFormat="1" ht="45" customHeight="1">
      <c r="A9" s="448">
        <f t="shared" si="9"/>
        <v>5</v>
      </c>
      <c r="B9" s="455">
        <v>2168</v>
      </c>
      <c r="C9" s="135" t="s">
        <v>401</v>
      </c>
      <c r="D9" s="120">
        <f>100000+60000-60000</f>
        <v>100000</v>
      </c>
      <c r="E9" s="120">
        <v>100000</v>
      </c>
      <c r="F9" s="120">
        <f t="shared" si="0"/>
        <v>0</v>
      </c>
      <c r="G9" s="120">
        <v>100000</v>
      </c>
      <c r="H9" s="120">
        <v>10000</v>
      </c>
      <c r="I9" s="120"/>
      <c r="J9" s="120"/>
      <c r="K9" s="120">
        <f t="shared" si="1"/>
        <v>0</v>
      </c>
      <c r="L9" s="120">
        <f t="shared" si="2"/>
        <v>10000</v>
      </c>
      <c r="M9" s="120">
        <f>P9+S9-90000</f>
        <v>0</v>
      </c>
      <c r="N9" s="120">
        <f>150000-60000</f>
        <v>90000</v>
      </c>
      <c r="O9" s="120">
        <f t="shared" si="3"/>
        <v>0</v>
      </c>
      <c r="P9" s="120">
        <f t="shared" si="4"/>
        <v>90000</v>
      </c>
      <c r="Q9" s="120"/>
      <c r="R9" s="120"/>
      <c r="S9" s="120">
        <f t="shared" si="5"/>
        <v>0</v>
      </c>
      <c r="T9" s="120">
        <f t="shared" si="6"/>
        <v>90000</v>
      </c>
      <c r="U9" s="120">
        <f t="shared" si="7"/>
        <v>0</v>
      </c>
      <c r="V9" s="120">
        <f t="shared" si="8"/>
        <v>0</v>
      </c>
      <c r="W9" s="120"/>
      <c r="X9" s="120"/>
      <c r="Y9" s="120"/>
      <c r="Z9" s="120"/>
      <c r="AA9" s="120"/>
      <c r="AB9" s="448" t="s">
        <v>766</v>
      </c>
      <c r="AC9" s="448">
        <v>746000</v>
      </c>
      <c r="AD9" s="562"/>
      <c r="AE9" s="562"/>
      <c r="AF9" s="562"/>
      <c r="AG9" s="465"/>
      <c r="AH9" s="465"/>
      <c r="AI9" s="465"/>
      <c r="AJ9" s="465"/>
      <c r="AK9" s="465"/>
      <c r="AL9" s="465"/>
      <c r="AM9" s="465"/>
      <c r="AN9" s="465"/>
      <c r="AO9" s="465"/>
      <c r="AP9" s="465"/>
      <c r="AQ9" s="465"/>
      <c r="AR9" s="465"/>
      <c r="AS9" s="465"/>
      <c r="AT9" s="465"/>
      <c r="AU9" s="465"/>
      <c r="AV9" s="465"/>
      <c r="AW9" s="555"/>
      <c r="AX9" s="555"/>
      <c r="AY9" s="555"/>
    </row>
    <row r="10" spans="1:57" s="556" customFormat="1" ht="45" customHeight="1">
      <c r="A10" s="448">
        <f t="shared" si="9"/>
        <v>6</v>
      </c>
      <c r="B10" s="455">
        <v>20019</v>
      </c>
      <c r="C10" s="469" t="s">
        <v>609</v>
      </c>
      <c r="D10" s="120">
        <f>100000+250000</f>
        <v>350000</v>
      </c>
      <c r="E10" s="120">
        <v>100000</v>
      </c>
      <c r="F10" s="120">
        <f t="shared" si="0"/>
        <v>250000</v>
      </c>
      <c r="G10" s="120">
        <v>100000</v>
      </c>
      <c r="H10" s="120">
        <v>1000</v>
      </c>
      <c r="I10" s="120"/>
      <c r="J10" s="120"/>
      <c r="K10" s="120">
        <f t="shared" si="1"/>
        <v>0</v>
      </c>
      <c r="L10" s="120">
        <f t="shared" si="2"/>
        <v>1000</v>
      </c>
      <c r="M10" s="120">
        <f>P10+S10-99000</f>
        <v>0</v>
      </c>
      <c r="N10" s="120">
        <f>250000+60000</f>
        <v>310000</v>
      </c>
      <c r="O10" s="120">
        <f t="shared" si="3"/>
        <v>39000</v>
      </c>
      <c r="P10" s="120">
        <f t="shared" si="4"/>
        <v>99000</v>
      </c>
      <c r="Q10" s="120"/>
      <c r="R10" s="120"/>
      <c r="S10" s="120">
        <f t="shared" si="5"/>
        <v>0</v>
      </c>
      <c r="T10" s="120">
        <f t="shared" si="6"/>
        <v>99000</v>
      </c>
      <c r="U10" s="120">
        <f t="shared" si="7"/>
        <v>211000</v>
      </c>
      <c r="V10" s="120">
        <f t="shared" si="8"/>
        <v>0</v>
      </c>
      <c r="W10" s="120">
        <v>-37000</v>
      </c>
      <c r="X10" s="120"/>
      <c r="Y10" s="120"/>
      <c r="Z10" s="120"/>
      <c r="AA10" s="120">
        <v>248000</v>
      </c>
      <c r="AB10" s="448" t="s">
        <v>1357</v>
      </c>
      <c r="AC10" s="448">
        <v>870000</v>
      </c>
      <c r="AD10" s="562"/>
      <c r="AE10" s="562"/>
      <c r="AF10" s="562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5"/>
      <c r="AT10" s="465"/>
      <c r="AU10" s="465"/>
      <c r="AV10" s="465"/>
      <c r="AW10" s="555"/>
      <c r="AX10" s="555"/>
      <c r="AY10" s="555"/>
    </row>
    <row r="11" spans="1:57" s="452" customFormat="1" ht="55.2">
      <c r="A11" s="448">
        <f t="shared" si="9"/>
        <v>7</v>
      </c>
      <c r="B11" s="455">
        <v>20079</v>
      </c>
      <c r="C11" s="135" t="s">
        <v>756</v>
      </c>
      <c r="D11" s="120">
        <v>100000</v>
      </c>
      <c r="E11" s="120">
        <v>100000</v>
      </c>
      <c r="F11" s="120">
        <f t="shared" si="0"/>
        <v>0</v>
      </c>
      <c r="G11" s="120">
        <v>0</v>
      </c>
      <c r="H11" s="120"/>
      <c r="I11" s="120"/>
      <c r="J11" s="120"/>
      <c r="K11" s="120">
        <f t="shared" si="1"/>
        <v>0</v>
      </c>
      <c r="L11" s="120">
        <f t="shared" si="2"/>
        <v>0</v>
      </c>
      <c r="M11" s="120">
        <f>P11+S11-50000</f>
        <v>0</v>
      </c>
      <c r="N11" s="120">
        <f>50000+50000</f>
        <v>100000</v>
      </c>
      <c r="O11" s="120">
        <f t="shared" si="3"/>
        <v>0</v>
      </c>
      <c r="P11" s="120">
        <f t="shared" si="4"/>
        <v>0</v>
      </c>
      <c r="Q11" s="120">
        <v>50000</v>
      </c>
      <c r="R11" s="120"/>
      <c r="S11" s="120">
        <f t="shared" si="5"/>
        <v>50000</v>
      </c>
      <c r="T11" s="120">
        <f t="shared" si="6"/>
        <v>50000</v>
      </c>
      <c r="U11" s="120">
        <f t="shared" si="7"/>
        <v>50000</v>
      </c>
      <c r="V11" s="120">
        <f t="shared" si="8"/>
        <v>0</v>
      </c>
      <c r="W11" s="120">
        <v>50000</v>
      </c>
      <c r="X11" s="120"/>
      <c r="Y11" s="120"/>
      <c r="Z11" s="120"/>
      <c r="AA11" s="120"/>
      <c r="AB11" s="448" t="s">
        <v>902</v>
      </c>
      <c r="AC11" s="448">
        <v>870000</v>
      </c>
      <c r="AD11" s="562"/>
      <c r="AE11" s="562"/>
      <c r="AF11" s="562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272"/>
      <c r="AX11" s="272"/>
      <c r="AY11" s="272"/>
      <c r="AZ11" s="272"/>
      <c r="BA11" s="272"/>
      <c r="BB11" s="272"/>
      <c r="BC11" s="272"/>
      <c r="BD11" s="272"/>
      <c r="BE11" s="272"/>
    </row>
    <row r="12" spans="1:57" s="452" customFormat="1" ht="45" customHeight="1">
      <c r="A12" s="448">
        <f t="shared" si="9"/>
        <v>8</v>
      </c>
      <c r="B12" s="455">
        <v>20136</v>
      </c>
      <c r="C12" s="135" t="s">
        <v>1009</v>
      </c>
      <c r="D12" s="120">
        <v>344000</v>
      </c>
      <c r="E12" s="120"/>
      <c r="F12" s="120">
        <f>D12-E12</f>
        <v>344000</v>
      </c>
      <c r="G12" s="120">
        <v>0</v>
      </c>
      <c r="H12" s="120"/>
      <c r="I12" s="120"/>
      <c r="J12" s="120"/>
      <c r="K12" s="120">
        <f>I12+J12</f>
        <v>0</v>
      </c>
      <c r="L12" s="120">
        <f>H12+K12</f>
        <v>0</v>
      </c>
      <c r="M12" s="120">
        <f>P12+S12</f>
        <v>0</v>
      </c>
      <c r="N12" s="120">
        <v>344000</v>
      </c>
      <c r="O12" s="120">
        <f>D12-L12-M12-N12</f>
        <v>0</v>
      </c>
      <c r="P12" s="120">
        <f>G12-L12</f>
        <v>0</v>
      </c>
      <c r="Q12" s="120"/>
      <c r="R12" s="120"/>
      <c r="S12" s="120">
        <f>SUM(Q12:R12)</f>
        <v>0</v>
      </c>
      <c r="T12" s="120">
        <f>P12-M12+S12</f>
        <v>0</v>
      </c>
      <c r="U12" s="120">
        <f>N12-T12</f>
        <v>344000</v>
      </c>
      <c r="V12" s="120">
        <f>U12-W12-Z12-AA12</f>
        <v>0</v>
      </c>
      <c r="W12" s="120">
        <v>69086</v>
      </c>
      <c r="X12" s="120"/>
      <c r="Y12" s="120"/>
      <c r="Z12" s="120"/>
      <c r="AA12" s="120">
        <v>274914</v>
      </c>
      <c r="AB12" s="448" t="s">
        <v>1529</v>
      </c>
      <c r="AC12" s="448">
        <v>870000</v>
      </c>
      <c r="AD12" s="562"/>
      <c r="AE12" s="562"/>
      <c r="AF12" s="562"/>
      <c r="AG12" s="465"/>
      <c r="AH12" s="465"/>
      <c r="AI12" s="465"/>
      <c r="AJ12" s="465"/>
      <c r="AK12" s="465"/>
      <c r="AL12" s="465"/>
      <c r="AM12" s="465"/>
      <c r="AN12" s="465"/>
      <c r="AO12" s="465"/>
      <c r="AP12" s="465"/>
      <c r="AQ12" s="465"/>
      <c r="AR12" s="465"/>
      <c r="AS12" s="465"/>
      <c r="AT12" s="465"/>
      <c r="AU12" s="465"/>
      <c r="AV12" s="465"/>
      <c r="AW12" s="272"/>
      <c r="AX12" s="272"/>
      <c r="AY12" s="272"/>
      <c r="AZ12" s="272"/>
      <c r="BA12" s="272"/>
      <c r="BB12" s="272"/>
      <c r="BC12" s="272"/>
      <c r="BD12" s="272"/>
      <c r="BE12" s="272"/>
    </row>
    <row r="13" spans="1:57" s="473" customFormat="1" ht="31.95" customHeight="1">
      <c r="A13" s="249">
        <f>COUNT(A5:A12)</f>
        <v>8</v>
      </c>
      <c r="B13" s="454"/>
      <c r="C13" s="219" t="s">
        <v>757</v>
      </c>
      <c r="D13" s="249">
        <f t="shared" ref="D13:AA13" si="10">SUM(D5:D12)</f>
        <v>5957500</v>
      </c>
      <c r="E13" s="249">
        <f t="shared" si="10"/>
        <v>5191500</v>
      </c>
      <c r="F13" s="249">
        <f t="shared" si="10"/>
        <v>766000</v>
      </c>
      <c r="G13" s="249">
        <f t="shared" si="10"/>
        <v>4611500</v>
      </c>
      <c r="H13" s="249">
        <f t="shared" si="10"/>
        <v>4144420</v>
      </c>
      <c r="I13" s="249">
        <f t="shared" si="10"/>
        <v>0</v>
      </c>
      <c r="J13" s="249">
        <f t="shared" si="10"/>
        <v>14144</v>
      </c>
      <c r="K13" s="249">
        <f t="shared" si="10"/>
        <v>14144</v>
      </c>
      <c r="L13" s="249">
        <f t="shared" si="10"/>
        <v>4158564</v>
      </c>
      <c r="M13" s="249">
        <f t="shared" si="10"/>
        <v>6936</v>
      </c>
      <c r="N13" s="249">
        <f t="shared" si="10"/>
        <v>1274000</v>
      </c>
      <c r="O13" s="249">
        <f t="shared" si="10"/>
        <v>518000</v>
      </c>
      <c r="P13" s="249">
        <f t="shared" si="10"/>
        <v>452936</v>
      </c>
      <c r="Q13" s="249">
        <f t="shared" si="10"/>
        <v>222000</v>
      </c>
      <c r="R13" s="249">
        <f t="shared" si="10"/>
        <v>0</v>
      </c>
      <c r="S13" s="249">
        <f t="shared" si="10"/>
        <v>222000</v>
      </c>
      <c r="T13" s="249">
        <f t="shared" si="10"/>
        <v>668000</v>
      </c>
      <c r="U13" s="249">
        <f t="shared" si="10"/>
        <v>606000</v>
      </c>
      <c r="V13" s="249">
        <f t="shared" si="10"/>
        <v>-99000</v>
      </c>
      <c r="W13" s="249">
        <f t="shared" si="10"/>
        <v>109967</v>
      </c>
      <c r="X13" s="249">
        <f t="shared" si="10"/>
        <v>0</v>
      </c>
      <c r="Y13" s="249">
        <f t="shared" si="10"/>
        <v>0</v>
      </c>
      <c r="Z13" s="249">
        <f t="shared" si="10"/>
        <v>0</v>
      </c>
      <c r="AA13" s="249">
        <f t="shared" si="10"/>
        <v>595033</v>
      </c>
      <c r="AB13" s="454"/>
      <c r="AC13" s="454"/>
      <c r="AD13" s="562"/>
      <c r="AE13" s="562"/>
      <c r="AF13" s="562"/>
      <c r="AG13" s="465"/>
      <c r="AH13" s="465"/>
      <c r="AI13" s="465"/>
      <c r="AJ13" s="465"/>
      <c r="AK13" s="465"/>
      <c r="AL13" s="472"/>
      <c r="AM13" s="472"/>
      <c r="AN13" s="472"/>
      <c r="AO13" s="472"/>
      <c r="AP13" s="472"/>
      <c r="AQ13" s="472"/>
      <c r="AR13" s="472"/>
      <c r="AS13" s="472"/>
      <c r="AT13" s="472"/>
      <c r="AU13" s="472"/>
      <c r="AV13" s="472"/>
      <c r="AW13" s="359"/>
      <c r="AX13" s="359"/>
      <c r="AY13" s="359"/>
      <c r="AZ13" s="359"/>
      <c r="BA13" s="359"/>
      <c r="BB13" s="359"/>
      <c r="BC13" s="359"/>
      <c r="BD13" s="359"/>
      <c r="BE13" s="359"/>
    </row>
    <row r="14" spans="1:57" s="473" customFormat="1" ht="25.2" hidden="1" customHeight="1">
      <c r="A14" s="428"/>
      <c r="B14" s="561"/>
      <c r="C14" s="427"/>
      <c r="D14" s="559">
        <f>SUM(L13:O13)</f>
        <v>5957500</v>
      </c>
      <c r="E14" s="559"/>
      <c r="F14" s="559">
        <f>SUM(E13:F13)</f>
        <v>5957500</v>
      </c>
      <c r="G14" s="559"/>
      <c r="H14" s="559"/>
      <c r="I14" s="559"/>
      <c r="J14" s="559"/>
      <c r="K14" s="559"/>
      <c r="L14" s="450">
        <f>H13+I13+J13</f>
        <v>4158564</v>
      </c>
      <c r="M14" s="559"/>
      <c r="N14" s="559"/>
      <c r="O14" s="559"/>
      <c r="P14" s="450">
        <f>G13-L14</f>
        <v>452936</v>
      </c>
      <c r="Q14" s="559"/>
      <c r="R14" s="559"/>
      <c r="S14" s="559"/>
      <c r="T14" s="450">
        <f>P14+S13-M13</f>
        <v>668000</v>
      </c>
      <c r="U14" s="450">
        <f>N13-T13</f>
        <v>606000</v>
      </c>
      <c r="V14" s="428"/>
      <c r="W14" s="428"/>
      <c r="X14" s="428"/>
      <c r="Y14" s="428"/>
      <c r="Z14" s="428"/>
      <c r="AA14" s="428"/>
      <c r="AB14" s="561"/>
      <c r="AC14" s="561"/>
      <c r="AD14" s="562"/>
      <c r="AE14" s="562"/>
      <c r="AF14" s="562"/>
      <c r="AG14" s="465"/>
      <c r="AH14" s="465"/>
      <c r="AI14" s="465"/>
      <c r="AJ14" s="465"/>
      <c r="AK14" s="465"/>
      <c r="AL14" s="472"/>
      <c r="AM14" s="472"/>
      <c r="AN14" s="472"/>
      <c r="AO14" s="472"/>
      <c r="AP14" s="472"/>
      <c r="AQ14" s="472"/>
      <c r="AR14" s="472"/>
      <c r="AS14" s="472"/>
      <c r="AT14" s="472"/>
      <c r="AU14" s="472"/>
      <c r="AV14" s="472"/>
      <c r="AW14" s="359"/>
      <c r="AX14" s="359"/>
      <c r="AY14" s="359"/>
      <c r="AZ14" s="359"/>
      <c r="BA14" s="359"/>
      <c r="BB14" s="359"/>
      <c r="BC14" s="359"/>
      <c r="BD14" s="359"/>
      <c r="BE14" s="359"/>
    </row>
    <row r="15" spans="1:57" s="473" customFormat="1" ht="25.2" hidden="1" customHeight="1">
      <c r="A15" s="428"/>
      <c r="B15" s="561"/>
      <c r="C15" s="427"/>
      <c r="D15" s="450">
        <f>D13-D14</f>
        <v>0</v>
      </c>
      <c r="E15" s="559"/>
      <c r="F15" s="559"/>
      <c r="G15" s="559"/>
      <c r="H15" s="559"/>
      <c r="I15" s="559"/>
      <c r="J15" s="559"/>
      <c r="K15" s="559"/>
      <c r="L15" s="450"/>
      <c r="M15" s="559"/>
      <c r="N15" s="559"/>
      <c r="O15" s="559"/>
      <c r="P15" s="450"/>
      <c r="Q15" s="559"/>
      <c r="R15" s="559"/>
      <c r="S15" s="559"/>
      <c r="T15" s="450"/>
      <c r="U15" s="428"/>
      <c r="V15" s="428"/>
      <c r="W15" s="428"/>
      <c r="X15" s="428"/>
      <c r="Y15" s="428"/>
      <c r="Z15" s="428"/>
      <c r="AA15" s="428"/>
      <c r="AB15" s="561"/>
      <c r="AC15" s="561"/>
      <c r="AD15" s="562"/>
      <c r="AE15" s="562"/>
      <c r="AF15" s="562"/>
      <c r="AG15" s="465"/>
      <c r="AH15" s="465"/>
      <c r="AI15" s="465"/>
      <c r="AJ15" s="465"/>
      <c r="AK15" s="465"/>
      <c r="AL15" s="472"/>
      <c r="AM15" s="472"/>
      <c r="AN15" s="472"/>
      <c r="AO15" s="472"/>
      <c r="AP15" s="472"/>
      <c r="AQ15" s="472"/>
      <c r="AR15" s="472"/>
      <c r="AS15" s="472"/>
      <c r="AT15" s="472"/>
      <c r="AU15" s="472"/>
      <c r="AV15" s="472"/>
      <c r="AW15" s="359"/>
      <c r="AX15" s="359"/>
      <c r="AY15" s="359"/>
      <c r="AZ15" s="359"/>
      <c r="BA15" s="359"/>
      <c r="BB15" s="359"/>
      <c r="BC15" s="359"/>
      <c r="BD15" s="359"/>
      <c r="BE15" s="359"/>
    </row>
    <row r="128" spans="1:1">
      <c r="A128" s="464">
        <f>COUNT(A5:A127)</f>
        <v>9</v>
      </c>
    </row>
    <row r="131" spans="1:1">
      <c r="A131" s="464">
        <f>A128+1</f>
        <v>10</v>
      </c>
    </row>
    <row r="134" spans="1:1" ht="37.950000000000003" customHeight="1"/>
    <row r="137" spans="1:1" ht="70.95" customHeight="1"/>
    <row r="140" spans="1:1" ht="72" customHeight="1"/>
    <row r="142" spans="1:1" ht="43.95" customHeight="1"/>
    <row r="144" spans="1:1" ht="30" customHeight="1"/>
  </sheetData>
  <sheetProtection formatCells="0" formatColumns="0" formatRows="0" insertColumns="0" insertRows="0" insertHyperlinks="0" deleteColumns="0" deleteRows="0" sort="0" autoFilter="0" pivotTables="0"/>
  <mergeCells count="1">
    <mergeCell ref="A1:W1"/>
  </mergeCells>
  <conditionalFormatting sqref="AB4">
    <cfRule type="cellIs" dxfId="109" priority="6" operator="equal">
      <formula>0</formula>
    </cfRule>
  </conditionalFormatting>
  <conditionalFormatting sqref="AD4">
    <cfRule type="cellIs" dxfId="108" priority="5" operator="equal">
      <formula>0</formula>
    </cfRule>
  </conditionalFormatting>
  <conditionalFormatting sqref="AE4">
    <cfRule type="cellIs" dxfId="107" priority="3" operator="equal">
      <formula>0</formula>
    </cfRule>
  </conditionalFormatting>
  <conditionalFormatting sqref="AG4">
    <cfRule type="cellIs" dxfId="106" priority="2" operator="equal">
      <formula>0</formula>
    </cfRule>
  </conditionalFormatting>
  <conditionalFormatting sqref="AF4">
    <cfRule type="cellIs" dxfId="105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151"/>
  <sheetViews>
    <sheetView showZeros="0" rightToLeft="1" zoomScaleNormal="100" workbookViewId="0">
      <pane xSplit="3" ySplit="4" topLeftCell="D11" activePane="bottomRight" state="frozen"/>
      <selection activeCell="S45" sqref="S45"/>
      <selection pane="topRight" activeCell="S45" sqref="S45"/>
      <selection pane="bottomLeft" activeCell="S45" sqref="S45"/>
      <selection pane="bottomRight" activeCell="D19" sqref="D19:AA20"/>
    </sheetView>
  </sheetViews>
  <sheetFormatPr defaultColWidth="9.109375" defaultRowHeight="13.8"/>
  <cols>
    <col min="1" max="1" width="3.6640625" style="464" customWidth="1"/>
    <col min="2" max="2" width="5.6640625" style="465" customWidth="1"/>
    <col min="3" max="3" width="20.88671875" style="465" customWidth="1"/>
    <col min="4" max="4" width="8.6640625" style="467" customWidth="1"/>
    <col min="5" max="8" width="11.109375" style="467" hidden="1" customWidth="1"/>
    <col min="9" max="9" width="7.5546875" style="467" hidden="1" customWidth="1"/>
    <col min="10" max="11" width="9.109375" style="467" hidden="1" customWidth="1"/>
    <col min="12" max="12" width="9.5546875" style="467" customWidth="1"/>
    <col min="13" max="13" width="7.88671875" style="467" customWidth="1"/>
    <col min="14" max="14" width="8.5546875" style="467" customWidth="1"/>
    <col min="15" max="15" width="6.6640625" style="467" customWidth="1"/>
    <col min="16" max="16" width="10.109375" style="467" hidden="1" customWidth="1"/>
    <col min="17" max="18" width="13.5546875" style="467" hidden="1" customWidth="1"/>
    <col min="19" max="19" width="8.44140625" style="467" hidden="1" customWidth="1"/>
    <col min="20" max="20" width="7.33203125" style="467" customWidth="1"/>
    <col min="21" max="21" width="7.33203125" style="465" customWidth="1"/>
    <col min="22" max="22" width="8" style="465" customWidth="1"/>
    <col min="23" max="23" width="7.5546875" style="465" customWidth="1"/>
    <col min="24" max="24" width="6.44140625" style="465" hidden="1" customWidth="1"/>
    <col min="25" max="25" width="7.44140625" style="465" hidden="1" customWidth="1"/>
    <col min="26" max="26" width="7.88671875" style="465" hidden="1" customWidth="1"/>
    <col min="27" max="27" width="7.33203125" style="465" customWidth="1"/>
    <col min="28" max="28" width="38.44140625" style="468" customWidth="1"/>
    <col min="29" max="29" width="7" style="465" customWidth="1"/>
    <col min="30" max="30" width="25.44140625" style="562" customWidth="1"/>
    <col min="31" max="31" width="21.33203125" style="562" customWidth="1"/>
    <col min="32" max="32" width="16.109375" style="562" customWidth="1"/>
    <col min="33" max="33" width="25.44140625" style="465" customWidth="1"/>
    <col min="34" max="34" width="24.6640625" style="465" customWidth="1"/>
    <col min="35" max="35" width="7" style="465" customWidth="1"/>
    <col min="36" max="36" width="24.6640625" style="465" customWidth="1"/>
    <col min="37" max="37" width="36.6640625" style="465" customWidth="1"/>
    <col min="38" max="48" width="10.6640625" style="465" customWidth="1"/>
    <col min="49" max="16384" width="9.109375" style="465"/>
  </cols>
  <sheetData>
    <row r="1" spans="1:57" s="542" customFormat="1" ht="18">
      <c r="A1" s="897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541"/>
      <c r="Y1" s="541"/>
      <c r="Z1" s="541"/>
      <c r="AB1" s="543"/>
      <c r="AD1" s="562"/>
      <c r="AE1" s="562"/>
      <c r="AF1" s="562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</row>
    <row r="2" spans="1:57" ht="18">
      <c r="A2" s="544" t="s">
        <v>77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57">
      <c r="V3" s="895" t="s">
        <v>79</v>
      </c>
      <c r="W3" s="895"/>
      <c r="X3" s="895"/>
      <c r="Y3" s="895"/>
      <c r="Z3" s="895"/>
      <c r="AA3" s="895"/>
    </row>
    <row r="4" spans="1:57" s="547" customFormat="1" ht="69">
      <c r="A4" s="545" t="s">
        <v>0</v>
      </c>
      <c r="B4" s="545" t="s">
        <v>1</v>
      </c>
      <c r="C4" s="545" t="s">
        <v>2</v>
      </c>
      <c r="D4" s="545" t="s">
        <v>3</v>
      </c>
      <c r="E4" s="545" t="s">
        <v>4</v>
      </c>
      <c r="F4" s="545" t="s">
        <v>5</v>
      </c>
      <c r="G4" s="545" t="s">
        <v>6</v>
      </c>
      <c r="H4" s="545" t="s">
        <v>7</v>
      </c>
      <c r="I4" s="545" t="s">
        <v>9</v>
      </c>
      <c r="J4" s="545" t="s">
        <v>125</v>
      </c>
      <c r="K4" s="545" t="s">
        <v>10</v>
      </c>
      <c r="L4" s="545" t="s">
        <v>11</v>
      </c>
      <c r="M4" s="545" t="s">
        <v>917</v>
      </c>
      <c r="N4" s="545" t="s">
        <v>918</v>
      </c>
      <c r="O4" s="421" t="s">
        <v>919</v>
      </c>
      <c r="P4" s="421" t="s">
        <v>12</v>
      </c>
      <c r="Q4" s="421" t="s">
        <v>920</v>
      </c>
      <c r="R4" s="421" t="s">
        <v>921</v>
      </c>
      <c r="S4" s="421" t="s">
        <v>922</v>
      </c>
      <c r="T4" s="421" t="s">
        <v>923</v>
      </c>
      <c r="U4" s="421" t="s">
        <v>924</v>
      </c>
      <c r="V4" s="545" t="s">
        <v>13</v>
      </c>
      <c r="W4" s="545" t="s">
        <v>14</v>
      </c>
      <c r="X4" s="545" t="s">
        <v>15</v>
      </c>
      <c r="Y4" s="545" t="s">
        <v>214</v>
      </c>
      <c r="Z4" s="545" t="s">
        <v>502</v>
      </c>
      <c r="AA4" s="545" t="s">
        <v>75</v>
      </c>
      <c r="AB4" s="558" t="s">
        <v>242</v>
      </c>
      <c r="AC4" s="545" t="s">
        <v>16</v>
      </c>
      <c r="AD4" s="562"/>
      <c r="AE4" s="562"/>
      <c r="AF4" s="562"/>
      <c r="AG4" s="465"/>
      <c r="AH4" s="465"/>
      <c r="AI4" s="465"/>
      <c r="AJ4" s="465"/>
      <c r="AK4" s="465"/>
      <c r="AL4" s="465"/>
      <c r="AM4" s="465"/>
      <c r="AN4" s="465"/>
      <c r="AO4" s="465"/>
      <c r="AP4" s="465"/>
      <c r="AQ4" s="465"/>
      <c r="AR4" s="465"/>
      <c r="AS4" s="465"/>
      <c r="AT4" s="465"/>
      <c r="AU4" s="465"/>
      <c r="AV4" s="465"/>
    </row>
    <row r="5" spans="1:57" s="491" customFormat="1" ht="63" customHeight="1">
      <c r="A5" s="552"/>
      <c r="B5" s="552"/>
      <c r="C5" s="553" t="s">
        <v>77</v>
      </c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4"/>
      <c r="S5" s="554"/>
      <c r="T5" s="554"/>
      <c r="U5" s="552"/>
      <c r="V5" s="552"/>
      <c r="W5" s="552"/>
      <c r="X5" s="552"/>
      <c r="Y5" s="552"/>
      <c r="Z5" s="552"/>
      <c r="AA5" s="552"/>
      <c r="AB5" s="469"/>
      <c r="AC5" s="552"/>
      <c r="AD5" s="562"/>
      <c r="AE5" s="562"/>
      <c r="AF5" s="562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  <c r="AU5" s="465"/>
      <c r="AV5" s="465"/>
    </row>
    <row r="6" spans="1:57" s="491" customFormat="1" ht="30.6" customHeight="1">
      <c r="A6" s="552"/>
      <c r="B6" s="552"/>
      <c r="C6" s="553">
        <v>74</v>
      </c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4"/>
      <c r="R6" s="554"/>
      <c r="S6" s="554"/>
      <c r="T6" s="554"/>
      <c r="U6" s="552"/>
      <c r="V6" s="552"/>
      <c r="W6" s="552"/>
      <c r="X6" s="552"/>
      <c r="Y6" s="552"/>
      <c r="Z6" s="552"/>
      <c r="AA6" s="552"/>
      <c r="AB6" s="469"/>
      <c r="AC6" s="552"/>
      <c r="AD6" s="562"/>
      <c r="AE6" s="562"/>
      <c r="AF6" s="562"/>
      <c r="AG6" s="465"/>
      <c r="AH6" s="465"/>
      <c r="AI6" s="465"/>
      <c r="AJ6" s="465"/>
      <c r="AK6" s="465"/>
      <c r="AL6" s="465"/>
      <c r="AM6" s="465"/>
      <c r="AN6" s="465"/>
      <c r="AO6" s="465"/>
      <c r="AP6" s="465"/>
      <c r="AQ6" s="465"/>
      <c r="AR6" s="465"/>
      <c r="AS6" s="465"/>
      <c r="AT6" s="465"/>
      <c r="AU6" s="465"/>
      <c r="AV6" s="465"/>
    </row>
    <row r="7" spans="1:57" s="157" customFormat="1" ht="55.2">
      <c r="A7" s="448">
        <v>1</v>
      </c>
      <c r="B7" s="448">
        <v>1134</v>
      </c>
      <c r="C7" s="135" t="s">
        <v>53</v>
      </c>
      <c r="D7" s="120">
        <f>2905000+200000</f>
        <v>3105000</v>
      </c>
      <c r="E7" s="120">
        <v>2905000</v>
      </c>
      <c r="F7" s="120">
        <f>D7-E7</f>
        <v>200000</v>
      </c>
      <c r="G7" s="120">
        <v>2755000</v>
      </c>
      <c r="H7" s="120">
        <v>2641458</v>
      </c>
      <c r="I7" s="120"/>
      <c r="J7" s="120">
        <v>14144</v>
      </c>
      <c r="K7" s="120">
        <f>I7+J7</f>
        <v>14144</v>
      </c>
      <c r="L7" s="120">
        <f>H7+K7</f>
        <v>2655602</v>
      </c>
      <c r="M7" s="120">
        <f>P7+S7-199000</f>
        <v>398</v>
      </c>
      <c r="N7" s="120">
        <f>150000-50000</f>
        <v>100000</v>
      </c>
      <c r="O7" s="120">
        <f>D7-L7-M7-N7</f>
        <v>349000</v>
      </c>
      <c r="P7" s="120">
        <f>G7-L7</f>
        <v>99398</v>
      </c>
      <c r="Q7" s="120">
        <v>100000</v>
      </c>
      <c r="R7" s="120"/>
      <c r="S7" s="120">
        <f>SUM(Q7:R7)</f>
        <v>100000</v>
      </c>
      <c r="T7" s="120">
        <f>P7-M7+S7</f>
        <v>199000</v>
      </c>
      <c r="U7" s="120">
        <f>N7-T7</f>
        <v>-99000</v>
      </c>
      <c r="V7" s="120">
        <f>U7-W7-Z7-AA7</f>
        <v>-99000</v>
      </c>
      <c r="W7" s="120"/>
      <c r="X7" s="120"/>
      <c r="Y7" s="120"/>
      <c r="Z7" s="120"/>
      <c r="AA7" s="120"/>
      <c r="AB7" s="448" t="s">
        <v>905</v>
      </c>
      <c r="AC7" s="448">
        <v>746000</v>
      </c>
      <c r="AD7" s="562"/>
      <c r="AE7" s="562"/>
      <c r="AF7" s="562"/>
      <c r="AG7" s="465"/>
      <c r="AH7" s="465"/>
      <c r="AI7" s="465"/>
      <c r="AJ7" s="465"/>
      <c r="AK7" s="465"/>
      <c r="AL7" s="465"/>
      <c r="AM7" s="465"/>
      <c r="AN7" s="465"/>
      <c r="AO7" s="465"/>
      <c r="AP7" s="465"/>
      <c r="AQ7" s="465"/>
      <c r="AR7" s="465"/>
      <c r="AS7" s="465"/>
      <c r="AT7" s="465"/>
      <c r="AU7" s="465"/>
      <c r="AV7" s="465"/>
      <c r="AW7" s="318"/>
      <c r="AX7" s="318"/>
      <c r="AY7" s="318"/>
    </row>
    <row r="8" spans="1:57" s="157" customFormat="1" ht="41.4">
      <c r="A8" s="448">
        <f>1+A7</f>
        <v>2</v>
      </c>
      <c r="B8" s="455">
        <v>2168</v>
      </c>
      <c r="C8" s="135" t="s">
        <v>401</v>
      </c>
      <c r="D8" s="120">
        <f>100000+60000-60000</f>
        <v>100000</v>
      </c>
      <c r="E8" s="120">
        <v>100000</v>
      </c>
      <c r="F8" s="120">
        <f>D8-E8</f>
        <v>0</v>
      </c>
      <c r="G8" s="120">
        <v>100000</v>
      </c>
      <c r="H8" s="120">
        <v>10000</v>
      </c>
      <c r="I8" s="120"/>
      <c r="J8" s="120"/>
      <c r="K8" s="120">
        <f>I8+J8</f>
        <v>0</v>
      </c>
      <c r="L8" s="120">
        <f>H8+K8</f>
        <v>10000</v>
      </c>
      <c r="M8" s="120">
        <f>P8+S8-90000</f>
        <v>0</v>
      </c>
      <c r="N8" s="120">
        <f>150000-60000</f>
        <v>90000</v>
      </c>
      <c r="O8" s="120">
        <f>D8-L8-M8-N8</f>
        <v>0</v>
      </c>
      <c r="P8" s="120">
        <f>G8-L8</f>
        <v>90000</v>
      </c>
      <c r="Q8" s="120"/>
      <c r="R8" s="120"/>
      <c r="S8" s="120">
        <f>SUM(Q8:R8)</f>
        <v>0</v>
      </c>
      <c r="T8" s="120">
        <f>P8-M8+S8</f>
        <v>90000</v>
      </c>
      <c r="U8" s="120">
        <f>N8-T8</f>
        <v>0</v>
      </c>
      <c r="V8" s="120">
        <f>U8-W8-Z8-AA8</f>
        <v>0</v>
      </c>
      <c r="W8" s="120"/>
      <c r="X8" s="120"/>
      <c r="Y8" s="120"/>
      <c r="Z8" s="120"/>
      <c r="AA8" s="120"/>
      <c r="AB8" s="448" t="s">
        <v>766</v>
      </c>
      <c r="AC8" s="448">
        <v>746000</v>
      </c>
      <c r="AD8" s="562"/>
      <c r="AE8" s="562"/>
      <c r="AF8" s="562"/>
      <c r="AG8" s="465"/>
      <c r="AH8" s="465"/>
      <c r="AI8" s="465"/>
      <c r="AJ8" s="465"/>
      <c r="AK8" s="465"/>
      <c r="AL8" s="465"/>
      <c r="AM8" s="465"/>
      <c r="AN8" s="465"/>
      <c r="AO8" s="465"/>
      <c r="AP8" s="465"/>
      <c r="AQ8" s="465"/>
      <c r="AR8" s="465"/>
      <c r="AS8" s="465"/>
      <c r="AT8" s="465"/>
      <c r="AU8" s="465"/>
      <c r="AV8" s="465"/>
      <c r="AW8" s="555"/>
      <c r="AX8" s="555"/>
      <c r="AY8" s="555"/>
      <c r="AZ8" s="556"/>
      <c r="BA8" s="556"/>
      <c r="BB8" s="556"/>
      <c r="BC8" s="556"/>
      <c r="BD8" s="556"/>
      <c r="BE8" s="556"/>
    </row>
    <row r="9" spans="1:57" s="303" customFormat="1">
      <c r="A9" s="512"/>
      <c r="B9" s="454"/>
      <c r="C9" s="137" t="s">
        <v>1558</v>
      </c>
      <c r="D9" s="138">
        <f>SUM(D7:D8)</f>
        <v>3205000</v>
      </c>
      <c r="E9" s="138">
        <f t="shared" ref="E9:AA9" si="0">SUM(E7:E8)</f>
        <v>3005000</v>
      </c>
      <c r="F9" s="138">
        <f t="shared" si="0"/>
        <v>200000</v>
      </c>
      <c r="G9" s="138">
        <f t="shared" si="0"/>
        <v>2855000</v>
      </c>
      <c r="H9" s="138">
        <f t="shared" si="0"/>
        <v>2651458</v>
      </c>
      <c r="I9" s="138">
        <f t="shared" si="0"/>
        <v>0</v>
      </c>
      <c r="J9" s="138">
        <f t="shared" si="0"/>
        <v>14144</v>
      </c>
      <c r="K9" s="138">
        <f t="shared" si="0"/>
        <v>14144</v>
      </c>
      <c r="L9" s="138">
        <f t="shared" si="0"/>
        <v>2665602</v>
      </c>
      <c r="M9" s="138">
        <f t="shared" si="0"/>
        <v>398</v>
      </c>
      <c r="N9" s="138">
        <f t="shared" si="0"/>
        <v>190000</v>
      </c>
      <c r="O9" s="138">
        <f t="shared" si="0"/>
        <v>349000</v>
      </c>
      <c r="P9" s="138">
        <f t="shared" si="0"/>
        <v>189398</v>
      </c>
      <c r="Q9" s="138">
        <f t="shared" si="0"/>
        <v>100000</v>
      </c>
      <c r="R9" s="138">
        <f t="shared" si="0"/>
        <v>0</v>
      </c>
      <c r="S9" s="138">
        <f t="shared" si="0"/>
        <v>100000</v>
      </c>
      <c r="T9" s="138">
        <f t="shared" si="0"/>
        <v>289000</v>
      </c>
      <c r="U9" s="138">
        <f t="shared" si="0"/>
        <v>-99000</v>
      </c>
      <c r="V9" s="138">
        <f t="shared" si="0"/>
        <v>-99000</v>
      </c>
      <c r="W9" s="138">
        <f t="shared" si="0"/>
        <v>0</v>
      </c>
      <c r="X9" s="138">
        <f t="shared" si="0"/>
        <v>0</v>
      </c>
      <c r="Y9" s="138">
        <f t="shared" si="0"/>
        <v>0</v>
      </c>
      <c r="Z9" s="138">
        <f t="shared" si="0"/>
        <v>0</v>
      </c>
      <c r="AA9" s="138">
        <f t="shared" si="0"/>
        <v>0</v>
      </c>
      <c r="AB9" s="512"/>
      <c r="AC9" s="512"/>
      <c r="AD9" s="562"/>
      <c r="AE9" s="562"/>
      <c r="AF9" s="562"/>
      <c r="AG9" s="514"/>
      <c r="AH9" s="514"/>
      <c r="AI9" s="514"/>
      <c r="AJ9" s="514"/>
      <c r="AK9" s="514"/>
      <c r="AL9" s="514"/>
      <c r="AM9" s="514"/>
      <c r="AN9" s="514"/>
      <c r="AO9" s="514"/>
      <c r="AP9" s="514"/>
      <c r="AQ9" s="514"/>
      <c r="AR9" s="514"/>
      <c r="AS9" s="514"/>
      <c r="AT9" s="514"/>
      <c r="AU9" s="514"/>
      <c r="AV9" s="514"/>
      <c r="AW9" s="837"/>
      <c r="AX9" s="837"/>
      <c r="AY9" s="837"/>
      <c r="AZ9" s="838"/>
      <c r="BA9" s="838"/>
      <c r="BB9" s="838"/>
      <c r="BC9" s="838"/>
      <c r="BD9" s="838"/>
      <c r="BE9" s="838"/>
    </row>
    <row r="10" spans="1:57" s="157" customFormat="1">
      <c r="A10" s="448"/>
      <c r="B10" s="455"/>
      <c r="C10" s="219">
        <v>81</v>
      </c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448"/>
      <c r="AC10" s="448"/>
      <c r="AD10" s="562"/>
      <c r="AE10" s="562"/>
      <c r="AF10" s="562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5"/>
      <c r="AT10" s="465"/>
      <c r="AU10" s="465"/>
      <c r="AV10" s="465"/>
      <c r="AW10" s="555"/>
      <c r="AX10" s="555"/>
      <c r="AY10" s="555"/>
      <c r="AZ10" s="556"/>
      <c r="BA10" s="556"/>
      <c r="BB10" s="556"/>
      <c r="BC10" s="556"/>
      <c r="BD10" s="556"/>
      <c r="BE10" s="556"/>
    </row>
    <row r="11" spans="1:57" s="157" customFormat="1" ht="27.6">
      <c r="A11" s="448">
        <f>1+A8</f>
        <v>3</v>
      </c>
      <c r="B11" s="448">
        <v>1817</v>
      </c>
      <c r="C11" s="135" t="s">
        <v>95</v>
      </c>
      <c r="D11" s="120">
        <v>940000</v>
      </c>
      <c r="E11" s="120">
        <v>940000</v>
      </c>
      <c r="F11" s="120">
        <f>D11-E11</f>
        <v>0</v>
      </c>
      <c r="G11" s="120">
        <v>840000</v>
      </c>
      <c r="H11" s="120">
        <v>798502</v>
      </c>
      <c r="I11" s="120"/>
      <c r="J11" s="120"/>
      <c r="K11" s="120">
        <f>I11+J11</f>
        <v>0</v>
      </c>
      <c r="L11" s="120">
        <f>H11+K11</f>
        <v>798502</v>
      </c>
      <c r="M11" s="120">
        <f>P11+S11-38000-2000</f>
        <v>1498</v>
      </c>
      <c r="N11" s="120">
        <f>100000+38000+2000</f>
        <v>140000</v>
      </c>
      <c r="O11" s="120">
        <f>D11-L11-M11-N11</f>
        <v>0</v>
      </c>
      <c r="P11" s="120">
        <f>G11-L11</f>
        <v>41498</v>
      </c>
      <c r="Q11" s="120"/>
      <c r="R11" s="120"/>
      <c r="S11" s="120">
        <f>SUM(Q11:R11)</f>
        <v>0</v>
      </c>
      <c r="T11" s="120">
        <f>P11-M11+S11</f>
        <v>40000</v>
      </c>
      <c r="U11" s="120">
        <f>N11-T11</f>
        <v>100000</v>
      </c>
      <c r="V11" s="120">
        <f>U11-W11-Z11-AA11</f>
        <v>0</v>
      </c>
      <c r="W11" s="120"/>
      <c r="X11" s="120"/>
      <c r="Y11" s="120"/>
      <c r="Z11" s="120"/>
      <c r="AA11" s="120">
        <v>100000</v>
      </c>
      <c r="AB11" s="448" t="s">
        <v>517</v>
      </c>
      <c r="AC11" s="448">
        <v>810000</v>
      </c>
      <c r="AD11" s="562"/>
      <c r="AE11" s="562"/>
      <c r="AF11" s="562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318"/>
      <c r="AX11" s="318"/>
      <c r="AY11" s="318"/>
    </row>
    <row r="12" spans="1:57" s="303" customFormat="1">
      <c r="A12" s="512"/>
      <c r="B12" s="512"/>
      <c r="C12" s="137" t="s">
        <v>1562</v>
      </c>
      <c r="D12" s="138">
        <f>SUM(D11)</f>
        <v>940000</v>
      </c>
      <c r="E12" s="138">
        <f t="shared" ref="E12:AA12" si="1">SUM(E11)</f>
        <v>940000</v>
      </c>
      <c r="F12" s="138">
        <f t="shared" si="1"/>
        <v>0</v>
      </c>
      <c r="G12" s="138">
        <f t="shared" si="1"/>
        <v>840000</v>
      </c>
      <c r="H12" s="138">
        <f t="shared" si="1"/>
        <v>798502</v>
      </c>
      <c r="I12" s="138">
        <f t="shared" si="1"/>
        <v>0</v>
      </c>
      <c r="J12" s="138">
        <f t="shared" si="1"/>
        <v>0</v>
      </c>
      <c r="K12" s="138">
        <f t="shared" si="1"/>
        <v>0</v>
      </c>
      <c r="L12" s="138">
        <f t="shared" si="1"/>
        <v>798502</v>
      </c>
      <c r="M12" s="138">
        <f t="shared" si="1"/>
        <v>1498</v>
      </c>
      <c r="N12" s="138">
        <f t="shared" si="1"/>
        <v>140000</v>
      </c>
      <c r="O12" s="138">
        <f t="shared" si="1"/>
        <v>0</v>
      </c>
      <c r="P12" s="138">
        <f t="shared" si="1"/>
        <v>41498</v>
      </c>
      <c r="Q12" s="138">
        <f t="shared" si="1"/>
        <v>0</v>
      </c>
      <c r="R12" s="138">
        <f t="shared" si="1"/>
        <v>0</v>
      </c>
      <c r="S12" s="138">
        <f t="shared" si="1"/>
        <v>0</v>
      </c>
      <c r="T12" s="138">
        <f t="shared" si="1"/>
        <v>40000</v>
      </c>
      <c r="U12" s="138">
        <f t="shared" si="1"/>
        <v>100000</v>
      </c>
      <c r="V12" s="138">
        <f t="shared" si="1"/>
        <v>0</v>
      </c>
      <c r="W12" s="138">
        <f t="shared" si="1"/>
        <v>0</v>
      </c>
      <c r="X12" s="138">
        <f t="shared" si="1"/>
        <v>0</v>
      </c>
      <c r="Y12" s="138">
        <f t="shared" si="1"/>
        <v>0</v>
      </c>
      <c r="Z12" s="138">
        <f t="shared" si="1"/>
        <v>0</v>
      </c>
      <c r="AA12" s="138">
        <f t="shared" si="1"/>
        <v>100000</v>
      </c>
      <c r="AB12" s="512"/>
      <c r="AC12" s="512"/>
      <c r="AD12" s="562"/>
      <c r="AE12" s="562"/>
      <c r="AF12" s="562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415"/>
      <c r="AX12" s="415"/>
      <c r="AY12" s="415"/>
    </row>
    <row r="13" spans="1:57" s="303" customFormat="1">
      <c r="A13" s="512"/>
      <c r="B13" s="512"/>
      <c r="C13" s="137">
        <v>87</v>
      </c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512"/>
      <c r="AC13" s="512"/>
      <c r="AD13" s="562"/>
      <c r="AE13" s="562"/>
      <c r="AF13" s="562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415"/>
      <c r="AX13" s="415"/>
      <c r="AY13" s="415"/>
    </row>
    <row r="14" spans="1:57" s="157" customFormat="1" ht="27.6">
      <c r="A14" s="448">
        <f>1+A11</f>
        <v>4</v>
      </c>
      <c r="B14" s="448">
        <v>1598</v>
      </c>
      <c r="C14" s="135" t="s">
        <v>54</v>
      </c>
      <c r="D14" s="120">
        <f>716500-28000</f>
        <v>688500</v>
      </c>
      <c r="E14" s="120">
        <v>716500</v>
      </c>
      <c r="F14" s="120">
        <f>D14-E14</f>
        <v>-28000</v>
      </c>
      <c r="G14" s="120">
        <v>616500</v>
      </c>
      <c r="H14" s="120">
        <v>596016</v>
      </c>
      <c r="I14" s="120"/>
      <c r="J14" s="120"/>
      <c r="K14" s="120">
        <f>I14+J14</f>
        <v>0</v>
      </c>
      <c r="L14" s="120">
        <f>H14+K14</f>
        <v>596016</v>
      </c>
      <c r="M14" s="120">
        <f>P14+S14-90000</f>
        <v>2484</v>
      </c>
      <c r="N14" s="120">
        <v>90000</v>
      </c>
      <c r="O14" s="120">
        <f>D14-L14-M14-N14</f>
        <v>0</v>
      </c>
      <c r="P14" s="120">
        <f>G14-L14</f>
        <v>20484</v>
      </c>
      <c r="Q14" s="120">
        <v>72000</v>
      </c>
      <c r="R14" s="120"/>
      <c r="S14" s="120">
        <f>SUM(Q14:R14)</f>
        <v>72000</v>
      </c>
      <c r="T14" s="120">
        <f>P14-M14+S14</f>
        <v>90000</v>
      </c>
      <c r="U14" s="120">
        <f>N14-T14</f>
        <v>0</v>
      </c>
      <c r="V14" s="120">
        <f>U14-W14-Z14-AA14</f>
        <v>0</v>
      </c>
      <c r="W14" s="120">
        <v>27881</v>
      </c>
      <c r="X14" s="120"/>
      <c r="Y14" s="120"/>
      <c r="Z14" s="120"/>
      <c r="AA14" s="120">
        <v>-27881</v>
      </c>
      <c r="AB14" s="448" t="s">
        <v>1467</v>
      </c>
      <c r="AC14" s="448">
        <v>870000</v>
      </c>
      <c r="AD14" s="562"/>
      <c r="AE14" s="562"/>
      <c r="AF14" s="562"/>
      <c r="AG14" s="465"/>
      <c r="AH14" s="465"/>
      <c r="AI14" s="465"/>
      <c r="AJ14" s="465"/>
      <c r="AK14" s="465"/>
      <c r="AL14" s="465"/>
      <c r="AM14" s="465"/>
      <c r="AN14" s="465"/>
      <c r="AO14" s="465"/>
      <c r="AP14" s="465"/>
      <c r="AQ14" s="465"/>
      <c r="AR14" s="465"/>
      <c r="AS14" s="465"/>
      <c r="AT14" s="465"/>
      <c r="AU14" s="465"/>
      <c r="AV14" s="465"/>
      <c r="AW14" s="318"/>
      <c r="AX14" s="318"/>
      <c r="AY14" s="318"/>
    </row>
    <row r="15" spans="1:57" s="556" customFormat="1" ht="82.8">
      <c r="A15" s="448">
        <f>1+A14</f>
        <v>5</v>
      </c>
      <c r="B15" s="448">
        <v>1922</v>
      </c>
      <c r="C15" s="135" t="s">
        <v>112</v>
      </c>
      <c r="D15" s="120">
        <v>330000</v>
      </c>
      <c r="E15" s="120">
        <v>330000</v>
      </c>
      <c r="F15" s="120">
        <f>D15-E15</f>
        <v>0</v>
      </c>
      <c r="G15" s="120">
        <v>200000</v>
      </c>
      <c r="H15" s="120">
        <v>97444</v>
      </c>
      <c r="I15" s="120"/>
      <c r="J15" s="120"/>
      <c r="K15" s="120">
        <f>I15+J15</f>
        <v>0</v>
      </c>
      <c r="L15" s="120">
        <f>H15+K15</f>
        <v>97444</v>
      </c>
      <c r="M15" s="120">
        <f>P15+S15-100000</f>
        <v>2556</v>
      </c>
      <c r="N15" s="120">
        <v>100000</v>
      </c>
      <c r="O15" s="120">
        <f>D15-L15-M15-N15</f>
        <v>130000</v>
      </c>
      <c r="P15" s="120">
        <f>G15-L15</f>
        <v>102556</v>
      </c>
      <c r="Q15" s="120"/>
      <c r="R15" s="120"/>
      <c r="S15" s="120">
        <f>SUM(Q15:R15)</f>
        <v>0</v>
      </c>
      <c r="T15" s="120">
        <f>P15-M15+S15</f>
        <v>100000</v>
      </c>
      <c r="U15" s="120">
        <f>N15-T15</f>
        <v>0</v>
      </c>
      <c r="V15" s="120">
        <f>U15-W15-Z15-AA15</f>
        <v>0</v>
      </c>
      <c r="W15" s="120"/>
      <c r="X15" s="120"/>
      <c r="Y15" s="120"/>
      <c r="Z15" s="120"/>
      <c r="AA15" s="120"/>
      <c r="AB15" s="448" t="s">
        <v>906</v>
      </c>
      <c r="AC15" s="448">
        <v>870000</v>
      </c>
      <c r="AD15" s="562"/>
      <c r="AE15" s="562"/>
      <c r="AF15" s="562"/>
      <c r="AG15" s="465"/>
      <c r="AH15" s="465"/>
      <c r="AI15" s="465"/>
      <c r="AJ15" s="465"/>
      <c r="AK15" s="465"/>
      <c r="AL15" s="465"/>
      <c r="AM15" s="465"/>
      <c r="AN15" s="465"/>
      <c r="AO15" s="465"/>
      <c r="AP15" s="465"/>
      <c r="AQ15" s="465"/>
      <c r="AR15" s="465"/>
      <c r="AS15" s="465"/>
      <c r="AT15" s="465"/>
      <c r="AU15" s="465"/>
      <c r="AV15" s="465"/>
      <c r="AW15" s="318"/>
      <c r="AX15" s="318"/>
      <c r="AY15" s="318"/>
      <c r="AZ15" s="157"/>
      <c r="BA15" s="157"/>
      <c r="BB15" s="157"/>
      <c r="BC15" s="157"/>
      <c r="BD15" s="157"/>
      <c r="BE15" s="157"/>
    </row>
    <row r="16" spans="1:57" s="556" customFormat="1" ht="27.6">
      <c r="A16" s="448">
        <f>1+A15</f>
        <v>6</v>
      </c>
      <c r="B16" s="455">
        <v>20019</v>
      </c>
      <c r="C16" s="469" t="s">
        <v>609</v>
      </c>
      <c r="D16" s="120">
        <f>100000+250000</f>
        <v>350000</v>
      </c>
      <c r="E16" s="120">
        <v>100000</v>
      </c>
      <c r="F16" s="120">
        <f>D16-E16</f>
        <v>250000</v>
      </c>
      <c r="G16" s="120">
        <v>100000</v>
      </c>
      <c r="H16" s="120">
        <v>1000</v>
      </c>
      <c r="I16" s="120"/>
      <c r="J16" s="120"/>
      <c r="K16" s="120">
        <f>I16+J16</f>
        <v>0</v>
      </c>
      <c r="L16" s="120">
        <f>H16+K16</f>
        <v>1000</v>
      </c>
      <c r="M16" s="120">
        <f>P16+S16-99000</f>
        <v>0</v>
      </c>
      <c r="N16" s="120">
        <f>250000+60000</f>
        <v>310000</v>
      </c>
      <c r="O16" s="120">
        <f>D16-L16-M16-N16</f>
        <v>39000</v>
      </c>
      <c r="P16" s="120">
        <f>G16-L16</f>
        <v>99000</v>
      </c>
      <c r="Q16" s="120"/>
      <c r="R16" s="120"/>
      <c r="S16" s="120">
        <f>SUM(Q16:R16)</f>
        <v>0</v>
      </c>
      <c r="T16" s="120">
        <f>P16-M16+S16</f>
        <v>99000</v>
      </c>
      <c r="U16" s="120">
        <f>N16-T16</f>
        <v>211000</v>
      </c>
      <c r="V16" s="120">
        <f>U16-W16-Z16-AA16</f>
        <v>0</v>
      </c>
      <c r="W16" s="120">
        <v>-37000</v>
      </c>
      <c r="X16" s="120"/>
      <c r="Y16" s="120"/>
      <c r="Z16" s="120"/>
      <c r="AA16" s="120">
        <v>248000</v>
      </c>
      <c r="AB16" s="448" t="s">
        <v>1357</v>
      </c>
      <c r="AC16" s="448">
        <v>870000</v>
      </c>
      <c r="AD16" s="562"/>
      <c r="AE16" s="562"/>
      <c r="AF16" s="562"/>
      <c r="AG16" s="465"/>
      <c r="AH16" s="465"/>
      <c r="AI16" s="465"/>
      <c r="AJ16" s="465"/>
      <c r="AK16" s="465"/>
      <c r="AL16" s="465"/>
      <c r="AM16" s="465"/>
      <c r="AN16" s="465"/>
      <c r="AO16" s="465"/>
      <c r="AP16" s="465"/>
      <c r="AQ16" s="465"/>
      <c r="AR16" s="465"/>
      <c r="AS16" s="465"/>
      <c r="AT16" s="465"/>
      <c r="AU16" s="465"/>
      <c r="AV16" s="465"/>
      <c r="AW16" s="555"/>
      <c r="AX16" s="555"/>
      <c r="AY16" s="555"/>
    </row>
    <row r="17" spans="1:57" s="452" customFormat="1" ht="55.2">
      <c r="A17" s="448">
        <f>1+A16</f>
        <v>7</v>
      </c>
      <c r="B17" s="455">
        <v>20079</v>
      </c>
      <c r="C17" s="135" t="s">
        <v>756</v>
      </c>
      <c r="D17" s="120">
        <v>100000</v>
      </c>
      <c r="E17" s="120">
        <v>100000</v>
      </c>
      <c r="F17" s="120">
        <f>D17-E17</f>
        <v>0</v>
      </c>
      <c r="G17" s="120">
        <v>0</v>
      </c>
      <c r="H17" s="120"/>
      <c r="I17" s="120"/>
      <c r="J17" s="120"/>
      <c r="K17" s="120">
        <f>I17+J17</f>
        <v>0</v>
      </c>
      <c r="L17" s="120">
        <f>H17+K17</f>
        <v>0</v>
      </c>
      <c r="M17" s="120">
        <f>P17+S17-50000</f>
        <v>0</v>
      </c>
      <c r="N17" s="120">
        <f>50000+50000</f>
        <v>100000</v>
      </c>
      <c r="O17" s="120">
        <f>D17-L17-M17-N17</f>
        <v>0</v>
      </c>
      <c r="P17" s="120">
        <f>G17-L17</f>
        <v>0</v>
      </c>
      <c r="Q17" s="120">
        <v>50000</v>
      </c>
      <c r="R17" s="120"/>
      <c r="S17" s="120">
        <f>SUM(Q17:R17)</f>
        <v>50000</v>
      </c>
      <c r="T17" s="120">
        <f>P17-M17+S17</f>
        <v>50000</v>
      </c>
      <c r="U17" s="120">
        <f>N17-T17</f>
        <v>50000</v>
      </c>
      <c r="V17" s="120">
        <f>U17-W17-Z17-AA17</f>
        <v>0</v>
      </c>
      <c r="W17" s="120">
        <v>50000</v>
      </c>
      <c r="X17" s="120"/>
      <c r="Y17" s="120"/>
      <c r="Z17" s="120"/>
      <c r="AA17" s="120"/>
      <c r="AB17" s="448" t="s">
        <v>902</v>
      </c>
      <c r="AC17" s="448">
        <v>870000</v>
      </c>
      <c r="AD17" s="562"/>
      <c r="AE17" s="562"/>
      <c r="AF17" s="562"/>
      <c r="AG17" s="465"/>
      <c r="AH17" s="465"/>
      <c r="AI17" s="465"/>
      <c r="AJ17" s="465"/>
      <c r="AK17" s="465"/>
      <c r="AL17" s="465"/>
      <c r="AM17" s="465"/>
      <c r="AN17" s="465"/>
      <c r="AO17" s="465"/>
      <c r="AP17" s="465"/>
      <c r="AQ17" s="465"/>
      <c r="AR17" s="465"/>
      <c r="AS17" s="465"/>
      <c r="AT17" s="465"/>
      <c r="AU17" s="465"/>
      <c r="AV17" s="465"/>
      <c r="AW17" s="272"/>
      <c r="AX17" s="272"/>
      <c r="AY17" s="272"/>
      <c r="AZ17" s="272"/>
      <c r="BA17" s="272"/>
      <c r="BB17" s="272"/>
      <c r="BC17" s="272"/>
      <c r="BD17" s="272"/>
      <c r="BE17" s="272"/>
    </row>
    <row r="18" spans="1:57" s="452" customFormat="1" ht="41.4">
      <c r="A18" s="448">
        <f>1+A17</f>
        <v>8</v>
      </c>
      <c r="B18" s="455">
        <v>20136</v>
      </c>
      <c r="C18" s="135" t="s">
        <v>1009</v>
      </c>
      <c r="D18" s="120">
        <v>344000</v>
      </c>
      <c r="E18" s="120"/>
      <c r="F18" s="120">
        <f>D18-E18</f>
        <v>344000</v>
      </c>
      <c r="G18" s="120">
        <v>0</v>
      </c>
      <c r="H18" s="120"/>
      <c r="I18" s="120"/>
      <c r="J18" s="120"/>
      <c r="K18" s="120">
        <f>I18+J18</f>
        <v>0</v>
      </c>
      <c r="L18" s="120">
        <f>H18+K18</f>
        <v>0</v>
      </c>
      <c r="M18" s="120">
        <f>P18+S18</f>
        <v>0</v>
      </c>
      <c r="N18" s="120">
        <v>344000</v>
      </c>
      <c r="O18" s="120">
        <f>D18-L18-M18-N18</f>
        <v>0</v>
      </c>
      <c r="P18" s="120">
        <f>G18-L18</f>
        <v>0</v>
      </c>
      <c r="Q18" s="120"/>
      <c r="R18" s="120"/>
      <c r="S18" s="120">
        <f>SUM(Q18:R18)</f>
        <v>0</v>
      </c>
      <c r="T18" s="120">
        <f>P18-M18+S18</f>
        <v>0</v>
      </c>
      <c r="U18" s="120">
        <f>N18-T18</f>
        <v>344000</v>
      </c>
      <c r="V18" s="120">
        <f>U18-W18-Z18-AA18</f>
        <v>0</v>
      </c>
      <c r="W18" s="120">
        <v>69086</v>
      </c>
      <c r="X18" s="120"/>
      <c r="Y18" s="120"/>
      <c r="Z18" s="120"/>
      <c r="AA18" s="120">
        <v>274914</v>
      </c>
      <c r="AB18" s="448" t="s">
        <v>1529</v>
      </c>
      <c r="AC18" s="448">
        <v>870000</v>
      </c>
      <c r="AD18" s="562"/>
      <c r="AE18" s="562"/>
      <c r="AF18" s="562"/>
      <c r="AG18" s="465"/>
      <c r="AH18" s="465"/>
      <c r="AI18" s="465"/>
      <c r="AJ18" s="465"/>
      <c r="AK18" s="465"/>
      <c r="AL18" s="465"/>
      <c r="AM18" s="465"/>
      <c r="AN18" s="465"/>
      <c r="AO18" s="465"/>
      <c r="AP18" s="465"/>
      <c r="AQ18" s="465"/>
      <c r="AR18" s="465"/>
      <c r="AS18" s="465"/>
      <c r="AT18" s="465"/>
      <c r="AU18" s="465"/>
      <c r="AV18" s="465"/>
      <c r="AW18" s="272"/>
      <c r="AX18" s="272"/>
      <c r="AY18" s="272"/>
      <c r="AZ18" s="272"/>
      <c r="BA18" s="272"/>
      <c r="BB18" s="272"/>
      <c r="BC18" s="272"/>
      <c r="BD18" s="272"/>
      <c r="BE18" s="272"/>
    </row>
    <row r="19" spans="1:57" s="473" customFormat="1">
      <c r="A19" s="454"/>
      <c r="B19" s="454"/>
      <c r="C19" s="219" t="s">
        <v>1560</v>
      </c>
      <c r="D19" s="249">
        <f>SUM(D14:D18)</f>
        <v>1812500</v>
      </c>
      <c r="E19" s="249">
        <f t="shared" ref="E19:AA19" si="2">SUM(E14:E18)</f>
        <v>1246500</v>
      </c>
      <c r="F19" s="249">
        <f t="shared" si="2"/>
        <v>566000</v>
      </c>
      <c r="G19" s="249">
        <f t="shared" si="2"/>
        <v>916500</v>
      </c>
      <c r="H19" s="249">
        <f t="shared" si="2"/>
        <v>694460</v>
      </c>
      <c r="I19" s="249">
        <f t="shared" si="2"/>
        <v>0</v>
      </c>
      <c r="J19" s="249">
        <f t="shared" si="2"/>
        <v>0</v>
      </c>
      <c r="K19" s="249">
        <f t="shared" si="2"/>
        <v>0</v>
      </c>
      <c r="L19" s="249">
        <f t="shared" si="2"/>
        <v>694460</v>
      </c>
      <c r="M19" s="249">
        <f t="shared" si="2"/>
        <v>5040</v>
      </c>
      <c r="N19" s="249">
        <f t="shared" si="2"/>
        <v>944000</v>
      </c>
      <c r="O19" s="249">
        <f t="shared" si="2"/>
        <v>169000</v>
      </c>
      <c r="P19" s="249">
        <f t="shared" si="2"/>
        <v>222040</v>
      </c>
      <c r="Q19" s="249">
        <f t="shared" si="2"/>
        <v>122000</v>
      </c>
      <c r="R19" s="249">
        <f t="shared" si="2"/>
        <v>0</v>
      </c>
      <c r="S19" s="249">
        <f t="shared" si="2"/>
        <v>122000</v>
      </c>
      <c r="T19" s="249">
        <f t="shared" si="2"/>
        <v>339000</v>
      </c>
      <c r="U19" s="249">
        <f t="shared" si="2"/>
        <v>605000</v>
      </c>
      <c r="V19" s="249">
        <f t="shared" si="2"/>
        <v>0</v>
      </c>
      <c r="W19" s="249">
        <f t="shared" si="2"/>
        <v>109967</v>
      </c>
      <c r="X19" s="249">
        <f t="shared" si="2"/>
        <v>0</v>
      </c>
      <c r="Y19" s="249">
        <f t="shared" si="2"/>
        <v>0</v>
      </c>
      <c r="Z19" s="249">
        <f t="shared" si="2"/>
        <v>0</v>
      </c>
      <c r="AA19" s="249">
        <f t="shared" si="2"/>
        <v>495033</v>
      </c>
      <c r="AB19" s="454"/>
      <c r="AC19" s="454"/>
      <c r="AD19" s="562"/>
      <c r="AE19" s="562"/>
      <c r="AF19" s="562"/>
      <c r="AG19" s="472"/>
      <c r="AH19" s="472"/>
      <c r="AI19" s="472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  <c r="AU19" s="472"/>
      <c r="AV19" s="472"/>
      <c r="AW19" s="359"/>
      <c r="AX19" s="359"/>
      <c r="AY19" s="359"/>
      <c r="AZ19" s="359"/>
      <c r="BA19" s="359"/>
      <c r="BB19" s="359"/>
      <c r="BC19" s="359"/>
      <c r="BD19" s="359"/>
      <c r="BE19" s="359"/>
    </row>
    <row r="20" spans="1:57" s="473" customFormat="1" ht="25.2" customHeight="1">
      <c r="A20" s="249">
        <f>COUNT(A7:A18)</f>
        <v>8</v>
      </c>
      <c r="B20" s="454"/>
      <c r="C20" s="219" t="s">
        <v>757</v>
      </c>
      <c r="D20" s="249">
        <f>D19+D12+D9</f>
        <v>5957500</v>
      </c>
      <c r="E20" s="249">
        <f t="shared" ref="E20:AA20" si="3">E19+E12+E9</f>
        <v>5191500</v>
      </c>
      <c r="F20" s="249">
        <f t="shared" si="3"/>
        <v>766000</v>
      </c>
      <c r="G20" s="249">
        <f t="shared" si="3"/>
        <v>4611500</v>
      </c>
      <c r="H20" s="249">
        <f t="shared" si="3"/>
        <v>4144420</v>
      </c>
      <c r="I20" s="249">
        <f t="shared" si="3"/>
        <v>0</v>
      </c>
      <c r="J20" s="249">
        <f t="shared" si="3"/>
        <v>14144</v>
      </c>
      <c r="K20" s="249">
        <f t="shared" si="3"/>
        <v>14144</v>
      </c>
      <c r="L20" s="249">
        <f t="shared" si="3"/>
        <v>4158564</v>
      </c>
      <c r="M20" s="249">
        <f t="shared" si="3"/>
        <v>6936</v>
      </c>
      <c r="N20" s="249">
        <f t="shared" si="3"/>
        <v>1274000</v>
      </c>
      <c r="O20" s="249">
        <f t="shared" si="3"/>
        <v>518000</v>
      </c>
      <c r="P20" s="249">
        <f t="shared" si="3"/>
        <v>452936</v>
      </c>
      <c r="Q20" s="249">
        <f t="shared" si="3"/>
        <v>222000</v>
      </c>
      <c r="R20" s="249">
        <f t="shared" si="3"/>
        <v>0</v>
      </c>
      <c r="S20" s="249">
        <f t="shared" si="3"/>
        <v>222000</v>
      </c>
      <c r="T20" s="249">
        <f t="shared" si="3"/>
        <v>668000</v>
      </c>
      <c r="U20" s="249">
        <f t="shared" si="3"/>
        <v>606000</v>
      </c>
      <c r="V20" s="249">
        <f t="shared" si="3"/>
        <v>-99000</v>
      </c>
      <c r="W20" s="249">
        <f t="shared" si="3"/>
        <v>109967</v>
      </c>
      <c r="X20" s="249">
        <f t="shared" si="3"/>
        <v>0</v>
      </c>
      <c r="Y20" s="249">
        <f t="shared" si="3"/>
        <v>0</v>
      </c>
      <c r="Z20" s="249">
        <f t="shared" si="3"/>
        <v>0</v>
      </c>
      <c r="AA20" s="249">
        <f t="shared" si="3"/>
        <v>595033</v>
      </c>
      <c r="AB20" s="454"/>
      <c r="AC20" s="454"/>
      <c r="AD20" s="562"/>
      <c r="AE20" s="562"/>
      <c r="AF20" s="562"/>
      <c r="AG20" s="465"/>
      <c r="AH20" s="465"/>
      <c r="AI20" s="465"/>
      <c r="AJ20" s="465"/>
      <c r="AK20" s="465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359"/>
      <c r="AX20" s="359"/>
      <c r="AY20" s="359"/>
      <c r="AZ20" s="359"/>
      <c r="BA20" s="359"/>
      <c r="BB20" s="359"/>
      <c r="BC20" s="359"/>
      <c r="BD20" s="359"/>
      <c r="BE20" s="359"/>
    </row>
    <row r="21" spans="1:57" s="473" customFormat="1" ht="25.2" customHeight="1">
      <c r="A21" s="428"/>
      <c r="B21" s="561"/>
      <c r="C21" s="427"/>
      <c r="D21" s="559">
        <f>SUM(L20:O20)</f>
        <v>5957500</v>
      </c>
      <c r="E21" s="559"/>
      <c r="F21" s="559">
        <f>SUM(E20:F20)</f>
        <v>5957500</v>
      </c>
      <c r="G21" s="559"/>
      <c r="H21" s="559"/>
      <c r="I21" s="559"/>
      <c r="J21" s="559"/>
      <c r="K21" s="559"/>
      <c r="L21" s="450">
        <f>H20+I20+J20</f>
        <v>4158564</v>
      </c>
      <c r="M21" s="559"/>
      <c r="N21" s="559"/>
      <c r="O21" s="559"/>
      <c r="P21" s="450">
        <f>G20-L21</f>
        <v>452936</v>
      </c>
      <c r="Q21" s="559"/>
      <c r="R21" s="559"/>
      <c r="S21" s="559"/>
      <c r="T21" s="450">
        <f>P21+S20-M20</f>
        <v>668000</v>
      </c>
      <c r="U21" s="450">
        <f>N20-T20</f>
        <v>606000</v>
      </c>
      <c r="V21" s="428"/>
      <c r="W21" s="428"/>
      <c r="X21" s="428"/>
      <c r="Y21" s="428"/>
      <c r="Z21" s="428"/>
      <c r="AA21" s="428"/>
      <c r="AB21" s="561"/>
      <c r="AC21" s="561"/>
      <c r="AD21" s="562"/>
      <c r="AE21" s="562"/>
      <c r="AF21" s="562"/>
      <c r="AG21" s="465"/>
      <c r="AH21" s="465"/>
      <c r="AI21" s="465"/>
      <c r="AJ21" s="465"/>
      <c r="AK21" s="465"/>
      <c r="AL21" s="472"/>
      <c r="AM21" s="472"/>
      <c r="AN21" s="472"/>
      <c r="AO21" s="472"/>
      <c r="AP21" s="472"/>
      <c r="AQ21" s="472"/>
      <c r="AR21" s="472"/>
      <c r="AS21" s="472"/>
      <c r="AT21" s="472"/>
      <c r="AU21" s="472"/>
      <c r="AV21" s="472"/>
      <c r="AW21" s="359"/>
      <c r="AX21" s="359"/>
      <c r="AY21" s="359"/>
      <c r="AZ21" s="359"/>
      <c r="BA21" s="359"/>
      <c r="BB21" s="359"/>
      <c r="BC21" s="359"/>
      <c r="BD21" s="359"/>
      <c r="BE21" s="359"/>
    </row>
    <row r="22" spans="1:57" s="473" customFormat="1" ht="25.2" customHeight="1">
      <c r="A22" s="428"/>
      <c r="B22" s="561"/>
      <c r="C22" s="427"/>
      <c r="D22" s="450">
        <f>D20-D21</f>
        <v>0</v>
      </c>
      <c r="E22" s="559"/>
      <c r="F22" s="559"/>
      <c r="G22" s="559"/>
      <c r="H22" s="559"/>
      <c r="I22" s="559"/>
      <c r="J22" s="559"/>
      <c r="K22" s="559"/>
      <c r="L22" s="450"/>
      <c r="M22" s="559"/>
      <c r="N22" s="559"/>
      <c r="O22" s="559"/>
      <c r="P22" s="450"/>
      <c r="Q22" s="559"/>
      <c r="R22" s="559"/>
      <c r="S22" s="559"/>
      <c r="T22" s="450"/>
      <c r="U22" s="428"/>
      <c r="V22" s="428"/>
      <c r="W22" s="428"/>
      <c r="X22" s="428"/>
      <c r="Y22" s="428"/>
      <c r="Z22" s="428"/>
      <c r="AA22" s="428"/>
      <c r="AB22" s="561"/>
      <c r="AC22" s="561"/>
      <c r="AD22" s="562"/>
      <c r="AE22" s="562"/>
      <c r="AF22" s="562"/>
      <c r="AG22" s="465"/>
      <c r="AH22" s="465"/>
      <c r="AI22" s="465"/>
      <c r="AJ22" s="465"/>
      <c r="AK22" s="465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359"/>
      <c r="AX22" s="359"/>
      <c r="AY22" s="359"/>
      <c r="AZ22" s="359"/>
      <c r="BA22" s="359"/>
      <c r="BB22" s="359"/>
      <c r="BC22" s="359"/>
      <c r="BD22" s="359"/>
      <c r="BE22" s="359"/>
    </row>
    <row r="135" spans="1:1">
      <c r="A135" s="464">
        <f>COUNT(A5:A134)</f>
        <v>9</v>
      </c>
    </row>
    <row r="138" spans="1:1">
      <c r="A138" s="464">
        <f>A135+1</f>
        <v>10</v>
      </c>
    </row>
    <row r="141" spans="1:1" ht="37.950000000000003" customHeight="1"/>
    <row r="144" spans="1:1" ht="70.95" customHeight="1"/>
    <row r="147" spans="2:57" ht="72" customHeight="1"/>
    <row r="149" spans="2:57" ht="43.95" customHeight="1"/>
    <row r="151" spans="2:57" s="464" customFormat="1" ht="30" customHeight="1">
      <c r="B151" s="465"/>
      <c r="C151" s="465"/>
      <c r="D151" s="467"/>
      <c r="E151" s="467"/>
      <c r="F151" s="467"/>
      <c r="G151" s="467"/>
      <c r="H151" s="467"/>
      <c r="I151" s="467"/>
      <c r="J151" s="467"/>
      <c r="K151" s="467"/>
      <c r="L151" s="467"/>
      <c r="M151" s="467"/>
      <c r="N151" s="467"/>
      <c r="O151" s="467"/>
      <c r="P151" s="467"/>
      <c r="Q151" s="467"/>
      <c r="R151" s="467"/>
      <c r="S151" s="467"/>
      <c r="T151" s="467"/>
      <c r="U151" s="465"/>
      <c r="V151" s="465"/>
      <c r="W151" s="465"/>
      <c r="X151" s="465"/>
      <c r="Y151" s="465"/>
      <c r="Z151" s="465"/>
      <c r="AA151" s="465"/>
      <c r="AB151" s="468"/>
      <c r="AC151" s="465"/>
      <c r="AD151" s="562"/>
      <c r="AE151" s="562"/>
      <c r="AF151" s="562"/>
      <c r="AG151" s="465"/>
      <c r="AH151" s="465"/>
      <c r="AI151" s="465"/>
      <c r="AJ151" s="465"/>
      <c r="AK151" s="465"/>
      <c r="AL151" s="465"/>
      <c r="AM151" s="465"/>
      <c r="AN151" s="465"/>
      <c r="AO151" s="465"/>
      <c r="AP151" s="465"/>
      <c r="AQ151" s="465"/>
      <c r="AR151" s="465"/>
      <c r="AS151" s="465"/>
      <c r="AT151" s="465"/>
      <c r="AU151" s="465"/>
      <c r="AV151" s="465"/>
      <c r="AW151" s="465"/>
      <c r="AX151" s="465"/>
      <c r="AY151" s="465"/>
      <c r="AZ151" s="465"/>
      <c r="BA151" s="465"/>
      <c r="BB151" s="465"/>
      <c r="BC151" s="465"/>
      <c r="BD151" s="465"/>
      <c r="BE151" s="465"/>
    </row>
  </sheetData>
  <sheetProtection formatCells="0" formatColumns="0" formatRows="0" insertColumns="0" insertRows="0" insertHyperlinks="0" deleteColumns="0" deleteRows="0" sort="0" autoFilter="0" pivotTables="0"/>
  <sortState ref="A6:BE13">
    <sortCondition ref="AC6:AC13"/>
  </sortState>
  <mergeCells count="2">
    <mergeCell ref="A1:W1"/>
    <mergeCell ref="V3:AA3"/>
  </mergeCells>
  <conditionalFormatting sqref="AB4">
    <cfRule type="cellIs" dxfId="104" priority="5" operator="equal">
      <formula>0</formula>
    </cfRule>
  </conditionalFormatting>
  <conditionalFormatting sqref="AD4">
    <cfRule type="cellIs" dxfId="103" priority="4" operator="equal">
      <formula>0</formula>
    </cfRule>
  </conditionalFormatting>
  <conditionalFormatting sqref="AE4">
    <cfRule type="cellIs" dxfId="102" priority="3" operator="equal">
      <formula>0</formula>
    </cfRule>
  </conditionalFormatting>
  <conditionalFormatting sqref="AG4">
    <cfRule type="cellIs" dxfId="101" priority="2" operator="equal">
      <formula>0</formula>
    </cfRule>
  </conditionalFormatting>
  <conditionalFormatting sqref="AF4">
    <cfRule type="cellIs" dxfId="10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5"/>
  <sheetViews>
    <sheetView showZeros="0" rightToLeft="1" zoomScaleNormal="100" workbookViewId="0">
      <pane xSplit="3" ySplit="4" topLeftCell="D5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3.6640625" style="464" customWidth="1"/>
    <col min="2" max="2" width="5.6640625" style="465" customWidth="1"/>
    <col min="3" max="3" width="24.88671875" style="465" customWidth="1"/>
    <col min="4" max="4" width="10.44140625" style="467" customWidth="1"/>
    <col min="5" max="6" width="9.88671875" style="467" customWidth="1"/>
    <col min="7" max="11" width="9.88671875" style="467" hidden="1" customWidth="1"/>
    <col min="12" max="12" width="10" style="467" customWidth="1"/>
    <col min="13" max="13" width="8.6640625" style="467" customWidth="1"/>
    <col min="14" max="14" width="8.88671875" style="467" customWidth="1"/>
    <col min="15" max="15" width="9.88671875" style="467" customWidth="1"/>
    <col min="16" max="16" width="10.109375" style="467" hidden="1" customWidth="1"/>
    <col min="17" max="18" width="13.5546875" style="467" hidden="1" customWidth="1"/>
    <col min="19" max="19" width="8.44140625" style="467" hidden="1" customWidth="1"/>
    <col min="20" max="20" width="8.109375" style="467" customWidth="1"/>
    <col min="21" max="21" width="9.44140625" style="465" customWidth="1"/>
    <col min="22" max="22" width="8.44140625" style="465" customWidth="1"/>
    <col min="23" max="23" width="9.109375" style="465" customWidth="1"/>
    <col min="24" max="24" width="6.44140625" style="465" hidden="1" customWidth="1"/>
    <col min="25" max="25" width="7.44140625" style="465" hidden="1" customWidth="1"/>
    <col min="26" max="26" width="7.88671875" style="465" hidden="1" customWidth="1"/>
    <col min="27" max="27" width="9.6640625" style="465" hidden="1" customWidth="1"/>
    <col min="28" max="28" width="36.109375" style="468" customWidth="1"/>
    <col min="29" max="29" width="7" style="465" hidden="1" customWidth="1"/>
    <col min="30" max="30" width="29.6640625" style="465" customWidth="1"/>
    <col min="31" max="32" width="10.6640625" style="465" customWidth="1"/>
    <col min="33" max="33" width="29.6640625" style="465" customWidth="1"/>
    <col min="34" max="34" width="15.109375" style="465" customWidth="1"/>
    <col min="35" max="35" width="20.5546875" style="465" customWidth="1"/>
    <col min="36" max="36" width="21.33203125" style="465" customWidth="1"/>
    <col min="37" max="38" width="9.6640625" style="465" customWidth="1"/>
    <col min="39" max="39" width="18.88671875" style="465" customWidth="1"/>
    <col min="40" max="46" width="10.6640625" style="465" customWidth="1"/>
    <col min="47" max="16384" width="9.109375" style="465"/>
  </cols>
  <sheetData>
    <row r="1" spans="1:46" s="542" customFormat="1" ht="18">
      <c r="A1" s="897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541"/>
      <c r="Y1" s="541"/>
      <c r="Z1" s="541"/>
      <c r="AB1" s="543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</row>
    <row r="2" spans="1:46" ht="18">
      <c r="A2" s="544" t="s">
        <v>202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46">
      <c r="V3" s="468"/>
      <c r="W3" s="468"/>
      <c r="X3" s="468"/>
      <c r="Y3" s="468"/>
      <c r="Z3" s="468"/>
      <c r="AA3" s="468"/>
    </row>
    <row r="4" spans="1:46" s="547" customFormat="1" ht="69">
      <c r="A4" s="545" t="s">
        <v>0</v>
      </c>
      <c r="B4" s="545" t="s">
        <v>1</v>
      </c>
      <c r="C4" s="545" t="s">
        <v>2</v>
      </c>
      <c r="D4" s="545" t="s">
        <v>3</v>
      </c>
      <c r="E4" s="545" t="s">
        <v>4</v>
      </c>
      <c r="F4" s="545" t="s">
        <v>5</v>
      </c>
      <c r="G4" s="545" t="s">
        <v>6</v>
      </c>
      <c r="H4" s="545" t="s">
        <v>7</v>
      </c>
      <c r="I4" s="545" t="s">
        <v>9</v>
      </c>
      <c r="J4" s="545" t="s">
        <v>125</v>
      </c>
      <c r="K4" s="545" t="s">
        <v>10</v>
      </c>
      <c r="L4" s="545" t="s">
        <v>11</v>
      </c>
      <c r="M4" s="545" t="s">
        <v>917</v>
      </c>
      <c r="N4" s="545" t="s">
        <v>918</v>
      </c>
      <c r="O4" s="421" t="s">
        <v>919</v>
      </c>
      <c r="P4" s="421" t="s">
        <v>12</v>
      </c>
      <c r="Q4" s="545" t="s">
        <v>920</v>
      </c>
      <c r="R4" s="545" t="s">
        <v>921</v>
      </c>
      <c r="S4" s="421" t="s">
        <v>922</v>
      </c>
      <c r="T4" s="421" t="s">
        <v>923</v>
      </c>
      <c r="U4" s="421" t="s">
        <v>924</v>
      </c>
      <c r="V4" s="545" t="s">
        <v>13</v>
      </c>
      <c r="W4" s="545" t="s">
        <v>14</v>
      </c>
      <c r="X4" s="545" t="s">
        <v>15</v>
      </c>
      <c r="Y4" s="545" t="s">
        <v>214</v>
      </c>
      <c r="Z4" s="545" t="s">
        <v>502</v>
      </c>
      <c r="AA4" s="545" t="s">
        <v>75</v>
      </c>
      <c r="AB4" s="546" t="s">
        <v>242</v>
      </c>
      <c r="AC4" s="545" t="s">
        <v>16</v>
      </c>
      <c r="AD4" s="465"/>
      <c r="AE4" s="465"/>
      <c r="AF4" s="465"/>
      <c r="AG4" s="465"/>
      <c r="AH4" s="465"/>
      <c r="AI4" s="465"/>
      <c r="AJ4" s="465"/>
      <c r="AK4" s="465"/>
      <c r="AL4" s="465"/>
      <c r="AM4" s="465"/>
      <c r="AN4" s="465"/>
      <c r="AO4" s="465"/>
      <c r="AP4" s="465"/>
      <c r="AQ4" s="465"/>
      <c r="AR4" s="465"/>
      <c r="AS4" s="465"/>
      <c r="AT4" s="465"/>
    </row>
    <row r="5" spans="1:46" s="452" customFormat="1" ht="45" customHeight="1">
      <c r="A5" s="448">
        <v>1</v>
      </c>
      <c r="B5" s="448">
        <v>529</v>
      </c>
      <c r="C5" s="135" t="s">
        <v>56</v>
      </c>
      <c r="D5" s="120">
        <v>700000</v>
      </c>
      <c r="E5" s="120">
        <v>700000</v>
      </c>
      <c r="F5" s="120">
        <f t="shared" ref="F5:F15" si="0">D5-E5</f>
        <v>0</v>
      </c>
      <c r="G5" s="120">
        <v>700000</v>
      </c>
      <c r="H5" s="120">
        <v>617560</v>
      </c>
      <c r="I5" s="120"/>
      <c r="J5" s="120"/>
      <c r="K5" s="120">
        <f>I5+J5</f>
        <v>0</v>
      </c>
      <c r="L5" s="120">
        <f>H5+K5</f>
        <v>617560</v>
      </c>
      <c r="M5" s="120">
        <f>P5+S5-80000</f>
        <v>2440</v>
      </c>
      <c r="N5" s="120">
        <v>80000</v>
      </c>
      <c r="O5" s="120">
        <f>D5-L5-M5-N5</f>
        <v>0</v>
      </c>
      <c r="P5" s="120">
        <f>G5-L5</f>
        <v>82440</v>
      </c>
      <c r="Q5" s="120"/>
      <c r="R5" s="120"/>
      <c r="S5" s="120">
        <f>SUM(Q5:R5)</f>
        <v>0</v>
      </c>
      <c r="T5" s="120">
        <f>P5-M5+S5</f>
        <v>80000</v>
      </c>
      <c r="U5" s="120">
        <f>N5-T5</f>
        <v>0</v>
      </c>
      <c r="V5" s="120">
        <f>U5-W5-Z5-AA5</f>
        <v>0</v>
      </c>
      <c r="W5" s="120"/>
      <c r="X5" s="120"/>
      <c r="Y5" s="120"/>
      <c r="Z5" s="120"/>
      <c r="AA5" s="120"/>
      <c r="AB5" s="469" t="s">
        <v>903</v>
      </c>
      <c r="AC5" s="448">
        <v>840000</v>
      </c>
      <c r="AD5" s="465"/>
      <c r="AE5" s="465"/>
      <c r="AF5" s="465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</row>
    <row r="6" spans="1:46" s="452" customFormat="1" ht="45" customHeight="1">
      <c r="A6" s="469">
        <f>A5+1</f>
        <v>2</v>
      </c>
      <c r="B6" s="448">
        <v>1032</v>
      </c>
      <c r="C6" s="135" t="s">
        <v>116</v>
      </c>
      <c r="D6" s="120">
        <f>40500000+7262968+700000</f>
        <v>48462968</v>
      </c>
      <c r="E6" s="120">
        <v>40500000</v>
      </c>
      <c r="F6" s="120">
        <f t="shared" si="0"/>
        <v>7962968</v>
      </c>
      <c r="G6" s="120">
        <v>40262968</v>
      </c>
      <c r="H6" s="120">
        <v>38186355</v>
      </c>
      <c r="I6" s="120">
        <v>140400</v>
      </c>
      <c r="J6" s="120">
        <f>1431082-1760-30420-409-140186-9813-20000</f>
        <v>1228494</v>
      </c>
      <c r="K6" s="120">
        <f t="shared" ref="K6:K15" si="1">I6+J6</f>
        <v>1368894</v>
      </c>
      <c r="L6" s="120">
        <f t="shared" ref="L6:L15" si="2">H6+K6</f>
        <v>39555249</v>
      </c>
      <c r="M6" s="120">
        <f>P6+S6-630000-50000-25000</f>
        <v>2719</v>
      </c>
      <c r="N6" s="120">
        <f>7500000+630000+50000+700000-3200000-1680000</f>
        <v>4000000</v>
      </c>
      <c r="O6" s="120">
        <f t="shared" ref="O6:O15" si="3">D6-L6-M6-N6</f>
        <v>4905000</v>
      </c>
      <c r="P6" s="120">
        <f t="shared" ref="P6:P15" si="4">G6-L6</f>
        <v>707719</v>
      </c>
      <c r="Q6" s="120"/>
      <c r="R6" s="120"/>
      <c r="S6" s="120">
        <f t="shared" ref="S6:S15" si="5">SUM(Q6:R6)</f>
        <v>0</v>
      </c>
      <c r="T6" s="120">
        <f t="shared" ref="T6:T15" si="6">P6-M6+S6</f>
        <v>705000</v>
      </c>
      <c r="U6" s="120">
        <f t="shared" ref="U6:U15" si="7">N6-T6</f>
        <v>3295000</v>
      </c>
      <c r="V6" s="120">
        <f t="shared" ref="V6:V15" si="8">U6-W6-Z6-AA6</f>
        <v>2295000</v>
      </c>
      <c r="W6" s="120">
        <v>1000000</v>
      </c>
      <c r="X6" s="120"/>
      <c r="Y6" s="120"/>
      <c r="Z6" s="120"/>
      <c r="AA6" s="120"/>
      <c r="AB6" s="469" t="s">
        <v>647</v>
      </c>
      <c r="AC6" s="448">
        <v>742000</v>
      </c>
      <c r="AD6" s="465"/>
      <c r="AE6" s="465"/>
      <c r="AF6" s="465"/>
      <c r="AG6" s="465"/>
      <c r="AH6" s="465"/>
      <c r="AI6" s="465"/>
      <c r="AJ6" s="465"/>
      <c r="AK6" s="465"/>
      <c r="AL6" s="465"/>
      <c r="AM6" s="465"/>
      <c r="AN6" s="465"/>
      <c r="AO6" s="465"/>
      <c r="AP6" s="465"/>
      <c r="AQ6" s="465"/>
      <c r="AR6" s="465"/>
      <c r="AS6" s="465"/>
      <c r="AT6" s="465"/>
    </row>
    <row r="7" spans="1:46" s="548" customFormat="1" ht="61.2" customHeight="1">
      <c r="A7" s="469">
        <f t="shared" ref="A7:A15" si="9">A6+1</f>
        <v>3</v>
      </c>
      <c r="B7" s="469">
        <v>1130</v>
      </c>
      <c r="C7" s="135" t="s">
        <v>31</v>
      </c>
      <c r="D7" s="120">
        <f>16000000+681894</f>
        <v>16681894</v>
      </c>
      <c r="E7" s="120">
        <v>16000000</v>
      </c>
      <c r="F7" s="120">
        <f t="shared" si="0"/>
        <v>681894</v>
      </c>
      <c r="G7" s="120">
        <v>15631894</v>
      </c>
      <c r="H7" s="120">
        <v>15345084</v>
      </c>
      <c r="I7" s="120">
        <v>0</v>
      </c>
      <c r="J7" s="120">
        <f>1455+815+57954+1120</f>
        <v>61344</v>
      </c>
      <c r="K7" s="120">
        <f t="shared" si="1"/>
        <v>61344</v>
      </c>
      <c r="L7" s="120">
        <f t="shared" si="2"/>
        <v>15406428</v>
      </c>
      <c r="M7" s="120">
        <f>P7+S7-120000-150000-5000</f>
        <v>466</v>
      </c>
      <c r="N7" s="120">
        <f>1000000+120000-500000-500000+150000+5000</f>
        <v>275000</v>
      </c>
      <c r="O7" s="120">
        <f t="shared" si="3"/>
        <v>1000000</v>
      </c>
      <c r="P7" s="120">
        <f t="shared" si="4"/>
        <v>225466</v>
      </c>
      <c r="Q7" s="120">
        <v>50000</v>
      </c>
      <c r="R7" s="120"/>
      <c r="S7" s="120">
        <f t="shared" si="5"/>
        <v>50000</v>
      </c>
      <c r="T7" s="120">
        <f t="shared" si="6"/>
        <v>275000</v>
      </c>
      <c r="U7" s="120">
        <f t="shared" si="7"/>
        <v>0</v>
      </c>
      <c r="V7" s="120">
        <f t="shared" si="8"/>
        <v>0</v>
      </c>
      <c r="W7" s="120"/>
      <c r="X7" s="120"/>
      <c r="Y7" s="120"/>
      <c r="Z7" s="120"/>
      <c r="AA7" s="120"/>
      <c r="AB7" s="469" t="s">
        <v>1613</v>
      </c>
      <c r="AC7" s="469">
        <v>742000</v>
      </c>
      <c r="AD7" s="465"/>
      <c r="AE7" s="465"/>
      <c r="AF7" s="465"/>
      <c r="AG7" s="465"/>
      <c r="AH7" s="465"/>
      <c r="AI7" s="465"/>
      <c r="AJ7" s="465"/>
      <c r="AK7" s="465"/>
      <c r="AL7" s="465"/>
      <c r="AM7" s="465"/>
      <c r="AN7" s="465"/>
      <c r="AO7" s="465"/>
      <c r="AP7" s="465"/>
      <c r="AQ7" s="465"/>
      <c r="AR7" s="465"/>
      <c r="AS7" s="465"/>
      <c r="AT7" s="465"/>
    </row>
    <row r="8" spans="1:46" s="548" customFormat="1" ht="45" customHeight="1">
      <c r="A8" s="469">
        <f t="shared" si="9"/>
        <v>4</v>
      </c>
      <c r="B8" s="469">
        <v>1259</v>
      </c>
      <c r="C8" s="135" t="s">
        <v>49</v>
      </c>
      <c r="D8" s="120">
        <f>5510000+500000-200000</f>
        <v>5810000</v>
      </c>
      <c r="E8" s="120">
        <v>5510000</v>
      </c>
      <c r="F8" s="120">
        <f t="shared" si="0"/>
        <v>300000</v>
      </c>
      <c r="G8" s="120">
        <v>5310000</v>
      </c>
      <c r="H8" s="120">
        <v>5218627</v>
      </c>
      <c r="I8" s="120"/>
      <c r="J8" s="120"/>
      <c r="K8" s="120">
        <f t="shared" si="1"/>
        <v>0</v>
      </c>
      <c r="L8" s="120">
        <f t="shared" si="2"/>
        <v>5218627</v>
      </c>
      <c r="M8" s="120">
        <f>P8+S8-200000-90000</f>
        <v>1373</v>
      </c>
      <c r="N8" s="120">
        <v>500000</v>
      </c>
      <c r="O8" s="120">
        <f t="shared" si="3"/>
        <v>90000</v>
      </c>
      <c r="P8" s="120">
        <f t="shared" si="4"/>
        <v>91373</v>
      </c>
      <c r="Q8" s="120">
        <v>200000</v>
      </c>
      <c r="R8" s="120"/>
      <c r="S8" s="120">
        <f t="shared" si="5"/>
        <v>200000</v>
      </c>
      <c r="T8" s="120">
        <f t="shared" si="6"/>
        <v>290000</v>
      </c>
      <c r="U8" s="120">
        <f t="shared" si="7"/>
        <v>210000</v>
      </c>
      <c r="V8" s="120">
        <f t="shared" si="8"/>
        <v>210000</v>
      </c>
      <c r="W8" s="120"/>
      <c r="X8" s="120"/>
      <c r="Y8" s="120"/>
      <c r="Z8" s="120"/>
      <c r="AA8" s="120"/>
      <c r="AB8" s="469" t="s">
        <v>237</v>
      </c>
      <c r="AC8" s="469">
        <v>760000</v>
      </c>
      <c r="AD8" s="465"/>
      <c r="AE8" s="465"/>
      <c r="AF8" s="465"/>
      <c r="AG8" s="465"/>
      <c r="AH8" s="465"/>
      <c r="AI8" s="465"/>
      <c r="AJ8" s="465"/>
      <c r="AK8" s="465"/>
      <c r="AL8" s="465"/>
      <c r="AM8" s="465"/>
      <c r="AN8" s="465"/>
      <c r="AO8" s="465"/>
      <c r="AP8" s="465"/>
      <c r="AQ8" s="465"/>
      <c r="AR8" s="465"/>
      <c r="AS8" s="465"/>
      <c r="AT8" s="465"/>
    </row>
    <row r="9" spans="1:46" s="548" customFormat="1" ht="45" customHeight="1">
      <c r="A9" s="469">
        <f t="shared" si="9"/>
        <v>5</v>
      </c>
      <c r="B9" s="469">
        <v>1260</v>
      </c>
      <c r="C9" s="135" t="s">
        <v>50</v>
      </c>
      <c r="D9" s="120">
        <f>9858000+500000-350000</f>
        <v>10008000</v>
      </c>
      <c r="E9" s="120">
        <v>9858000</v>
      </c>
      <c r="F9" s="120">
        <f t="shared" si="0"/>
        <v>150000</v>
      </c>
      <c r="G9" s="120">
        <v>9358000</v>
      </c>
      <c r="H9" s="120">
        <v>9423550</v>
      </c>
      <c r="I9" s="120"/>
      <c r="J9" s="120"/>
      <c r="K9" s="120">
        <f t="shared" si="1"/>
        <v>0</v>
      </c>
      <c r="L9" s="120">
        <f t="shared" si="2"/>
        <v>9423550</v>
      </c>
      <c r="M9" s="120">
        <f>P9+S9-350000-80000</f>
        <v>4450</v>
      </c>
      <c r="N9" s="120">
        <v>500000</v>
      </c>
      <c r="O9" s="120">
        <f t="shared" si="3"/>
        <v>80000</v>
      </c>
      <c r="P9" s="120">
        <f t="shared" si="4"/>
        <v>-65550</v>
      </c>
      <c r="Q9" s="120">
        <f>300000+200000</f>
        <v>500000</v>
      </c>
      <c r="R9" s="120"/>
      <c r="S9" s="120">
        <f t="shared" si="5"/>
        <v>500000</v>
      </c>
      <c r="T9" s="120">
        <f t="shared" si="6"/>
        <v>430000</v>
      </c>
      <c r="U9" s="120">
        <f t="shared" si="7"/>
        <v>70000</v>
      </c>
      <c r="V9" s="120">
        <f t="shared" si="8"/>
        <v>70000</v>
      </c>
      <c r="W9" s="120"/>
      <c r="X9" s="120"/>
      <c r="Y9" s="120"/>
      <c r="Z9" s="120"/>
      <c r="AA9" s="120"/>
      <c r="AB9" s="469" t="s">
        <v>238</v>
      </c>
      <c r="AC9" s="469">
        <v>760000</v>
      </c>
      <c r="AD9" s="465"/>
      <c r="AE9" s="465"/>
      <c r="AF9" s="465"/>
      <c r="AG9" s="465"/>
      <c r="AH9" s="465"/>
      <c r="AI9" s="465"/>
      <c r="AJ9" s="465"/>
      <c r="AK9" s="465"/>
      <c r="AL9" s="465"/>
      <c r="AM9" s="465"/>
      <c r="AN9" s="465"/>
      <c r="AO9" s="465"/>
      <c r="AP9" s="465"/>
      <c r="AQ9" s="465"/>
      <c r="AR9" s="465"/>
      <c r="AS9" s="465"/>
      <c r="AT9" s="465"/>
    </row>
    <row r="10" spans="1:46" s="548" customFormat="1" ht="45" customHeight="1">
      <c r="A10" s="469">
        <f t="shared" si="9"/>
        <v>6</v>
      </c>
      <c r="B10" s="469">
        <v>1422</v>
      </c>
      <c r="C10" s="135" t="s">
        <v>51</v>
      </c>
      <c r="D10" s="120">
        <f>30257000-21334280</f>
        <v>8922720</v>
      </c>
      <c r="E10" s="120">
        <v>30257000</v>
      </c>
      <c r="F10" s="120">
        <f t="shared" si="0"/>
        <v>-21334280</v>
      </c>
      <c r="G10" s="120">
        <v>14182000</v>
      </c>
      <c r="H10" s="120">
        <v>7259720</v>
      </c>
      <c r="I10" s="120"/>
      <c r="J10" s="120"/>
      <c r="K10" s="120">
        <f t="shared" si="1"/>
        <v>0</v>
      </c>
      <c r="L10" s="120">
        <f t="shared" si="2"/>
        <v>7259720</v>
      </c>
      <c r="M10" s="120">
        <f>P10+S10-5259280</f>
        <v>1663000</v>
      </c>
      <c r="N10" s="120"/>
      <c r="O10" s="120">
        <f t="shared" si="3"/>
        <v>0</v>
      </c>
      <c r="P10" s="120">
        <f t="shared" si="4"/>
        <v>6922280</v>
      </c>
      <c r="Q10" s="120"/>
      <c r="R10" s="120"/>
      <c r="S10" s="120">
        <f t="shared" si="5"/>
        <v>0</v>
      </c>
      <c r="T10" s="120">
        <f t="shared" si="6"/>
        <v>5259280</v>
      </c>
      <c r="U10" s="120">
        <f t="shared" si="7"/>
        <v>-5259280</v>
      </c>
      <c r="V10" s="120">
        <f t="shared" si="8"/>
        <v>0</v>
      </c>
      <c r="W10" s="120">
        <v>-5259280</v>
      </c>
      <c r="X10" s="120"/>
      <c r="Y10" s="120"/>
      <c r="Z10" s="120"/>
      <c r="AA10" s="120"/>
      <c r="AB10" s="469" t="s">
        <v>306</v>
      </c>
      <c r="AC10" s="469">
        <v>730000</v>
      </c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5"/>
      <c r="AT10" s="465"/>
    </row>
    <row r="11" spans="1:46" s="548" customFormat="1" ht="45" customHeight="1">
      <c r="A11" s="469">
        <f t="shared" si="9"/>
        <v>7</v>
      </c>
      <c r="B11" s="469">
        <v>1688</v>
      </c>
      <c r="C11" s="135" t="s">
        <v>52</v>
      </c>
      <c r="D11" s="120">
        <v>15133000</v>
      </c>
      <c r="E11" s="120">
        <v>15133000</v>
      </c>
      <c r="F11" s="120">
        <f t="shared" si="0"/>
        <v>0</v>
      </c>
      <c r="G11" s="120">
        <v>15133000</v>
      </c>
      <c r="H11" s="120">
        <v>15133000</v>
      </c>
      <c r="I11" s="120"/>
      <c r="J11" s="120"/>
      <c r="K11" s="120">
        <f t="shared" si="1"/>
        <v>0</v>
      </c>
      <c r="L11" s="120">
        <f t="shared" si="2"/>
        <v>15133000</v>
      </c>
      <c r="M11" s="120">
        <f t="shared" ref="M11:M15" si="10">P11+S11</f>
        <v>0</v>
      </c>
      <c r="N11" s="120"/>
      <c r="O11" s="120">
        <f t="shared" si="3"/>
        <v>0</v>
      </c>
      <c r="P11" s="120">
        <f t="shared" si="4"/>
        <v>0</v>
      </c>
      <c r="Q11" s="120"/>
      <c r="R11" s="120"/>
      <c r="S11" s="120">
        <f t="shared" si="5"/>
        <v>0</v>
      </c>
      <c r="T11" s="120">
        <f t="shared" si="6"/>
        <v>0</v>
      </c>
      <c r="U11" s="120">
        <f t="shared" si="7"/>
        <v>0</v>
      </c>
      <c r="V11" s="120">
        <f t="shared" si="8"/>
        <v>0</v>
      </c>
      <c r="W11" s="120"/>
      <c r="X11" s="120"/>
      <c r="Y11" s="120"/>
      <c r="Z11" s="120"/>
      <c r="AA11" s="120"/>
      <c r="AB11" s="469" t="s">
        <v>307</v>
      </c>
      <c r="AC11" s="469">
        <v>990000</v>
      </c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</row>
    <row r="12" spans="1:46" s="548" customFormat="1" ht="55.2">
      <c r="A12" s="469">
        <f t="shared" si="9"/>
        <v>8</v>
      </c>
      <c r="B12" s="469">
        <v>2100</v>
      </c>
      <c r="C12" s="135" t="s">
        <v>305</v>
      </c>
      <c r="D12" s="120">
        <f>3161603-2635-34344</f>
        <v>3124624</v>
      </c>
      <c r="E12" s="120">
        <v>3161603</v>
      </c>
      <c r="F12" s="120">
        <f t="shared" si="0"/>
        <v>-36979</v>
      </c>
      <c r="G12" s="120">
        <v>3158968</v>
      </c>
      <c r="H12" s="120">
        <v>3124624</v>
      </c>
      <c r="I12" s="120">
        <v>0</v>
      </c>
      <c r="J12" s="120"/>
      <c r="K12" s="120">
        <f t="shared" si="1"/>
        <v>0</v>
      </c>
      <c r="L12" s="120">
        <f t="shared" si="2"/>
        <v>3124624</v>
      </c>
      <c r="M12" s="120">
        <f>P12+S12-34344</f>
        <v>0</v>
      </c>
      <c r="N12" s="120"/>
      <c r="O12" s="120">
        <f t="shared" si="3"/>
        <v>0</v>
      </c>
      <c r="P12" s="120">
        <f t="shared" si="4"/>
        <v>34344</v>
      </c>
      <c r="Q12" s="120"/>
      <c r="R12" s="120"/>
      <c r="S12" s="120">
        <f t="shared" si="5"/>
        <v>0</v>
      </c>
      <c r="T12" s="120">
        <f t="shared" si="6"/>
        <v>34344</v>
      </c>
      <c r="U12" s="120">
        <f t="shared" si="7"/>
        <v>-34344</v>
      </c>
      <c r="V12" s="120">
        <f t="shared" si="8"/>
        <v>-16317</v>
      </c>
      <c r="W12" s="120">
        <v>-18027</v>
      </c>
      <c r="X12" s="120"/>
      <c r="Y12" s="120"/>
      <c r="Z12" s="120"/>
      <c r="AA12" s="120"/>
      <c r="AB12" s="469" t="s">
        <v>1364</v>
      </c>
      <c r="AC12" s="469">
        <v>742000</v>
      </c>
      <c r="AD12" s="465"/>
      <c r="AE12" s="465"/>
      <c r="AF12" s="465"/>
      <c r="AG12" s="465"/>
      <c r="AH12" s="465"/>
      <c r="AI12" s="465"/>
      <c r="AJ12" s="465"/>
      <c r="AK12" s="465"/>
      <c r="AL12" s="465"/>
      <c r="AM12" s="465"/>
      <c r="AN12" s="465"/>
      <c r="AO12" s="465"/>
      <c r="AP12" s="465"/>
      <c r="AQ12" s="465"/>
      <c r="AR12" s="465"/>
      <c r="AS12" s="465"/>
      <c r="AT12" s="465"/>
    </row>
    <row r="13" spans="1:46" s="452" customFormat="1" ht="45" customHeight="1">
      <c r="A13" s="469">
        <f t="shared" si="9"/>
        <v>9</v>
      </c>
      <c r="B13" s="455">
        <v>2222</v>
      </c>
      <c r="C13" s="135" t="s">
        <v>960</v>
      </c>
      <c r="D13" s="120">
        <v>8000000</v>
      </c>
      <c r="E13" s="120">
        <v>8000000</v>
      </c>
      <c r="F13" s="120">
        <f t="shared" si="0"/>
        <v>0</v>
      </c>
      <c r="G13" s="120">
        <v>8000000</v>
      </c>
      <c r="H13" s="120">
        <v>6507689</v>
      </c>
      <c r="I13" s="120">
        <v>0</v>
      </c>
      <c r="J13" s="120">
        <v>63265</v>
      </c>
      <c r="K13" s="120">
        <f t="shared" si="1"/>
        <v>63265</v>
      </c>
      <c r="L13" s="120">
        <f t="shared" si="2"/>
        <v>6570954</v>
      </c>
      <c r="M13" s="120">
        <f>P13+S13-1400000+1378</f>
        <v>30424</v>
      </c>
      <c r="N13" s="120">
        <v>100000</v>
      </c>
      <c r="O13" s="120">
        <f t="shared" si="3"/>
        <v>1298622</v>
      </c>
      <c r="P13" s="120">
        <f t="shared" si="4"/>
        <v>1429046</v>
      </c>
      <c r="Q13" s="120"/>
      <c r="R13" s="120"/>
      <c r="S13" s="120">
        <f t="shared" si="5"/>
        <v>0</v>
      </c>
      <c r="T13" s="120">
        <f t="shared" si="6"/>
        <v>1398622</v>
      </c>
      <c r="U13" s="120">
        <f t="shared" si="7"/>
        <v>-1298622</v>
      </c>
      <c r="V13" s="120">
        <f t="shared" si="8"/>
        <v>0</v>
      </c>
      <c r="W13" s="120">
        <f>-1300000+1378</f>
        <v>-1298622</v>
      </c>
      <c r="X13" s="120"/>
      <c r="Y13" s="120"/>
      <c r="Z13" s="120"/>
      <c r="AA13" s="120"/>
      <c r="AB13" s="469" t="s">
        <v>915</v>
      </c>
      <c r="AC13" s="448">
        <v>742000</v>
      </c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</row>
    <row r="14" spans="1:46" s="452" customFormat="1" ht="45" customHeight="1">
      <c r="A14" s="469">
        <f t="shared" si="9"/>
        <v>10</v>
      </c>
      <c r="B14" s="455">
        <v>20137</v>
      </c>
      <c r="C14" s="135" t="s">
        <v>1007</v>
      </c>
      <c r="D14" s="120">
        <v>8000000</v>
      </c>
      <c r="E14" s="120"/>
      <c r="F14" s="120">
        <f>D14-E14</f>
        <v>8000000</v>
      </c>
      <c r="G14" s="120"/>
      <c r="H14" s="120"/>
      <c r="I14" s="120"/>
      <c r="J14" s="120"/>
      <c r="K14" s="120">
        <f>I14+J14</f>
        <v>0</v>
      </c>
      <c r="L14" s="120">
        <f>H14+K14</f>
        <v>0</v>
      </c>
      <c r="M14" s="120">
        <f>P14+S14</f>
        <v>0</v>
      </c>
      <c r="N14" s="120">
        <f>4000000-2000000+1000000</f>
        <v>3000000</v>
      </c>
      <c r="O14" s="120">
        <f>D14-L14-M14-N14</f>
        <v>5000000</v>
      </c>
      <c r="P14" s="120">
        <f>G14-L14</f>
        <v>0</v>
      </c>
      <c r="Q14" s="120"/>
      <c r="R14" s="120"/>
      <c r="S14" s="120">
        <f>SUM(Q14:R14)</f>
        <v>0</v>
      </c>
      <c r="T14" s="120">
        <f>P14-M14+S14</f>
        <v>0</v>
      </c>
      <c r="U14" s="120">
        <f>N14-T14</f>
        <v>3000000</v>
      </c>
      <c r="V14" s="120">
        <f>U14-W14-Z14-AA14</f>
        <v>0</v>
      </c>
      <c r="W14" s="120">
        <v>3000000</v>
      </c>
      <c r="X14" s="120"/>
      <c r="Y14" s="120"/>
      <c r="Z14" s="120"/>
      <c r="AA14" s="120"/>
      <c r="AB14" s="469" t="s">
        <v>1008</v>
      </c>
      <c r="AC14" s="448">
        <v>742000</v>
      </c>
      <c r="AD14" s="465"/>
      <c r="AE14" s="465"/>
      <c r="AF14" s="465"/>
      <c r="AG14" s="465"/>
      <c r="AH14" s="465"/>
      <c r="AI14" s="465"/>
      <c r="AJ14" s="465"/>
      <c r="AK14" s="465"/>
      <c r="AL14" s="465"/>
      <c r="AM14" s="465"/>
      <c r="AN14" s="465"/>
      <c r="AO14" s="465"/>
      <c r="AP14" s="465"/>
      <c r="AQ14" s="465"/>
      <c r="AR14" s="465"/>
      <c r="AS14" s="465"/>
      <c r="AT14" s="465"/>
    </row>
    <row r="15" spans="1:46" s="452" customFormat="1" ht="45" customHeight="1">
      <c r="A15" s="469">
        <f t="shared" si="9"/>
        <v>11</v>
      </c>
      <c r="B15" s="455">
        <v>20138</v>
      </c>
      <c r="C15" s="135" t="s">
        <v>1303</v>
      </c>
      <c r="D15" s="120">
        <f>27250000+27250000*0.2</f>
        <v>32700000</v>
      </c>
      <c r="E15" s="120"/>
      <c r="F15" s="120">
        <f t="shared" si="0"/>
        <v>32700000</v>
      </c>
      <c r="G15" s="120"/>
      <c r="H15" s="120"/>
      <c r="I15" s="120"/>
      <c r="J15" s="120"/>
      <c r="K15" s="120">
        <f t="shared" si="1"/>
        <v>0</v>
      </c>
      <c r="L15" s="120">
        <f t="shared" si="2"/>
        <v>0</v>
      </c>
      <c r="M15" s="120">
        <f t="shared" si="10"/>
        <v>0</v>
      </c>
      <c r="N15" s="120">
        <v>5450000</v>
      </c>
      <c r="O15" s="120">
        <f t="shared" si="3"/>
        <v>27250000</v>
      </c>
      <c r="P15" s="120">
        <f t="shared" si="4"/>
        <v>0</v>
      </c>
      <c r="Q15" s="120"/>
      <c r="R15" s="120"/>
      <c r="S15" s="120">
        <f t="shared" si="5"/>
        <v>0</v>
      </c>
      <c r="T15" s="120">
        <f t="shared" si="6"/>
        <v>0</v>
      </c>
      <c r="U15" s="120">
        <f t="shared" si="7"/>
        <v>5450000</v>
      </c>
      <c r="V15" s="120">
        <f t="shared" si="8"/>
        <v>5450000</v>
      </c>
      <c r="W15" s="120"/>
      <c r="X15" s="120"/>
      <c r="Y15" s="120"/>
      <c r="Z15" s="120"/>
      <c r="AA15" s="120"/>
      <c r="AB15" s="469" t="s">
        <v>1608</v>
      </c>
      <c r="AC15" s="448">
        <v>999000</v>
      </c>
      <c r="AD15" s="465"/>
      <c r="AE15" s="465"/>
      <c r="AF15" s="465"/>
      <c r="AG15" s="465"/>
      <c r="AH15" s="465"/>
      <c r="AI15" s="465"/>
      <c r="AJ15" s="465"/>
      <c r="AK15" s="465"/>
      <c r="AL15" s="465"/>
      <c r="AM15" s="465"/>
      <c r="AN15" s="465"/>
      <c r="AO15" s="465"/>
      <c r="AP15" s="465"/>
      <c r="AQ15" s="465"/>
      <c r="AR15" s="465"/>
      <c r="AS15" s="465"/>
      <c r="AT15" s="465"/>
    </row>
    <row r="16" spans="1:46" s="551" customFormat="1" ht="45" customHeight="1">
      <c r="A16" s="549">
        <f>COUNT(A5:A15)</f>
        <v>11</v>
      </c>
      <c r="B16" s="549"/>
      <c r="C16" s="454" t="s">
        <v>167</v>
      </c>
      <c r="D16" s="550">
        <f t="shared" ref="D16:AB16" si="11">SUM(D5:D15)</f>
        <v>157543206</v>
      </c>
      <c r="E16" s="550">
        <f t="shared" si="11"/>
        <v>129119603</v>
      </c>
      <c r="F16" s="550">
        <f t="shared" si="11"/>
        <v>28423603</v>
      </c>
      <c r="G16" s="550">
        <f t="shared" si="11"/>
        <v>111736830</v>
      </c>
      <c r="H16" s="550">
        <f t="shared" si="11"/>
        <v>100816209</v>
      </c>
      <c r="I16" s="550">
        <f t="shared" si="11"/>
        <v>140400</v>
      </c>
      <c r="J16" s="550">
        <f t="shared" si="11"/>
        <v>1353103</v>
      </c>
      <c r="K16" s="550">
        <f t="shared" si="11"/>
        <v>1493503</v>
      </c>
      <c r="L16" s="550">
        <f t="shared" si="11"/>
        <v>102309712</v>
      </c>
      <c r="M16" s="550">
        <f t="shared" si="11"/>
        <v>1704872</v>
      </c>
      <c r="N16" s="550">
        <f t="shared" si="11"/>
        <v>13905000</v>
      </c>
      <c r="O16" s="550">
        <f t="shared" si="11"/>
        <v>39623622</v>
      </c>
      <c r="P16" s="550">
        <f t="shared" si="11"/>
        <v>9427118</v>
      </c>
      <c r="Q16" s="550">
        <f t="shared" si="11"/>
        <v>750000</v>
      </c>
      <c r="R16" s="550">
        <f t="shared" si="11"/>
        <v>0</v>
      </c>
      <c r="S16" s="550">
        <f t="shared" si="11"/>
        <v>750000</v>
      </c>
      <c r="T16" s="550">
        <f t="shared" si="11"/>
        <v>8472246</v>
      </c>
      <c r="U16" s="550">
        <f t="shared" si="11"/>
        <v>5432754</v>
      </c>
      <c r="V16" s="550">
        <f t="shared" si="11"/>
        <v>8008683</v>
      </c>
      <c r="W16" s="550">
        <f t="shared" si="11"/>
        <v>-2575929</v>
      </c>
      <c r="X16" s="550">
        <f t="shared" si="11"/>
        <v>0</v>
      </c>
      <c r="Y16" s="550">
        <f t="shared" si="11"/>
        <v>0</v>
      </c>
      <c r="Z16" s="550">
        <f t="shared" si="11"/>
        <v>0</v>
      </c>
      <c r="AA16" s="550">
        <f t="shared" si="11"/>
        <v>0</v>
      </c>
      <c r="AB16" s="550">
        <f t="shared" si="11"/>
        <v>0</v>
      </c>
      <c r="AC16" s="550"/>
      <c r="AD16" s="465"/>
      <c r="AE16" s="465"/>
      <c r="AF16" s="465"/>
      <c r="AG16" s="465"/>
      <c r="AH16" s="465"/>
      <c r="AI16" s="465"/>
      <c r="AJ16" s="465"/>
      <c r="AK16" s="465"/>
      <c r="AL16" s="465"/>
      <c r="AM16" s="465"/>
      <c r="AN16" s="465"/>
      <c r="AO16" s="465"/>
      <c r="AP16" s="465"/>
      <c r="AQ16" s="465"/>
      <c r="AR16" s="465"/>
      <c r="AS16" s="465"/>
      <c r="AT16" s="465"/>
    </row>
    <row r="17" spans="1:46" s="569" customFormat="1" ht="25.2" hidden="1" customHeight="1">
      <c r="A17" s="567"/>
      <c r="B17" s="567"/>
      <c r="C17" s="455"/>
      <c r="D17" s="568"/>
      <c r="E17" s="568"/>
      <c r="F17" s="568">
        <f>D16-E16</f>
        <v>28423603</v>
      </c>
      <c r="G17" s="568"/>
      <c r="H17" s="568"/>
      <c r="I17" s="568"/>
      <c r="J17" s="568"/>
      <c r="K17" s="568"/>
      <c r="L17" s="568">
        <f>H16+I16+J16</f>
        <v>102309712</v>
      </c>
      <c r="M17" s="568"/>
      <c r="N17" s="568"/>
      <c r="O17" s="568"/>
      <c r="P17" s="568">
        <f>G16-L17</f>
        <v>9427118</v>
      </c>
      <c r="Q17" s="568"/>
      <c r="R17" s="568"/>
      <c r="S17" s="568"/>
      <c r="T17" s="568">
        <f>P17+S16-M16</f>
        <v>8472246</v>
      </c>
      <c r="U17" s="568">
        <f>N16-T17</f>
        <v>5432754</v>
      </c>
      <c r="V17" s="568"/>
      <c r="W17" s="568"/>
      <c r="X17" s="568"/>
      <c r="Y17" s="568"/>
      <c r="Z17" s="568"/>
      <c r="AA17" s="568"/>
      <c r="AB17" s="568"/>
      <c r="AC17" s="568"/>
      <c r="AD17" s="465"/>
      <c r="AE17" s="465"/>
      <c r="AF17" s="465"/>
      <c r="AG17" s="465"/>
      <c r="AH17" s="465"/>
      <c r="AI17" s="465"/>
      <c r="AJ17" s="465"/>
      <c r="AK17" s="465"/>
      <c r="AL17" s="465"/>
      <c r="AM17" s="465"/>
      <c r="AN17" s="465"/>
      <c r="AO17" s="560"/>
      <c r="AP17" s="560"/>
      <c r="AQ17" s="560"/>
      <c r="AR17" s="560"/>
      <c r="AS17" s="560"/>
      <c r="AT17" s="560"/>
    </row>
    <row r="25" spans="1:46">
      <c r="C25" s="739"/>
    </row>
    <row r="129" spans="1:1">
      <c r="A129" s="464">
        <f>COUNT(A5:A128)</f>
        <v>12</v>
      </c>
    </row>
    <row r="132" spans="1:1">
      <c r="A132" s="464">
        <f>A129+1</f>
        <v>13</v>
      </c>
    </row>
    <row r="135" spans="1:1" ht="37.950000000000003" customHeight="1"/>
    <row r="138" spans="1:1" ht="70.95" customHeight="1"/>
    <row r="141" spans="1:1" ht="72" customHeight="1"/>
    <row r="143" spans="1:1" ht="43.95" customHeight="1"/>
    <row r="145" ht="30" customHeight="1"/>
  </sheetData>
  <sheetProtection formatCells="0" formatColumns="0" formatRows="0" insertColumns="0" insertRows="0" insertHyperlinks="0" deleteColumns="0" deleteRows="0" sort="0" autoFilter="0" pivotTables="0"/>
  <mergeCells count="1">
    <mergeCell ref="A1:W1"/>
  </mergeCells>
  <conditionalFormatting sqref="AB4">
    <cfRule type="cellIs" dxfId="99" priority="9" operator="equal">
      <formula>0</formula>
    </cfRule>
  </conditionalFormatting>
  <conditionalFormatting sqref="AE4">
    <cfRule type="cellIs" dxfId="98" priority="7" operator="equal">
      <formula>0</formula>
    </cfRule>
  </conditionalFormatting>
  <conditionalFormatting sqref="AF4">
    <cfRule type="cellIs" dxfId="97" priority="4" operator="equal">
      <formula>0</formula>
    </cfRule>
  </conditionalFormatting>
  <conditionalFormatting sqref="AG4">
    <cfRule type="cellIs" dxfId="96" priority="3" operator="equal">
      <formula>0</formula>
    </cfRule>
  </conditionalFormatting>
  <conditionalFormatting sqref="AI4">
    <cfRule type="cellIs" dxfId="95" priority="2" operator="equal">
      <formula>0</formula>
    </cfRule>
  </conditionalFormatting>
  <conditionalFormatting sqref="AM4">
    <cfRule type="cellIs" dxfId="94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9"/>
  <sheetViews>
    <sheetView showZeros="0" rightToLeft="1" zoomScaleNormal="100" workbookViewId="0">
      <pane xSplit="3" ySplit="4" topLeftCell="D35" activePane="bottomRight" state="frozen"/>
      <selection activeCell="S41" sqref="S41"/>
      <selection pane="topRight" activeCell="S41" sqref="S41"/>
      <selection pane="bottomLeft" activeCell="S41" sqref="S41"/>
      <selection pane="bottomRight" activeCell="C41" sqref="C41"/>
    </sheetView>
  </sheetViews>
  <sheetFormatPr defaultColWidth="9.109375" defaultRowHeight="18"/>
  <cols>
    <col min="1" max="1" width="4.5546875" style="131" customWidth="1"/>
    <col min="2" max="2" width="6" style="131" bestFit="1" customWidth="1"/>
    <col min="3" max="3" width="20.33203125" style="131" customWidth="1"/>
    <col min="4" max="4" width="11.109375" style="132" bestFit="1" customWidth="1"/>
    <col min="5" max="5" width="11.109375" style="132" hidden="1" customWidth="1"/>
    <col min="6" max="6" width="9" style="132" hidden="1" customWidth="1"/>
    <col min="7" max="7" width="11.109375" style="132" hidden="1" customWidth="1"/>
    <col min="8" max="8" width="10.109375" style="132" hidden="1" customWidth="1"/>
    <col min="9" max="9" width="6.6640625" style="132" hidden="1" customWidth="1"/>
    <col min="10" max="11" width="9.109375" style="132" hidden="1" customWidth="1"/>
    <col min="12" max="13" width="10.109375" style="132" customWidth="1"/>
    <col min="14" max="14" width="9.109375" style="132" bestFit="1" customWidth="1"/>
    <col min="15" max="15" width="10.109375" style="132" customWidth="1"/>
    <col min="16" max="16" width="10.109375" style="132" hidden="1" customWidth="1"/>
    <col min="17" max="18" width="13.5546875" style="132" hidden="1" customWidth="1"/>
    <col min="19" max="19" width="8.44140625" style="132" hidden="1" customWidth="1"/>
    <col min="20" max="20" width="7.88671875" style="132" bestFit="1" customWidth="1"/>
    <col min="21" max="21" width="9.109375" style="131" bestFit="1" customWidth="1"/>
    <col min="22" max="23" width="9.109375" style="131" customWidth="1"/>
    <col min="24" max="24" width="6.44140625" style="131" hidden="1" customWidth="1"/>
    <col min="25" max="25" width="7.44140625" style="131" hidden="1" customWidth="1"/>
    <col min="26" max="26" width="7.88671875" style="131" hidden="1" customWidth="1"/>
    <col min="27" max="27" width="7.5546875" style="131" customWidth="1"/>
    <col min="28" max="28" width="48.109375" style="139" hidden="1" customWidth="1"/>
    <col min="29" max="29" width="7" style="131" customWidth="1"/>
    <col min="30" max="30" width="18.6640625" style="141" customWidth="1"/>
    <col min="31" max="31" width="33.33203125" style="141" customWidth="1"/>
    <col min="32" max="32" width="34" style="141" customWidth="1"/>
    <col min="33" max="33" width="24.5546875" style="141" customWidth="1"/>
    <col min="34" max="34" width="9.109375" style="131"/>
    <col min="35" max="35" width="7.5546875" style="142" bestFit="1" customWidth="1"/>
    <col min="36" max="16384" width="9.109375" style="131"/>
  </cols>
  <sheetData>
    <row r="1" spans="1:48" s="141" customForma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228"/>
      <c r="Y1" s="228"/>
      <c r="Z1" s="228"/>
      <c r="AB1" s="215"/>
      <c r="AI1" s="142"/>
    </row>
    <row r="2" spans="1:48">
      <c r="A2" s="154" t="s">
        <v>202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4" spans="1:48" s="142" customFormat="1" ht="86.25" customHeight="1">
      <c r="A4" s="130" t="s">
        <v>0</v>
      </c>
      <c r="B4" s="130" t="s">
        <v>1</v>
      </c>
      <c r="C4" s="130" t="s">
        <v>2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7</v>
      </c>
      <c r="I4" s="130" t="s">
        <v>9</v>
      </c>
      <c r="J4" s="130" t="s">
        <v>125</v>
      </c>
      <c r="K4" s="130" t="s">
        <v>10</v>
      </c>
      <c r="L4" s="130" t="s">
        <v>11</v>
      </c>
      <c r="M4" s="130" t="s">
        <v>707</v>
      </c>
      <c r="N4" s="130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0" t="s">
        <v>13</v>
      </c>
      <c r="W4" s="130" t="s">
        <v>14</v>
      </c>
      <c r="X4" s="130" t="s">
        <v>15</v>
      </c>
      <c r="Y4" s="130" t="s">
        <v>214</v>
      </c>
      <c r="Z4" s="130" t="s">
        <v>502</v>
      </c>
      <c r="AA4" s="130" t="s">
        <v>75</v>
      </c>
      <c r="AB4" s="328" t="s">
        <v>242</v>
      </c>
      <c r="AC4" s="130" t="s">
        <v>16</v>
      </c>
      <c r="AD4" s="141"/>
      <c r="AE4" s="141"/>
      <c r="AF4" s="141"/>
      <c r="AG4" s="141"/>
    </row>
    <row r="5" spans="1:48" s="5" customFormat="1">
      <c r="A5" s="135">
        <v>1</v>
      </c>
      <c r="B5" s="3" t="e">
        <f>#REF!</f>
        <v>#REF!</v>
      </c>
      <c r="C5" s="213" t="e">
        <f>#REF!</f>
        <v>#REF!</v>
      </c>
      <c r="D5" s="4" t="e">
        <f>#REF!</f>
        <v>#REF!</v>
      </c>
      <c r="E5" s="4" t="e">
        <f>#REF!</f>
        <v>#REF!</v>
      </c>
      <c r="F5" s="4" t="e">
        <f>#REF!</f>
        <v>#REF!</v>
      </c>
      <c r="G5" s="4" t="e">
        <f>#REF!</f>
        <v>#REF!</v>
      </c>
      <c r="H5" s="4" t="e">
        <f>#REF!</f>
        <v>#REF!</v>
      </c>
      <c r="I5" s="4" t="e">
        <f>#REF!</f>
        <v>#REF!</v>
      </c>
      <c r="J5" s="4" t="e">
        <f>#REF!</f>
        <v>#REF!</v>
      </c>
      <c r="K5" s="4" t="e">
        <f>#REF!</f>
        <v>#REF!</v>
      </c>
      <c r="L5" s="4" t="e">
        <f>#REF!</f>
        <v>#REF!</v>
      </c>
      <c r="M5" s="4" t="e">
        <f>#REF!</f>
        <v>#REF!</v>
      </c>
      <c r="N5" s="4" t="e">
        <f>#REF!</f>
        <v>#REF!</v>
      </c>
      <c r="O5" s="4" t="e">
        <f>#REF!</f>
        <v>#REF!</v>
      </c>
      <c r="P5" s="4" t="e">
        <f>#REF!</f>
        <v>#REF!</v>
      </c>
      <c r="Q5" s="4" t="e">
        <f>#REF!</f>
        <v>#REF!</v>
      </c>
      <c r="R5" s="4" t="e">
        <f>#REF!</f>
        <v>#REF!</v>
      </c>
      <c r="S5" s="4" t="e">
        <f>#REF!</f>
        <v>#REF!</v>
      </c>
      <c r="T5" s="4" t="e">
        <f>#REF!</f>
        <v>#REF!</v>
      </c>
      <c r="U5" s="4" t="e">
        <f>#REF!</f>
        <v>#REF!</v>
      </c>
      <c r="V5" s="4" t="e">
        <f>#REF!</f>
        <v>#REF!</v>
      </c>
      <c r="W5" s="4" t="e">
        <f>#REF!</f>
        <v>#REF!</v>
      </c>
      <c r="X5" s="4" t="e">
        <f>#REF!</f>
        <v>#REF!</v>
      </c>
      <c r="Y5" s="4" t="e">
        <f>#REF!</f>
        <v>#REF!</v>
      </c>
      <c r="Z5" s="4" t="e">
        <f>#REF!</f>
        <v>#REF!</v>
      </c>
      <c r="AA5" s="4" t="e">
        <f>#REF!</f>
        <v>#REF!</v>
      </c>
      <c r="AB5" s="213" t="e">
        <f>#REF!</f>
        <v>#REF!</v>
      </c>
      <c r="AC5" s="3" t="e">
        <f>#REF!</f>
        <v>#REF!</v>
      </c>
      <c r="AD5" s="141"/>
      <c r="AE5" s="141"/>
      <c r="AF5" s="141"/>
      <c r="AG5" s="141"/>
      <c r="AH5" s="134"/>
      <c r="AI5" s="142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</row>
    <row r="6" spans="1:48" s="48" customFormat="1">
      <c r="A6" s="219"/>
      <c r="B6" s="20"/>
      <c r="C6" s="279" t="s">
        <v>525</v>
      </c>
      <c r="D6" s="50" t="e">
        <f>SUM(D5)</f>
        <v>#REF!</v>
      </c>
      <c r="E6" s="50" t="e">
        <f t="shared" ref="E6:AA6" si="0">SUM(E5)</f>
        <v>#REF!</v>
      </c>
      <c r="F6" s="50" t="e">
        <f t="shared" si="0"/>
        <v>#REF!</v>
      </c>
      <c r="G6" s="50" t="e">
        <f t="shared" si="0"/>
        <v>#REF!</v>
      </c>
      <c r="H6" s="50" t="e">
        <f t="shared" si="0"/>
        <v>#REF!</v>
      </c>
      <c r="I6" s="50" t="e">
        <f t="shared" si="0"/>
        <v>#REF!</v>
      </c>
      <c r="J6" s="50" t="e">
        <f t="shared" si="0"/>
        <v>#REF!</v>
      </c>
      <c r="K6" s="50" t="e">
        <f t="shared" si="0"/>
        <v>#REF!</v>
      </c>
      <c r="L6" s="50" t="e">
        <f t="shared" si="0"/>
        <v>#REF!</v>
      </c>
      <c r="M6" s="50" t="e">
        <f t="shared" si="0"/>
        <v>#REF!</v>
      </c>
      <c r="N6" s="50" t="e">
        <f t="shared" si="0"/>
        <v>#REF!</v>
      </c>
      <c r="O6" s="50" t="e">
        <f t="shared" si="0"/>
        <v>#REF!</v>
      </c>
      <c r="P6" s="50" t="e">
        <f t="shared" si="0"/>
        <v>#REF!</v>
      </c>
      <c r="Q6" s="50" t="e">
        <f t="shared" si="0"/>
        <v>#REF!</v>
      </c>
      <c r="R6" s="50" t="e">
        <f t="shared" si="0"/>
        <v>#REF!</v>
      </c>
      <c r="S6" s="50" t="e">
        <f t="shared" si="0"/>
        <v>#REF!</v>
      </c>
      <c r="T6" s="50" t="e">
        <f t="shared" si="0"/>
        <v>#REF!</v>
      </c>
      <c r="U6" s="50" t="e">
        <f t="shared" si="0"/>
        <v>#REF!</v>
      </c>
      <c r="V6" s="50" t="e">
        <f t="shared" si="0"/>
        <v>#REF!</v>
      </c>
      <c r="W6" s="50" t="e">
        <f t="shared" si="0"/>
        <v>#REF!</v>
      </c>
      <c r="X6" s="50" t="e">
        <f t="shared" si="0"/>
        <v>#REF!</v>
      </c>
      <c r="Y6" s="50" t="e">
        <f t="shared" si="0"/>
        <v>#REF!</v>
      </c>
      <c r="Z6" s="50" t="e">
        <f t="shared" si="0"/>
        <v>#REF!</v>
      </c>
      <c r="AA6" s="50" t="e">
        <f t="shared" si="0"/>
        <v>#REF!</v>
      </c>
      <c r="AB6" s="279"/>
      <c r="AC6" s="20"/>
      <c r="AD6" s="403"/>
      <c r="AE6" s="403"/>
      <c r="AF6" s="403"/>
      <c r="AG6" s="403"/>
      <c r="AH6" s="238"/>
      <c r="AI6" s="414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</row>
    <row r="7" spans="1:48" s="5" customFormat="1" ht="42" customHeight="1">
      <c r="A7" s="135">
        <f>A5+1</f>
        <v>2</v>
      </c>
      <c r="B7" s="3" t="e">
        <f>#REF!</f>
        <v>#REF!</v>
      </c>
      <c r="C7" s="213" t="e">
        <f>#REF!</f>
        <v>#REF!</v>
      </c>
      <c r="D7" s="4" t="e">
        <f>#REF!</f>
        <v>#REF!</v>
      </c>
      <c r="E7" s="4" t="e">
        <f>#REF!</f>
        <v>#REF!</v>
      </c>
      <c r="F7" s="4" t="e">
        <f>#REF!</f>
        <v>#REF!</v>
      </c>
      <c r="G7" s="4" t="e">
        <f>#REF!</f>
        <v>#REF!</v>
      </c>
      <c r="H7" s="4" t="e">
        <f>#REF!</f>
        <v>#REF!</v>
      </c>
      <c r="I7" s="4" t="e">
        <f>#REF!</f>
        <v>#REF!</v>
      </c>
      <c r="J7" s="4" t="e">
        <f>#REF!</f>
        <v>#REF!</v>
      </c>
      <c r="K7" s="4" t="e">
        <f>#REF!</f>
        <v>#REF!</v>
      </c>
      <c r="L7" s="4" t="e">
        <f>#REF!</f>
        <v>#REF!</v>
      </c>
      <c r="M7" s="4" t="e">
        <f>#REF!</f>
        <v>#REF!</v>
      </c>
      <c r="N7" s="4" t="e">
        <f>#REF!</f>
        <v>#REF!</v>
      </c>
      <c r="O7" s="4" t="e">
        <f>#REF!</f>
        <v>#REF!</v>
      </c>
      <c r="P7" s="4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4" t="e">
        <f>#REF!</f>
        <v>#REF!</v>
      </c>
      <c r="V7" s="4" t="e">
        <f>#REF!</f>
        <v>#REF!</v>
      </c>
      <c r="W7" s="4" t="e">
        <f>#REF!</f>
        <v>#REF!</v>
      </c>
      <c r="X7" s="4" t="e">
        <f>#REF!</f>
        <v>#REF!</v>
      </c>
      <c r="Y7" s="4" t="e">
        <f>#REF!</f>
        <v>#REF!</v>
      </c>
      <c r="Z7" s="4" t="e">
        <f>#REF!</f>
        <v>#REF!</v>
      </c>
      <c r="AA7" s="4" t="e">
        <f>#REF!</f>
        <v>#REF!</v>
      </c>
      <c r="AB7" s="213" t="e">
        <f>#REF!</f>
        <v>#REF!</v>
      </c>
      <c r="AC7" s="3" t="e">
        <f>#REF!</f>
        <v>#REF!</v>
      </c>
      <c r="AD7" s="141"/>
      <c r="AE7" s="141"/>
      <c r="AF7" s="141"/>
      <c r="AG7" s="141"/>
      <c r="AI7" s="142"/>
    </row>
    <row r="8" spans="1:48" s="134" customFormat="1">
      <c r="A8" s="135">
        <f t="shared" ref="A8:A14" si="1">A7+1</f>
        <v>3</v>
      </c>
      <c r="B8" s="3" t="e">
        <f>#REF!</f>
        <v>#REF!</v>
      </c>
      <c r="C8" s="213" t="e">
        <f>#REF!</f>
        <v>#REF!</v>
      </c>
      <c r="D8" s="4" t="e">
        <f>#REF!</f>
        <v>#REF!</v>
      </c>
      <c r="E8" s="4" t="e">
        <f>#REF!</f>
        <v>#REF!</v>
      </c>
      <c r="F8" s="4" t="e">
        <f>#REF!</f>
        <v>#REF!</v>
      </c>
      <c r="G8" s="4" t="e">
        <f>#REF!</f>
        <v>#REF!</v>
      </c>
      <c r="H8" s="4" t="e">
        <f>#REF!</f>
        <v>#REF!</v>
      </c>
      <c r="I8" s="4" t="e">
        <f>#REF!</f>
        <v>#REF!</v>
      </c>
      <c r="J8" s="4" t="e">
        <f>#REF!</f>
        <v>#REF!</v>
      </c>
      <c r="K8" s="4" t="e">
        <f>#REF!</f>
        <v>#REF!</v>
      </c>
      <c r="L8" s="4" t="e">
        <f>#REF!</f>
        <v>#REF!</v>
      </c>
      <c r="M8" s="4" t="e">
        <f>#REF!</f>
        <v>#REF!</v>
      </c>
      <c r="N8" s="4" t="e">
        <f>#REF!</f>
        <v>#REF!</v>
      </c>
      <c r="O8" s="4" t="e">
        <f>#REF!</f>
        <v>#REF!</v>
      </c>
      <c r="P8" s="4" t="e">
        <f>#REF!</f>
        <v>#REF!</v>
      </c>
      <c r="Q8" s="4" t="e">
        <f>#REF!</f>
        <v>#REF!</v>
      </c>
      <c r="R8" s="4" t="e">
        <f>#REF!</f>
        <v>#REF!</v>
      </c>
      <c r="S8" s="4" t="e">
        <f>#REF!</f>
        <v>#REF!</v>
      </c>
      <c r="T8" s="4" t="e">
        <f>#REF!</f>
        <v>#REF!</v>
      </c>
      <c r="U8" s="4" t="e">
        <f>#REF!</f>
        <v>#REF!</v>
      </c>
      <c r="V8" s="4" t="e">
        <f>#REF!</f>
        <v>#REF!</v>
      </c>
      <c r="W8" s="4" t="e">
        <f>#REF!</f>
        <v>#REF!</v>
      </c>
      <c r="X8" s="4" t="e">
        <f>#REF!</f>
        <v>#REF!</v>
      </c>
      <c r="Y8" s="4" t="e">
        <f>#REF!</f>
        <v>#REF!</v>
      </c>
      <c r="Z8" s="4" t="e">
        <f>#REF!</f>
        <v>#REF!</v>
      </c>
      <c r="AA8" s="4" t="e">
        <f>#REF!</f>
        <v>#REF!</v>
      </c>
      <c r="AB8" s="213" t="e">
        <f>#REF!</f>
        <v>#REF!</v>
      </c>
      <c r="AC8" s="3" t="e">
        <f>#REF!</f>
        <v>#REF!</v>
      </c>
      <c r="AD8" s="141"/>
      <c r="AE8" s="141"/>
      <c r="AF8" s="141"/>
      <c r="AG8" s="141"/>
      <c r="AI8" s="142"/>
    </row>
    <row r="9" spans="1:48" s="134" customFormat="1">
      <c r="A9" s="135">
        <f t="shared" si="1"/>
        <v>4</v>
      </c>
      <c r="B9" s="3" t="e">
        <f>#REF!</f>
        <v>#REF!</v>
      </c>
      <c r="C9" s="213" t="e">
        <f>#REF!</f>
        <v>#REF!</v>
      </c>
      <c r="D9" s="4" t="e">
        <f>#REF!</f>
        <v>#REF!</v>
      </c>
      <c r="E9" s="4" t="e">
        <f>#REF!</f>
        <v>#REF!</v>
      </c>
      <c r="F9" s="4" t="e">
        <f>#REF!</f>
        <v>#REF!</v>
      </c>
      <c r="G9" s="4" t="e">
        <f>#REF!</f>
        <v>#REF!</v>
      </c>
      <c r="H9" s="4" t="e">
        <f>#REF!</f>
        <v>#REF!</v>
      </c>
      <c r="I9" s="4" t="e">
        <f>#REF!</f>
        <v>#REF!</v>
      </c>
      <c r="J9" s="4" t="e">
        <f>#REF!</f>
        <v>#REF!</v>
      </c>
      <c r="K9" s="4" t="e">
        <f>#REF!</f>
        <v>#REF!</v>
      </c>
      <c r="L9" s="4" t="e">
        <f>#REF!</f>
        <v>#REF!</v>
      </c>
      <c r="M9" s="4" t="e">
        <f>#REF!</f>
        <v>#REF!</v>
      </c>
      <c r="N9" s="4" t="e">
        <f>#REF!</f>
        <v>#REF!</v>
      </c>
      <c r="O9" s="4" t="e">
        <f>#REF!</f>
        <v>#REF!</v>
      </c>
      <c r="P9" s="4" t="e">
        <f>#REF!</f>
        <v>#REF!</v>
      </c>
      <c r="Q9" s="4" t="e">
        <f>#REF!</f>
        <v>#REF!</v>
      </c>
      <c r="R9" s="4" t="e">
        <f>#REF!</f>
        <v>#REF!</v>
      </c>
      <c r="S9" s="4" t="e">
        <f>#REF!</f>
        <v>#REF!</v>
      </c>
      <c r="T9" s="4" t="e">
        <f>#REF!</f>
        <v>#REF!</v>
      </c>
      <c r="U9" s="4" t="e">
        <f>#REF!</f>
        <v>#REF!</v>
      </c>
      <c r="V9" s="4" t="e">
        <f>#REF!</f>
        <v>#REF!</v>
      </c>
      <c r="W9" s="4" t="e">
        <f>#REF!</f>
        <v>#REF!</v>
      </c>
      <c r="X9" s="4" t="e">
        <f>#REF!</f>
        <v>#REF!</v>
      </c>
      <c r="Y9" s="4" t="e">
        <f>#REF!</f>
        <v>#REF!</v>
      </c>
      <c r="Z9" s="4" t="e">
        <f>#REF!</f>
        <v>#REF!</v>
      </c>
      <c r="AA9" s="4" t="e">
        <f>#REF!</f>
        <v>#REF!</v>
      </c>
      <c r="AB9" s="213" t="e">
        <f>#REF!</f>
        <v>#REF!</v>
      </c>
      <c r="AC9" s="3" t="e">
        <f>#REF!</f>
        <v>#REF!</v>
      </c>
      <c r="AD9" s="141"/>
      <c r="AE9" s="141"/>
      <c r="AF9" s="141"/>
      <c r="AG9" s="141"/>
      <c r="AI9" s="142"/>
    </row>
    <row r="10" spans="1:48" s="134" customFormat="1" ht="30" customHeight="1">
      <c r="A10" s="135">
        <f t="shared" si="1"/>
        <v>5</v>
      </c>
      <c r="B10" s="3" t="e">
        <f>#REF!</f>
        <v>#REF!</v>
      </c>
      <c r="C10" s="213" t="e">
        <f>#REF!</f>
        <v>#REF!</v>
      </c>
      <c r="D10" s="4" t="e">
        <f>#REF!</f>
        <v>#REF!</v>
      </c>
      <c r="E10" s="4" t="e">
        <f>#REF!</f>
        <v>#REF!</v>
      </c>
      <c r="F10" s="4" t="e">
        <f>#REF!</f>
        <v>#REF!</v>
      </c>
      <c r="G10" s="4" t="e">
        <f>#REF!</f>
        <v>#REF!</v>
      </c>
      <c r="H10" s="4" t="e">
        <f>#REF!</f>
        <v>#REF!</v>
      </c>
      <c r="I10" s="4" t="e">
        <f>#REF!</f>
        <v>#REF!</v>
      </c>
      <c r="J10" s="4" t="e">
        <f>#REF!</f>
        <v>#REF!</v>
      </c>
      <c r="K10" s="4" t="e">
        <f>#REF!</f>
        <v>#REF!</v>
      </c>
      <c r="L10" s="4" t="e">
        <f>#REF!</f>
        <v>#REF!</v>
      </c>
      <c r="M10" s="4" t="e">
        <f>#REF!</f>
        <v>#REF!</v>
      </c>
      <c r="N10" s="4" t="e">
        <f>#REF!</f>
        <v>#REF!</v>
      </c>
      <c r="O10" s="4" t="e">
        <f>#REF!</f>
        <v>#REF!</v>
      </c>
      <c r="P10" s="4" t="e">
        <f>#REF!</f>
        <v>#REF!</v>
      </c>
      <c r="Q10" s="4" t="e">
        <f>#REF!</f>
        <v>#REF!</v>
      </c>
      <c r="R10" s="4" t="e">
        <f>#REF!</f>
        <v>#REF!</v>
      </c>
      <c r="S10" s="4" t="e">
        <f>#REF!</f>
        <v>#REF!</v>
      </c>
      <c r="T10" s="4" t="e">
        <f>#REF!</f>
        <v>#REF!</v>
      </c>
      <c r="U10" s="4" t="e">
        <f>#REF!</f>
        <v>#REF!</v>
      </c>
      <c r="V10" s="4" t="e">
        <f>#REF!</f>
        <v>#REF!</v>
      </c>
      <c r="W10" s="4" t="e">
        <f>#REF!</f>
        <v>#REF!</v>
      </c>
      <c r="X10" s="4" t="e">
        <f>#REF!</f>
        <v>#REF!</v>
      </c>
      <c r="Y10" s="4" t="e">
        <f>#REF!</f>
        <v>#REF!</v>
      </c>
      <c r="Z10" s="4" t="e">
        <f>#REF!</f>
        <v>#REF!</v>
      </c>
      <c r="AA10" s="4" t="e">
        <f>#REF!</f>
        <v>#REF!</v>
      </c>
      <c r="AB10" s="213" t="e">
        <f>#REF!</f>
        <v>#REF!</v>
      </c>
      <c r="AC10" s="3" t="e">
        <f>#REF!</f>
        <v>#REF!</v>
      </c>
      <c r="AD10" s="141"/>
      <c r="AE10" s="141"/>
      <c r="AF10" s="141"/>
      <c r="AG10" s="141"/>
      <c r="AH10" s="5"/>
      <c r="AI10" s="142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 s="134" customFormat="1">
      <c r="A11" s="135">
        <f t="shared" si="1"/>
        <v>6</v>
      </c>
      <c r="B11" s="3" t="e">
        <f>#REF!</f>
        <v>#REF!</v>
      </c>
      <c r="C11" s="213" t="e">
        <f>#REF!</f>
        <v>#REF!</v>
      </c>
      <c r="D11" s="4" t="e">
        <f>#REF!</f>
        <v>#REF!</v>
      </c>
      <c r="E11" s="4" t="e">
        <f>#REF!</f>
        <v>#REF!</v>
      </c>
      <c r="F11" s="4" t="e">
        <f>#REF!</f>
        <v>#REF!</v>
      </c>
      <c r="G11" s="4" t="e">
        <f>#REF!</f>
        <v>#REF!</v>
      </c>
      <c r="H11" s="4" t="e">
        <f>#REF!</f>
        <v>#REF!</v>
      </c>
      <c r="I11" s="4" t="e">
        <f>#REF!</f>
        <v>#REF!</v>
      </c>
      <c r="J11" s="4" t="e">
        <f>#REF!</f>
        <v>#REF!</v>
      </c>
      <c r="K11" s="4" t="e">
        <f>#REF!</f>
        <v>#REF!</v>
      </c>
      <c r="L11" s="4" t="e">
        <f>#REF!</f>
        <v>#REF!</v>
      </c>
      <c r="M11" s="4" t="e">
        <f>#REF!</f>
        <v>#REF!</v>
      </c>
      <c r="N11" s="4" t="e">
        <f>#REF!</f>
        <v>#REF!</v>
      </c>
      <c r="O11" s="4" t="e">
        <f>#REF!</f>
        <v>#REF!</v>
      </c>
      <c r="P11" s="4" t="e">
        <f>#REF!</f>
        <v>#REF!</v>
      </c>
      <c r="Q11" s="4" t="e">
        <f>#REF!</f>
        <v>#REF!</v>
      </c>
      <c r="R11" s="4" t="e">
        <f>#REF!</f>
        <v>#REF!</v>
      </c>
      <c r="S11" s="4" t="e">
        <f>#REF!</f>
        <v>#REF!</v>
      </c>
      <c r="T11" s="4" t="e">
        <f>#REF!</f>
        <v>#REF!</v>
      </c>
      <c r="U11" s="4" t="e">
        <f>#REF!</f>
        <v>#REF!</v>
      </c>
      <c r="V11" s="4" t="e">
        <f>#REF!</f>
        <v>#REF!</v>
      </c>
      <c r="W11" s="4" t="e">
        <f>#REF!</f>
        <v>#REF!</v>
      </c>
      <c r="X11" s="4" t="e">
        <f>#REF!</f>
        <v>#REF!</v>
      </c>
      <c r="Y11" s="4" t="e">
        <f>#REF!</f>
        <v>#REF!</v>
      </c>
      <c r="Z11" s="4" t="e">
        <f>#REF!</f>
        <v>#REF!</v>
      </c>
      <c r="AA11" s="4" t="e">
        <f>#REF!</f>
        <v>#REF!</v>
      </c>
      <c r="AB11" s="213" t="e">
        <f>#REF!</f>
        <v>#REF!</v>
      </c>
      <c r="AC11" s="3" t="e">
        <f>#REF!</f>
        <v>#REF!</v>
      </c>
      <c r="AD11" s="141"/>
      <c r="AE11" s="141"/>
      <c r="AF11" s="141"/>
      <c r="AG11" s="141"/>
      <c r="AH11" s="5"/>
      <c r="AI11" s="142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</row>
    <row r="12" spans="1:48" s="238" customFormat="1">
      <c r="A12" s="219"/>
      <c r="B12" s="20"/>
      <c r="C12" s="279" t="s">
        <v>526</v>
      </c>
      <c r="D12" s="50" t="e">
        <f>SUM(D7:D11)</f>
        <v>#REF!</v>
      </c>
      <c r="E12" s="50" t="e">
        <f t="shared" ref="E12:AA12" si="2">SUM(E7:E11)</f>
        <v>#REF!</v>
      </c>
      <c r="F12" s="50" t="e">
        <f t="shared" si="2"/>
        <v>#REF!</v>
      </c>
      <c r="G12" s="50" t="e">
        <f t="shared" si="2"/>
        <v>#REF!</v>
      </c>
      <c r="H12" s="50" t="e">
        <f t="shared" si="2"/>
        <v>#REF!</v>
      </c>
      <c r="I12" s="50" t="e">
        <f t="shared" si="2"/>
        <v>#REF!</v>
      </c>
      <c r="J12" s="50" t="e">
        <f t="shared" si="2"/>
        <v>#REF!</v>
      </c>
      <c r="K12" s="50" t="e">
        <f t="shared" si="2"/>
        <v>#REF!</v>
      </c>
      <c r="L12" s="50" t="e">
        <f t="shared" si="2"/>
        <v>#REF!</v>
      </c>
      <c r="M12" s="50" t="e">
        <f t="shared" si="2"/>
        <v>#REF!</v>
      </c>
      <c r="N12" s="50" t="e">
        <f t="shared" si="2"/>
        <v>#REF!</v>
      </c>
      <c r="O12" s="50" t="e">
        <f t="shared" si="2"/>
        <v>#REF!</v>
      </c>
      <c r="P12" s="50" t="e">
        <f t="shared" si="2"/>
        <v>#REF!</v>
      </c>
      <c r="Q12" s="50" t="e">
        <f t="shared" si="2"/>
        <v>#REF!</v>
      </c>
      <c r="R12" s="50" t="e">
        <f t="shared" si="2"/>
        <v>#REF!</v>
      </c>
      <c r="S12" s="50" t="e">
        <f t="shared" si="2"/>
        <v>#REF!</v>
      </c>
      <c r="T12" s="50" t="e">
        <f t="shared" si="2"/>
        <v>#REF!</v>
      </c>
      <c r="U12" s="50" t="e">
        <f t="shared" si="2"/>
        <v>#REF!</v>
      </c>
      <c r="V12" s="50" t="e">
        <f t="shared" si="2"/>
        <v>#REF!</v>
      </c>
      <c r="W12" s="50" t="e">
        <f t="shared" si="2"/>
        <v>#REF!</v>
      </c>
      <c r="X12" s="50" t="e">
        <f t="shared" si="2"/>
        <v>#REF!</v>
      </c>
      <c r="Y12" s="50" t="e">
        <f t="shared" si="2"/>
        <v>#REF!</v>
      </c>
      <c r="Z12" s="50" t="e">
        <f t="shared" si="2"/>
        <v>#REF!</v>
      </c>
      <c r="AA12" s="50" t="e">
        <f t="shared" si="2"/>
        <v>#REF!</v>
      </c>
      <c r="AB12" s="279"/>
      <c r="AC12" s="20"/>
      <c r="AD12" s="403"/>
      <c r="AE12" s="403"/>
      <c r="AF12" s="403"/>
      <c r="AG12" s="403"/>
      <c r="AH12" s="48"/>
      <c r="AI12" s="414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</row>
    <row r="13" spans="1:48" s="134" customFormat="1" ht="30" customHeight="1">
      <c r="A13" s="135">
        <f>A11+1</f>
        <v>7</v>
      </c>
      <c r="B13" s="3" t="e">
        <f>#REF!</f>
        <v>#REF!</v>
      </c>
      <c r="C13" s="213" t="e">
        <f>#REF!</f>
        <v>#REF!</v>
      </c>
      <c r="D13" s="4" t="e">
        <f>#REF!</f>
        <v>#REF!</v>
      </c>
      <c r="E13" s="4" t="e">
        <f>#REF!</f>
        <v>#REF!</v>
      </c>
      <c r="F13" s="4" t="e">
        <f>#REF!</f>
        <v>#REF!</v>
      </c>
      <c r="G13" s="4" t="e">
        <f>#REF!</f>
        <v>#REF!</v>
      </c>
      <c r="H13" s="4" t="e">
        <f>#REF!</f>
        <v>#REF!</v>
      </c>
      <c r="I13" s="4" t="e">
        <f>#REF!</f>
        <v>#REF!</v>
      </c>
      <c r="J13" s="4" t="e">
        <f>#REF!</f>
        <v>#REF!</v>
      </c>
      <c r="K13" s="4" t="e">
        <f>#REF!</f>
        <v>#REF!</v>
      </c>
      <c r="L13" s="4" t="e">
        <f>#REF!</f>
        <v>#REF!</v>
      </c>
      <c r="M13" s="4" t="e">
        <f>#REF!</f>
        <v>#REF!</v>
      </c>
      <c r="N13" s="4" t="e">
        <f>#REF!</f>
        <v>#REF!</v>
      </c>
      <c r="O13" s="4" t="e">
        <f>#REF!</f>
        <v>#REF!</v>
      </c>
      <c r="P13" s="4" t="e">
        <f>#REF!</f>
        <v>#REF!</v>
      </c>
      <c r="Q13" s="4" t="e">
        <f>#REF!</f>
        <v>#REF!</v>
      </c>
      <c r="R13" s="4" t="e">
        <f>#REF!</f>
        <v>#REF!</v>
      </c>
      <c r="S13" s="4" t="e">
        <f>#REF!</f>
        <v>#REF!</v>
      </c>
      <c r="T13" s="4" t="e">
        <f>#REF!</f>
        <v>#REF!</v>
      </c>
      <c r="U13" s="4" t="e">
        <f>#REF!</f>
        <v>#REF!</v>
      </c>
      <c r="V13" s="4" t="e">
        <f>#REF!</f>
        <v>#REF!</v>
      </c>
      <c r="W13" s="4" t="e">
        <f>#REF!</f>
        <v>#REF!</v>
      </c>
      <c r="X13" s="4" t="e">
        <f>#REF!</f>
        <v>#REF!</v>
      </c>
      <c r="Y13" s="4" t="e">
        <f>#REF!</f>
        <v>#REF!</v>
      </c>
      <c r="Z13" s="4" t="e">
        <f>#REF!</f>
        <v>#REF!</v>
      </c>
      <c r="AA13" s="4" t="e">
        <f>#REF!</f>
        <v>#REF!</v>
      </c>
      <c r="AB13" s="213" t="e">
        <f>#REF!</f>
        <v>#REF!</v>
      </c>
      <c r="AC13" s="3" t="e">
        <f>#REF!</f>
        <v>#REF!</v>
      </c>
      <c r="AD13" s="141"/>
      <c r="AE13" s="141"/>
      <c r="AF13" s="141"/>
      <c r="AG13" s="141"/>
      <c r="AI13" s="142"/>
    </row>
    <row r="14" spans="1:48" s="134" customFormat="1">
      <c r="A14" s="135">
        <f t="shared" si="1"/>
        <v>8</v>
      </c>
      <c r="B14" s="3" t="e">
        <f>#REF!</f>
        <v>#REF!</v>
      </c>
      <c r="C14" s="213" t="e">
        <f>#REF!</f>
        <v>#REF!</v>
      </c>
      <c r="D14" s="4" t="e">
        <f>#REF!</f>
        <v>#REF!</v>
      </c>
      <c r="E14" s="4" t="e">
        <f>#REF!</f>
        <v>#REF!</v>
      </c>
      <c r="F14" s="4" t="e">
        <f>#REF!</f>
        <v>#REF!</v>
      </c>
      <c r="G14" s="4" t="e">
        <f>#REF!</f>
        <v>#REF!</v>
      </c>
      <c r="H14" s="4" t="e">
        <f>#REF!</f>
        <v>#REF!</v>
      </c>
      <c r="I14" s="4" t="e">
        <f>#REF!</f>
        <v>#REF!</v>
      </c>
      <c r="J14" s="4" t="e">
        <f>#REF!</f>
        <v>#REF!</v>
      </c>
      <c r="K14" s="4" t="e">
        <f>#REF!</f>
        <v>#REF!</v>
      </c>
      <c r="L14" s="4" t="e">
        <f>#REF!</f>
        <v>#REF!</v>
      </c>
      <c r="M14" s="4" t="e">
        <f>#REF!</f>
        <v>#REF!</v>
      </c>
      <c r="N14" s="4" t="e">
        <f>#REF!</f>
        <v>#REF!</v>
      </c>
      <c r="O14" s="4" t="e">
        <f>#REF!</f>
        <v>#REF!</v>
      </c>
      <c r="P14" s="4" t="e">
        <f>#REF!</f>
        <v>#REF!</v>
      </c>
      <c r="Q14" s="4" t="e">
        <f>#REF!</f>
        <v>#REF!</v>
      </c>
      <c r="R14" s="4" t="e">
        <f>#REF!</f>
        <v>#REF!</v>
      </c>
      <c r="S14" s="4" t="e">
        <f>#REF!</f>
        <v>#REF!</v>
      </c>
      <c r="T14" s="4" t="e">
        <f>#REF!</f>
        <v>#REF!</v>
      </c>
      <c r="U14" s="4" t="e">
        <f>#REF!</f>
        <v>#REF!</v>
      </c>
      <c r="V14" s="4" t="e">
        <f>#REF!</f>
        <v>#REF!</v>
      </c>
      <c r="W14" s="4" t="e">
        <f>#REF!</f>
        <v>#REF!</v>
      </c>
      <c r="X14" s="4" t="e">
        <f>#REF!</f>
        <v>#REF!</v>
      </c>
      <c r="Y14" s="4" t="e">
        <f>#REF!</f>
        <v>#REF!</v>
      </c>
      <c r="Z14" s="4" t="e">
        <f>#REF!</f>
        <v>#REF!</v>
      </c>
      <c r="AA14" s="4" t="e">
        <f>#REF!</f>
        <v>#REF!</v>
      </c>
      <c r="AB14" s="213" t="e">
        <f>#REF!</f>
        <v>#REF!</v>
      </c>
      <c r="AC14" s="3" t="e">
        <f>#REF!</f>
        <v>#REF!</v>
      </c>
      <c r="AD14" s="141"/>
      <c r="AE14" s="141"/>
      <c r="AF14" s="141"/>
      <c r="AG14" s="141"/>
      <c r="AI14" s="142"/>
    </row>
    <row r="15" spans="1:48" s="238" customFormat="1">
      <c r="A15" s="219"/>
      <c r="B15" s="20"/>
      <c r="C15" s="279" t="s">
        <v>527</v>
      </c>
      <c r="D15" s="50" t="e">
        <f>SUM(D13:D14)</f>
        <v>#REF!</v>
      </c>
      <c r="E15" s="50" t="e">
        <f t="shared" ref="E15:AA15" si="3">SUM(E13:E14)</f>
        <v>#REF!</v>
      </c>
      <c r="F15" s="50" t="e">
        <f t="shared" si="3"/>
        <v>#REF!</v>
      </c>
      <c r="G15" s="50" t="e">
        <f t="shared" si="3"/>
        <v>#REF!</v>
      </c>
      <c r="H15" s="50" t="e">
        <f t="shared" si="3"/>
        <v>#REF!</v>
      </c>
      <c r="I15" s="50" t="e">
        <f t="shared" si="3"/>
        <v>#REF!</v>
      </c>
      <c r="J15" s="50" t="e">
        <f t="shared" si="3"/>
        <v>#REF!</v>
      </c>
      <c r="K15" s="50" t="e">
        <f t="shared" si="3"/>
        <v>#REF!</v>
      </c>
      <c r="L15" s="50" t="e">
        <f t="shared" si="3"/>
        <v>#REF!</v>
      </c>
      <c r="M15" s="50" t="e">
        <f t="shared" si="3"/>
        <v>#REF!</v>
      </c>
      <c r="N15" s="50" t="e">
        <f t="shared" si="3"/>
        <v>#REF!</v>
      </c>
      <c r="O15" s="50" t="e">
        <f t="shared" si="3"/>
        <v>#REF!</v>
      </c>
      <c r="P15" s="50" t="e">
        <f t="shared" si="3"/>
        <v>#REF!</v>
      </c>
      <c r="Q15" s="50" t="e">
        <f t="shared" si="3"/>
        <v>#REF!</v>
      </c>
      <c r="R15" s="50" t="e">
        <f t="shared" si="3"/>
        <v>#REF!</v>
      </c>
      <c r="S15" s="50" t="e">
        <f t="shared" si="3"/>
        <v>#REF!</v>
      </c>
      <c r="T15" s="50" t="e">
        <f t="shared" si="3"/>
        <v>#REF!</v>
      </c>
      <c r="U15" s="50" t="e">
        <f t="shared" si="3"/>
        <v>#REF!</v>
      </c>
      <c r="V15" s="50" t="e">
        <f t="shared" si="3"/>
        <v>#REF!</v>
      </c>
      <c r="W15" s="50" t="e">
        <f t="shared" si="3"/>
        <v>#REF!</v>
      </c>
      <c r="X15" s="50" t="e">
        <f t="shared" si="3"/>
        <v>#REF!</v>
      </c>
      <c r="Y15" s="50" t="e">
        <f t="shared" si="3"/>
        <v>#REF!</v>
      </c>
      <c r="Z15" s="50" t="e">
        <f t="shared" si="3"/>
        <v>#REF!</v>
      </c>
      <c r="AA15" s="50" t="e">
        <f t="shared" si="3"/>
        <v>#REF!</v>
      </c>
      <c r="AB15" s="279"/>
      <c r="AC15" s="20"/>
      <c r="AD15" s="403"/>
      <c r="AE15" s="403"/>
      <c r="AF15" s="403"/>
      <c r="AG15" s="403"/>
      <c r="AI15" s="414"/>
    </row>
    <row r="16" spans="1:48" s="5" customFormat="1">
      <c r="A16" s="135">
        <f>A14+1</f>
        <v>9</v>
      </c>
      <c r="B16" s="3" t="e">
        <f>#REF!</f>
        <v>#REF!</v>
      </c>
      <c r="C16" s="213" t="e">
        <f>#REF!</f>
        <v>#REF!</v>
      </c>
      <c r="D16" s="4" t="e">
        <f>#REF!</f>
        <v>#REF!</v>
      </c>
      <c r="E16" s="4" t="e">
        <f>#REF!</f>
        <v>#REF!</v>
      </c>
      <c r="F16" s="4" t="e">
        <f>#REF!</f>
        <v>#REF!</v>
      </c>
      <c r="G16" s="4" t="e">
        <f>#REF!</f>
        <v>#REF!</v>
      </c>
      <c r="H16" s="4" t="e">
        <f>#REF!</f>
        <v>#REF!</v>
      </c>
      <c r="I16" s="4" t="e">
        <f>#REF!</f>
        <v>#REF!</v>
      </c>
      <c r="J16" s="4" t="e">
        <f>#REF!</f>
        <v>#REF!</v>
      </c>
      <c r="K16" s="4" t="e">
        <f>#REF!</f>
        <v>#REF!</v>
      </c>
      <c r="L16" s="4" t="e">
        <f>#REF!</f>
        <v>#REF!</v>
      </c>
      <c r="M16" s="4" t="e">
        <f>#REF!</f>
        <v>#REF!</v>
      </c>
      <c r="N16" s="4" t="e">
        <f>#REF!</f>
        <v>#REF!</v>
      </c>
      <c r="O16" s="4" t="e">
        <f>#REF!</f>
        <v>#REF!</v>
      </c>
      <c r="P16" s="4" t="e">
        <f>#REF!</f>
        <v>#REF!</v>
      </c>
      <c r="Q16" s="4" t="e">
        <f>#REF!</f>
        <v>#REF!</v>
      </c>
      <c r="R16" s="4" t="e">
        <f>#REF!</f>
        <v>#REF!</v>
      </c>
      <c r="S16" s="4" t="e">
        <f>#REF!</f>
        <v>#REF!</v>
      </c>
      <c r="T16" s="4" t="e">
        <f>#REF!</f>
        <v>#REF!</v>
      </c>
      <c r="U16" s="4" t="e">
        <f>#REF!</f>
        <v>#REF!</v>
      </c>
      <c r="V16" s="4" t="e">
        <f>#REF!</f>
        <v>#REF!</v>
      </c>
      <c r="W16" s="4" t="e">
        <f>#REF!</f>
        <v>#REF!</v>
      </c>
      <c r="X16" s="4" t="e">
        <f>#REF!</f>
        <v>#REF!</v>
      </c>
      <c r="Y16" s="4" t="e">
        <f>#REF!</f>
        <v>#REF!</v>
      </c>
      <c r="Z16" s="4" t="e">
        <f>#REF!</f>
        <v>#REF!</v>
      </c>
      <c r="AA16" s="4" t="e">
        <f>#REF!</f>
        <v>#REF!</v>
      </c>
      <c r="AB16" s="213" t="e">
        <f>#REF!</f>
        <v>#REF!</v>
      </c>
      <c r="AC16" s="3" t="e">
        <f>#REF!</f>
        <v>#REF!</v>
      </c>
      <c r="AD16" s="141"/>
      <c r="AE16" s="141"/>
      <c r="AF16" s="141"/>
      <c r="AG16" s="141"/>
      <c r="AI16" s="142"/>
    </row>
    <row r="17" spans="1:48" s="48" customFormat="1">
      <c r="A17" s="219"/>
      <c r="B17" s="20"/>
      <c r="C17" s="279" t="s">
        <v>531</v>
      </c>
      <c r="D17" s="50" t="e">
        <f>SUM(D16)</f>
        <v>#REF!</v>
      </c>
      <c r="E17" s="50" t="e">
        <f t="shared" ref="E17:AA17" si="4">SUM(E16)</f>
        <v>#REF!</v>
      </c>
      <c r="F17" s="50" t="e">
        <f t="shared" si="4"/>
        <v>#REF!</v>
      </c>
      <c r="G17" s="50" t="e">
        <f t="shared" si="4"/>
        <v>#REF!</v>
      </c>
      <c r="H17" s="50" t="e">
        <f t="shared" si="4"/>
        <v>#REF!</v>
      </c>
      <c r="I17" s="50" t="e">
        <f t="shared" si="4"/>
        <v>#REF!</v>
      </c>
      <c r="J17" s="50" t="e">
        <f t="shared" si="4"/>
        <v>#REF!</v>
      </c>
      <c r="K17" s="50" t="e">
        <f t="shared" si="4"/>
        <v>#REF!</v>
      </c>
      <c r="L17" s="50" t="e">
        <f t="shared" si="4"/>
        <v>#REF!</v>
      </c>
      <c r="M17" s="50" t="e">
        <f t="shared" si="4"/>
        <v>#REF!</v>
      </c>
      <c r="N17" s="50" t="e">
        <f t="shared" si="4"/>
        <v>#REF!</v>
      </c>
      <c r="O17" s="50" t="e">
        <f t="shared" si="4"/>
        <v>#REF!</v>
      </c>
      <c r="P17" s="50" t="e">
        <f t="shared" si="4"/>
        <v>#REF!</v>
      </c>
      <c r="Q17" s="50" t="e">
        <f t="shared" si="4"/>
        <v>#REF!</v>
      </c>
      <c r="R17" s="50" t="e">
        <f t="shared" si="4"/>
        <v>#REF!</v>
      </c>
      <c r="S17" s="50" t="e">
        <f t="shared" si="4"/>
        <v>#REF!</v>
      </c>
      <c r="T17" s="50" t="e">
        <f t="shared" si="4"/>
        <v>#REF!</v>
      </c>
      <c r="U17" s="50" t="e">
        <f t="shared" si="4"/>
        <v>#REF!</v>
      </c>
      <c r="V17" s="50" t="e">
        <f t="shared" si="4"/>
        <v>#REF!</v>
      </c>
      <c r="W17" s="50" t="e">
        <f t="shared" si="4"/>
        <v>#REF!</v>
      </c>
      <c r="X17" s="50" t="e">
        <f t="shared" si="4"/>
        <v>#REF!</v>
      </c>
      <c r="Y17" s="50" t="e">
        <f t="shared" si="4"/>
        <v>#REF!</v>
      </c>
      <c r="Z17" s="50" t="e">
        <f t="shared" si="4"/>
        <v>#REF!</v>
      </c>
      <c r="AA17" s="50" t="e">
        <f t="shared" si="4"/>
        <v>#REF!</v>
      </c>
      <c r="AB17" s="279"/>
      <c r="AC17" s="20"/>
      <c r="AD17" s="403"/>
      <c r="AE17" s="403"/>
      <c r="AF17" s="403"/>
      <c r="AG17" s="403"/>
      <c r="AI17" s="414"/>
    </row>
    <row r="18" spans="1:48" s="5" customFormat="1">
      <c r="A18" s="135">
        <f>A16+1</f>
        <v>10</v>
      </c>
      <c r="B18" s="3" t="e">
        <f>#REF!</f>
        <v>#REF!</v>
      </c>
      <c r="C18" s="213" t="e">
        <f>#REF!</f>
        <v>#REF!</v>
      </c>
      <c r="D18" s="4" t="e">
        <f>#REF!</f>
        <v>#REF!</v>
      </c>
      <c r="E18" s="4" t="e">
        <f>#REF!</f>
        <v>#REF!</v>
      </c>
      <c r="F18" s="4" t="e">
        <f>#REF!</f>
        <v>#REF!</v>
      </c>
      <c r="G18" s="4" t="e">
        <f>#REF!</f>
        <v>#REF!</v>
      </c>
      <c r="H18" s="4" t="e">
        <f>#REF!</f>
        <v>#REF!</v>
      </c>
      <c r="I18" s="4" t="e">
        <f>#REF!</f>
        <v>#REF!</v>
      </c>
      <c r="J18" s="4" t="e">
        <f>#REF!</f>
        <v>#REF!</v>
      </c>
      <c r="K18" s="4" t="e">
        <f>#REF!</f>
        <v>#REF!</v>
      </c>
      <c r="L18" s="4" t="e">
        <f>#REF!</f>
        <v>#REF!</v>
      </c>
      <c r="M18" s="4" t="e">
        <f>#REF!</f>
        <v>#REF!</v>
      </c>
      <c r="N18" s="4" t="e">
        <f>#REF!</f>
        <v>#REF!</v>
      </c>
      <c r="O18" s="4" t="e">
        <f>#REF!</f>
        <v>#REF!</v>
      </c>
      <c r="P18" s="4" t="e">
        <f>#REF!</f>
        <v>#REF!</v>
      </c>
      <c r="Q18" s="4" t="e">
        <f>#REF!</f>
        <v>#REF!</v>
      </c>
      <c r="R18" s="4" t="e">
        <f>#REF!</f>
        <v>#REF!</v>
      </c>
      <c r="S18" s="4" t="e">
        <f>#REF!</f>
        <v>#REF!</v>
      </c>
      <c r="T18" s="4" t="e">
        <f>#REF!</f>
        <v>#REF!</v>
      </c>
      <c r="U18" s="4" t="e">
        <f>#REF!</f>
        <v>#REF!</v>
      </c>
      <c r="V18" s="4" t="e">
        <f>#REF!</f>
        <v>#REF!</v>
      </c>
      <c r="W18" s="4" t="e">
        <f>#REF!</f>
        <v>#REF!</v>
      </c>
      <c r="X18" s="4" t="e">
        <f>#REF!</f>
        <v>#REF!</v>
      </c>
      <c r="Y18" s="4" t="e">
        <f>#REF!</f>
        <v>#REF!</v>
      </c>
      <c r="Z18" s="4" t="e">
        <f>#REF!</f>
        <v>#REF!</v>
      </c>
      <c r="AA18" s="4" t="e">
        <f>#REF!</f>
        <v>#REF!</v>
      </c>
      <c r="AB18" s="213" t="e">
        <f>#REF!</f>
        <v>#REF!</v>
      </c>
      <c r="AC18" s="3" t="e">
        <f>#REF!</f>
        <v>#REF!</v>
      </c>
      <c r="AD18" s="141"/>
      <c r="AE18" s="141"/>
      <c r="AF18" s="141"/>
      <c r="AG18" s="141"/>
      <c r="AH18" s="134"/>
      <c r="AI18" s="142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</row>
    <row r="19" spans="1:48" s="48" customFormat="1">
      <c r="A19" s="219"/>
      <c r="B19" s="20"/>
      <c r="C19" s="279" t="s">
        <v>538</v>
      </c>
      <c r="D19" s="50" t="e">
        <f>SUM(D18)</f>
        <v>#REF!</v>
      </c>
      <c r="E19" s="50" t="e">
        <f t="shared" ref="E19:AA19" si="5">SUM(E18)</f>
        <v>#REF!</v>
      </c>
      <c r="F19" s="50" t="e">
        <f t="shared" si="5"/>
        <v>#REF!</v>
      </c>
      <c r="G19" s="50" t="e">
        <f t="shared" si="5"/>
        <v>#REF!</v>
      </c>
      <c r="H19" s="50" t="e">
        <f t="shared" si="5"/>
        <v>#REF!</v>
      </c>
      <c r="I19" s="50" t="e">
        <f t="shared" si="5"/>
        <v>#REF!</v>
      </c>
      <c r="J19" s="50" t="e">
        <f t="shared" si="5"/>
        <v>#REF!</v>
      </c>
      <c r="K19" s="50" t="e">
        <f t="shared" si="5"/>
        <v>#REF!</v>
      </c>
      <c r="L19" s="50" t="e">
        <f t="shared" si="5"/>
        <v>#REF!</v>
      </c>
      <c r="M19" s="50" t="e">
        <f t="shared" si="5"/>
        <v>#REF!</v>
      </c>
      <c r="N19" s="50" t="e">
        <f t="shared" si="5"/>
        <v>#REF!</v>
      </c>
      <c r="O19" s="50" t="e">
        <f t="shared" si="5"/>
        <v>#REF!</v>
      </c>
      <c r="P19" s="50" t="e">
        <f t="shared" si="5"/>
        <v>#REF!</v>
      </c>
      <c r="Q19" s="50" t="e">
        <f t="shared" si="5"/>
        <v>#REF!</v>
      </c>
      <c r="R19" s="50" t="e">
        <f t="shared" si="5"/>
        <v>#REF!</v>
      </c>
      <c r="S19" s="50" t="e">
        <f t="shared" si="5"/>
        <v>#REF!</v>
      </c>
      <c r="T19" s="50" t="e">
        <f t="shared" si="5"/>
        <v>#REF!</v>
      </c>
      <c r="U19" s="50" t="e">
        <f t="shared" si="5"/>
        <v>#REF!</v>
      </c>
      <c r="V19" s="50" t="e">
        <f t="shared" si="5"/>
        <v>#REF!</v>
      </c>
      <c r="W19" s="50" t="e">
        <f t="shared" si="5"/>
        <v>#REF!</v>
      </c>
      <c r="X19" s="50" t="e">
        <f t="shared" si="5"/>
        <v>#REF!</v>
      </c>
      <c r="Y19" s="50" t="e">
        <f t="shared" si="5"/>
        <v>#REF!</v>
      </c>
      <c r="Z19" s="50" t="e">
        <f t="shared" si="5"/>
        <v>#REF!</v>
      </c>
      <c r="AA19" s="50" t="e">
        <f t="shared" si="5"/>
        <v>#REF!</v>
      </c>
      <c r="AB19" s="279"/>
      <c r="AC19" s="20"/>
      <c r="AD19" s="403"/>
      <c r="AE19" s="403"/>
      <c r="AF19" s="403"/>
      <c r="AG19" s="403"/>
      <c r="AH19" s="238"/>
      <c r="AI19" s="414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</row>
    <row r="20" spans="1:48" s="288" customFormat="1" ht="30" customHeight="1">
      <c r="A20" s="246">
        <f>A18</f>
        <v>10</v>
      </c>
      <c r="B20" s="246"/>
      <c r="C20" s="20" t="s">
        <v>167</v>
      </c>
      <c r="D20" s="287" t="e">
        <f>D19+D17+D15+D12+D6</f>
        <v>#REF!</v>
      </c>
      <c r="E20" s="287" t="e">
        <f t="shared" ref="E20:AA20" si="6">E19+E17+E15+E12+E6</f>
        <v>#REF!</v>
      </c>
      <c r="F20" s="287" t="e">
        <f t="shared" si="6"/>
        <v>#REF!</v>
      </c>
      <c r="G20" s="287" t="e">
        <f t="shared" si="6"/>
        <v>#REF!</v>
      </c>
      <c r="H20" s="287" t="e">
        <f t="shared" si="6"/>
        <v>#REF!</v>
      </c>
      <c r="I20" s="287" t="e">
        <f t="shared" si="6"/>
        <v>#REF!</v>
      </c>
      <c r="J20" s="287" t="e">
        <f t="shared" si="6"/>
        <v>#REF!</v>
      </c>
      <c r="K20" s="287" t="e">
        <f t="shared" si="6"/>
        <v>#REF!</v>
      </c>
      <c r="L20" s="287" t="e">
        <f t="shared" si="6"/>
        <v>#REF!</v>
      </c>
      <c r="M20" s="287" t="e">
        <f t="shared" si="6"/>
        <v>#REF!</v>
      </c>
      <c r="N20" s="287" t="e">
        <f t="shared" si="6"/>
        <v>#REF!</v>
      </c>
      <c r="O20" s="287" t="e">
        <f t="shared" si="6"/>
        <v>#REF!</v>
      </c>
      <c r="P20" s="287" t="e">
        <f t="shared" si="6"/>
        <v>#REF!</v>
      </c>
      <c r="Q20" s="287" t="e">
        <f t="shared" si="6"/>
        <v>#REF!</v>
      </c>
      <c r="R20" s="287" t="e">
        <f t="shared" si="6"/>
        <v>#REF!</v>
      </c>
      <c r="S20" s="287" t="e">
        <f t="shared" si="6"/>
        <v>#REF!</v>
      </c>
      <c r="T20" s="287" t="e">
        <f t="shared" si="6"/>
        <v>#REF!</v>
      </c>
      <c r="U20" s="287" t="e">
        <f t="shared" si="6"/>
        <v>#REF!</v>
      </c>
      <c r="V20" s="287" t="e">
        <f t="shared" si="6"/>
        <v>#REF!</v>
      </c>
      <c r="W20" s="287" t="e">
        <f t="shared" si="6"/>
        <v>#REF!</v>
      </c>
      <c r="X20" s="287" t="e">
        <f t="shared" si="6"/>
        <v>#REF!</v>
      </c>
      <c r="Y20" s="287" t="e">
        <f t="shared" si="6"/>
        <v>#REF!</v>
      </c>
      <c r="Z20" s="287" t="e">
        <f t="shared" si="6"/>
        <v>#REF!</v>
      </c>
      <c r="AA20" s="287" t="e">
        <f t="shared" si="6"/>
        <v>#REF!</v>
      </c>
      <c r="AB20" s="287"/>
      <c r="AC20" s="246"/>
      <c r="AD20" s="141"/>
      <c r="AE20" s="141"/>
      <c r="AF20" s="141"/>
      <c r="AG20" s="141"/>
      <c r="AI20" s="142"/>
    </row>
    <row r="21" spans="1:48" hidden="1">
      <c r="A21" s="140"/>
      <c r="B21" s="140"/>
      <c r="C21" s="140"/>
      <c r="D21" s="348"/>
      <c r="E21" s="348"/>
      <c r="F21" s="348"/>
      <c r="G21" s="348"/>
      <c r="H21" s="348"/>
      <c r="I21" s="348"/>
      <c r="J21" s="348"/>
      <c r="K21" s="348"/>
      <c r="L21" s="348" t="e">
        <f>K20+H20</f>
        <v>#REF!</v>
      </c>
      <c r="M21" s="348" t="e">
        <f>P21+S20-T20</f>
        <v>#REF!</v>
      </c>
      <c r="N21" s="348"/>
      <c r="O21" s="348"/>
      <c r="P21" s="348" t="e">
        <f>G20-L21</f>
        <v>#REF!</v>
      </c>
      <c r="Q21" s="348"/>
      <c r="R21" s="348"/>
      <c r="S21" s="348"/>
      <c r="T21" s="348"/>
      <c r="U21" s="140"/>
      <c r="V21" s="140"/>
      <c r="W21" s="140"/>
      <c r="X21" s="140"/>
      <c r="Y21" s="140"/>
      <c r="Z21" s="140"/>
      <c r="AA21" s="140"/>
      <c r="AB21" s="226"/>
      <c r="AC21" s="140"/>
    </row>
    <row r="22" spans="1:48">
      <c r="A22" s="140"/>
      <c r="B22" s="140"/>
      <c r="C22" s="325" t="s">
        <v>77</v>
      </c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140"/>
      <c r="V22" s="140"/>
      <c r="W22" s="140"/>
      <c r="X22" s="140"/>
      <c r="Y22" s="140"/>
      <c r="Z22" s="140"/>
      <c r="AA22" s="140"/>
      <c r="AB22" s="226"/>
      <c r="AC22" s="140"/>
    </row>
    <row r="23" spans="1:48" s="157" customFormat="1" ht="60" customHeight="1">
      <c r="A23" s="3">
        <v>1</v>
      </c>
      <c r="B23" s="3" t="e">
        <f>#REF!</f>
        <v>#REF!</v>
      </c>
      <c r="C23" s="213" t="e">
        <f>#REF!</f>
        <v>#REF!</v>
      </c>
      <c r="D23" s="4" t="e">
        <f>#REF!</f>
        <v>#REF!</v>
      </c>
      <c r="E23" s="4" t="e">
        <f>#REF!</f>
        <v>#REF!</v>
      </c>
      <c r="F23" s="4" t="e">
        <f>#REF!</f>
        <v>#REF!</v>
      </c>
      <c r="G23" s="4" t="e">
        <f>#REF!</f>
        <v>#REF!</v>
      </c>
      <c r="H23" s="4" t="e">
        <f>#REF!</f>
        <v>#REF!</v>
      </c>
      <c r="I23" s="4" t="e">
        <f>#REF!</f>
        <v>#REF!</v>
      </c>
      <c r="J23" s="4" t="e">
        <f>#REF!</f>
        <v>#REF!</v>
      </c>
      <c r="K23" s="4" t="e">
        <f>#REF!</f>
        <v>#REF!</v>
      </c>
      <c r="L23" s="4" t="e">
        <f>#REF!</f>
        <v>#REF!</v>
      </c>
      <c r="M23" s="4" t="e">
        <f>#REF!</f>
        <v>#REF!</v>
      </c>
      <c r="N23" s="4" t="e">
        <f>#REF!</f>
        <v>#REF!</v>
      </c>
      <c r="O23" s="4" t="e">
        <f>#REF!</f>
        <v>#REF!</v>
      </c>
      <c r="P23" s="4" t="e">
        <f>#REF!</f>
        <v>#REF!</v>
      </c>
      <c r="Q23" s="4" t="e">
        <f>#REF!</f>
        <v>#REF!</v>
      </c>
      <c r="R23" s="4" t="e">
        <f>#REF!</f>
        <v>#REF!</v>
      </c>
      <c r="S23" s="4" t="e">
        <f>#REF!</f>
        <v>#REF!</v>
      </c>
      <c r="T23" s="4" t="e">
        <f>#REF!</f>
        <v>#REF!</v>
      </c>
      <c r="U23" s="4" t="e">
        <f>#REF!</f>
        <v>#REF!</v>
      </c>
      <c r="V23" s="4" t="e">
        <f>#REF!</f>
        <v>#REF!</v>
      </c>
      <c r="W23" s="4" t="e">
        <f>#REF!</f>
        <v>#REF!</v>
      </c>
      <c r="X23" s="4" t="e">
        <f>#REF!</f>
        <v>#REF!</v>
      </c>
      <c r="Y23" s="4" t="e">
        <f>#REF!</f>
        <v>#REF!</v>
      </c>
      <c r="Z23" s="4" t="e">
        <f>#REF!</f>
        <v>#REF!</v>
      </c>
      <c r="AA23" s="4" t="e">
        <f>#REF!</f>
        <v>#REF!</v>
      </c>
      <c r="AB23" s="213" t="e">
        <f>#REF!</f>
        <v>#REF!</v>
      </c>
      <c r="AC23" s="3" t="e">
        <f>#REF!</f>
        <v>#REF!</v>
      </c>
      <c r="AD23" s="141"/>
      <c r="AE23" s="141"/>
      <c r="AF23" s="141"/>
      <c r="AG23" s="141"/>
      <c r="AH23" s="318"/>
      <c r="AI23" s="142"/>
      <c r="AJ23" s="318"/>
      <c r="AK23" s="318"/>
      <c r="AL23" s="318"/>
      <c r="AM23" s="318"/>
      <c r="AN23" s="318"/>
      <c r="AO23" s="318"/>
      <c r="AP23" s="318"/>
    </row>
    <row r="24" spans="1:48" s="303" customFormat="1" ht="60" customHeight="1">
      <c r="A24" s="7"/>
      <c r="B24" s="7"/>
      <c r="C24" s="13" t="s">
        <v>525</v>
      </c>
      <c r="D24" s="8" t="e">
        <f>SUM(D23)</f>
        <v>#REF!</v>
      </c>
      <c r="E24" s="8" t="e">
        <f t="shared" ref="E24:AA24" si="7">SUM(E23)</f>
        <v>#REF!</v>
      </c>
      <c r="F24" s="8" t="e">
        <f t="shared" si="7"/>
        <v>#REF!</v>
      </c>
      <c r="G24" s="8" t="e">
        <f t="shared" si="7"/>
        <v>#REF!</v>
      </c>
      <c r="H24" s="8" t="e">
        <f t="shared" si="7"/>
        <v>#REF!</v>
      </c>
      <c r="I24" s="8" t="e">
        <f t="shared" si="7"/>
        <v>#REF!</v>
      </c>
      <c r="J24" s="8" t="e">
        <f t="shared" si="7"/>
        <v>#REF!</v>
      </c>
      <c r="K24" s="8" t="e">
        <f t="shared" si="7"/>
        <v>#REF!</v>
      </c>
      <c r="L24" s="8" t="e">
        <f t="shared" si="7"/>
        <v>#REF!</v>
      </c>
      <c r="M24" s="8" t="e">
        <f t="shared" si="7"/>
        <v>#REF!</v>
      </c>
      <c r="N24" s="8" t="e">
        <f t="shared" si="7"/>
        <v>#REF!</v>
      </c>
      <c r="O24" s="8" t="e">
        <f t="shared" si="7"/>
        <v>#REF!</v>
      </c>
      <c r="P24" s="8" t="e">
        <f t="shared" si="7"/>
        <v>#REF!</v>
      </c>
      <c r="Q24" s="8" t="e">
        <f t="shared" si="7"/>
        <v>#REF!</v>
      </c>
      <c r="R24" s="8" t="e">
        <f t="shared" si="7"/>
        <v>#REF!</v>
      </c>
      <c r="S24" s="8" t="e">
        <f t="shared" si="7"/>
        <v>#REF!</v>
      </c>
      <c r="T24" s="8" t="e">
        <f t="shared" si="7"/>
        <v>#REF!</v>
      </c>
      <c r="U24" s="8" t="e">
        <f t="shared" si="7"/>
        <v>#REF!</v>
      </c>
      <c r="V24" s="8" t="e">
        <f t="shared" si="7"/>
        <v>#REF!</v>
      </c>
      <c r="W24" s="8" t="e">
        <f t="shared" si="7"/>
        <v>#REF!</v>
      </c>
      <c r="X24" s="8" t="e">
        <f t="shared" si="7"/>
        <v>#REF!</v>
      </c>
      <c r="Y24" s="8" t="e">
        <f t="shared" si="7"/>
        <v>#REF!</v>
      </c>
      <c r="Z24" s="8" t="e">
        <f t="shared" si="7"/>
        <v>#REF!</v>
      </c>
      <c r="AA24" s="8" t="e">
        <f t="shared" si="7"/>
        <v>#REF!</v>
      </c>
      <c r="AB24" s="13"/>
      <c r="AC24" s="7"/>
      <c r="AD24" s="141"/>
      <c r="AE24" s="141"/>
      <c r="AF24" s="141"/>
      <c r="AG24" s="141"/>
      <c r="AH24" s="415"/>
      <c r="AI24" s="142"/>
      <c r="AJ24" s="415"/>
      <c r="AK24" s="415"/>
      <c r="AL24" s="415"/>
      <c r="AM24" s="415"/>
      <c r="AN24" s="415"/>
      <c r="AO24" s="415"/>
      <c r="AP24" s="415"/>
    </row>
    <row r="25" spans="1:48" s="157" customFormat="1">
      <c r="A25" s="3">
        <f>1+A23</f>
        <v>2</v>
      </c>
      <c r="B25" s="3" t="e">
        <f>#REF!</f>
        <v>#REF!</v>
      </c>
      <c r="C25" s="213" t="e">
        <f>#REF!</f>
        <v>#REF!</v>
      </c>
      <c r="D25" s="4" t="e">
        <f>#REF!</f>
        <v>#REF!</v>
      </c>
      <c r="E25" s="4" t="e">
        <f>#REF!</f>
        <v>#REF!</v>
      </c>
      <c r="F25" s="4" t="e">
        <f>#REF!</f>
        <v>#REF!</v>
      </c>
      <c r="G25" s="4" t="e">
        <f>#REF!</f>
        <v>#REF!</v>
      </c>
      <c r="H25" s="4" t="e">
        <f>#REF!</f>
        <v>#REF!</v>
      </c>
      <c r="I25" s="4" t="e">
        <f>#REF!</f>
        <v>#REF!</v>
      </c>
      <c r="J25" s="4" t="e">
        <f>#REF!</f>
        <v>#REF!</v>
      </c>
      <c r="K25" s="4" t="e">
        <f>#REF!</f>
        <v>#REF!</v>
      </c>
      <c r="L25" s="4" t="e">
        <f>#REF!</f>
        <v>#REF!</v>
      </c>
      <c r="M25" s="4" t="e">
        <f>#REF!</f>
        <v>#REF!</v>
      </c>
      <c r="N25" s="4" t="e">
        <f>#REF!</f>
        <v>#REF!</v>
      </c>
      <c r="O25" s="4" t="e">
        <f>#REF!</f>
        <v>#REF!</v>
      </c>
      <c r="P25" s="4" t="e">
        <f>#REF!</f>
        <v>#REF!</v>
      </c>
      <c r="Q25" s="4" t="e">
        <f>#REF!</f>
        <v>#REF!</v>
      </c>
      <c r="R25" s="4" t="e">
        <f>#REF!</f>
        <v>#REF!</v>
      </c>
      <c r="S25" s="4" t="e">
        <f>#REF!</f>
        <v>#REF!</v>
      </c>
      <c r="T25" s="4" t="e">
        <f>#REF!</f>
        <v>#REF!</v>
      </c>
      <c r="U25" s="4" t="e">
        <f>#REF!</f>
        <v>#REF!</v>
      </c>
      <c r="V25" s="4" t="e">
        <f>#REF!</f>
        <v>#REF!</v>
      </c>
      <c r="W25" s="4" t="e">
        <f>#REF!</f>
        <v>#REF!</v>
      </c>
      <c r="X25" s="4" t="e">
        <f>#REF!</f>
        <v>#REF!</v>
      </c>
      <c r="Y25" s="4" t="e">
        <f>#REF!</f>
        <v>#REF!</v>
      </c>
      <c r="Z25" s="4" t="e">
        <f>#REF!</f>
        <v>#REF!</v>
      </c>
      <c r="AA25" s="4" t="e">
        <f>#REF!</f>
        <v>#REF!</v>
      </c>
      <c r="AB25" s="213" t="e">
        <f>#REF!</f>
        <v>#REF!</v>
      </c>
      <c r="AC25" s="3" t="e">
        <f>#REF!</f>
        <v>#REF!</v>
      </c>
      <c r="AD25" s="141"/>
      <c r="AE25" s="141"/>
      <c r="AF25" s="141"/>
      <c r="AG25" s="141"/>
      <c r="AH25" s="318"/>
      <c r="AI25" s="142"/>
      <c r="AJ25" s="318"/>
      <c r="AK25" s="318"/>
      <c r="AL25" s="318"/>
      <c r="AM25" s="318"/>
      <c r="AN25" s="318"/>
      <c r="AO25" s="318"/>
      <c r="AP25" s="318"/>
    </row>
    <row r="26" spans="1:48" s="157" customFormat="1" ht="53.4" customHeight="1">
      <c r="A26" s="3">
        <f t="shared" ref="A26:A34" si="8">1+A25</f>
        <v>3</v>
      </c>
      <c r="B26" s="3" t="e">
        <f>#REF!</f>
        <v>#REF!</v>
      </c>
      <c r="C26" s="213" t="e">
        <f>#REF!</f>
        <v>#REF!</v>
      </c>
      <c r="D26" s="4" t="e">
        <f>#REF!</f>
        <v>#REF!</v>
      </c>
      <c r="E26" s="4" t="e">
        <f>#REF!</f>
        <v>#REF!</v>
      </c>
      <c r="F26" s="4" t="e">
        <f>#REF!</f>
        <v>#REF!</v>
      </c>
      <c r="G26" s="4" t="e">
        <f>#REF!</f>
        <v>#REF!</v>
      </c>
      <c r="H26" s="4" t="e">
        <f>#REF!</f>
        <v>#REF!</v>
      </c>
      <c r="I26" s="4" t="e">
        <f>#REF!</f>
        <v>#REF!</v>
      </c>
      <c r="J26" s="4" t="e">
        <f>#REF!</f>
        <v>#REF!</v>
      </c>
      <c r="K26" s="4" t="e">
        <f>#REF!</f>
        <v>#REF!</v>
      </c>
      <c r="L26" s="4" t="e">
        <f>#REF!</f>
        <v>#REF!</v>
      </c>
      <c r="M26" s="4" t="e">
        <f>#REF!</f>
        <v>#REF!</v>
      </c>
      <c r="N26" s="4" t="e">
        <f>#REF!</f>
        <v>#REF!</v>
      </c>
      <c r="O26" s="4" t="e">
        <f>#REF!</f>
        <v>#REF!</v>
      </c>
      <c r="P26" s="4" t="e">
        <f>#REF!</f>
        <v>#REF!</v>
      </c>
      <c r="Q26" s="4" t="e">
        <f>#REF!</f>
        <v>#REF!</v>
      </c>
      <c r="R26" s="4" t="e">
        <f>#REF!</f>
        <v>#REF!</v>
      </c>
      <c r="S26" s="4" t="e">
        <f>#REF!</f>
        <v>#REF!</v>
      </c>
      <c r="T26" s="4" t="e">
        <f>#REF!</f>
        <v>#REF!</v>
      </c>
      <c r="U26" s="4" t="e">
        <f>#REF!</f>
        <v>#REF!</v>
      </c>
      <c r="V26" s="4" t="e">
        <f>#REF!</f>
        <v>#REF!</v>
      </c>
      <c r="W26" s="4" t="e">
        <f>#REF!</f>
        <v>#REF!</v>
      </c>
      <c r="X26" s="4" t="e">
        <f>#REF!</f>
        <v>#REF!</v>
      </c>
      <c r="Y26" s="4" t="e">
        <f>#REF!</f>
        <v>#REF!</v>
      </c>
      <c r="Z26" s="4" t="e">
        <f>#REF!</f>
        <v>#REF!</v>
      </c>
      <c r="AA26" s="4" t="e">
        <f>#REF!</f>
        <v>#REF!</v>
      </c>
      <c r="AB26" s="213" t="e">
        <f>#REF!</f>
        <v>#REF!</v>
      </c>
      <c r="AC26" s="3" t="e">
        <f>#REF!</f>
        <v>#REF!</v>
      </c>
      <c r="AD26" s="141"/>
      <c r="AE26" s="141"/>
      <c r="AF26" s="141"/>
      <c r="AG26" s="141"/>
      <c r="AH26" s="318"/>
      <c r="AI26" s="142"/>
      <c r="AJ26" s="318"/>
      <c r="AK26" s="318"/>
      <c r="AL26" s="318"/>
      <c r="AM26" s="318"/>
      <c r="AN26" s="318"/>
      <c r="AO26" s="318"/>
      <c r="AP26" s="318"/>
    </row>
    <row r="27" spans="1:48" s="303" customFormat="1" ht="53.4" customHeight="1">
      <c r="A27" s="7"/>
      <c r="B27" s="7"/>
      <c r="C27" s="13" t="s">
        <v>526</v>
      </c>
      <c r="D27" s="8" t="e">
        <f>SUM(D25:D26)</f>
        <v>#REF!</v>
      </c>
      <c r="E27" s="8" t="e">
        <f t="shared" ref="E27:AA27" si="9">SUM(E25:E26)</f>
        <v>#REF!</v>
      </c>
      <c r="F27" s="8" t="e">
        <f t="shared" si="9"/>
        <v>#REF!</v>
      </c>
      <c r="G27" s="8" t="e">
        <f t="shared" si="9"/>
        <v>#REF!</v>
      </c>
      <c r="H27" s="8" t="e">
        <f t="shared" si="9"/>
        <v>#REF!</v>
      </c>
      <c r="I27" s="8" t="e">
        <f t="shared" si="9"/>
        <v>#REF!</v>
      </c>
      <c r="J27" s="8" t="e">
        <f t="shared" si="9"/>
        <v>#REF!</v>
      </c>
      <c r="K27" s="8" t="e">
        <f t="shared" si="9"/>
        <v>#REF!</v>
      </c>
      <c r="L27" s="8" t="e">
        <f t="shared" si="9"/>
        <v>#REF!</v>
      </c>
      <c r="M27" s="8" t="e">
        <f t="shared" si="9"/>
        <v>#REF!</v>
      </c>
      <c r="N27" s="8" t="e">
        <f t="shared" si="9"/>
        <v>#REF!</v>
      </c>
      <c r="O27" s="8" t="e">
        <f t="shared" si="9"/>
        <v>#REF!</v>
      </c>
      <c r="P27" s="8" t="e">
        <f t="shared" si="9"/>
        <v>#REF!</v>
      </c>
      <c r="Q27" s="8" t="e">
        <f t="shared" si="9"/>
        <v>#REF!</v>
      </c>
      <c r="R27" s="8" t="e">
        <f t="shared" si="9"/>
        <v>#REF!</v>
      </c>
      <c r="S27" s="8" t="e">
        <f t="shared" si="9"/>
        <v>#REF!</v>
      </c>
      <c r="T27" s="8" t="e">
        <f t="shared" si="9"/>
        <v>#REF!</v>
      </c>
      <c r="U27" s="8" t="e">
        <f t="shared" si="9"/>
        <v>#REF!</v>
      </c>
      <c r="V27" s="8" t="e">
        <f t="shared" si="9"/>
        <v>#REF!</v>
      </c>
      <c r="W27" s="8" t="e">
        <f t="shared" si="9"/>
        <v>#REF!</v>
      </c>
      <c r="X27" s="8" t="e">
        <f t="shared" si="9"/>
        <v>#REF!</v>
      </c>
      <c r="Y27" s="8" t="e">
        <f t="shared" si="9"/>
        <v>#REF!</v>
      </c>
      <c r="Z27" s="8" t="e">
        <f t="shared" si="9"/>
        <v>#REF!</v>
      </c>
      <c r="AA27" s="8" t="e">
        <f t="shared" si="9"/>
        <v>#REF!</v>
      </c>
      <c r="AB27" s="13"/>
      <c r="AC27" s="7"/>
      <c r="AD27" s="141"/>
      <c r="AE27" s="141"/>
      <c r="AF27" s="141"/>
      <c r="AG27" s="141"/>
      <c r="AH27" s="415"/>
      <c r="AI27" s="142"/>
      <c r="AJ27" s="415"/>
      <c r="AK27" s="415"/>
      <c r="AL27" s="415"/>
      <c r="AM27" s="415"/>
      <c r="AN27" s="415"/>
      <c r="AO27" s="415"/>
      <c r="AP27" s="415"/>
    </row>
    <row r="28" spans="1:48" s="157" customFormat="1">
      <c r="A28" s="3">
        <f>1+A26</f>
        <v>4</v>
      </c>
      <c r="B28" s="3" t="e">
        <f>#REF!</f>
        <v>#REF!</v>
      </c>
      <c r="C28" s="213" t="e">
        <f>#REF!</f>
        <v>#REF!</v>
      </c>
      <c r="D28" s="4" t="e">
        <f>#REF!</f>
        <v>#REF!</v>
      </c>
      <c r="E28" s="4" t="e">
        <f>#REF!</f>
        <v>#REF!</v>
      </c>
      <c r="F28" s="4" t="e">
        <f>#REF!</f>
        <v>#REF!</v>
      </c>
      <c r="G28" s="4" t="e">
        <f>#REF!</f>
        <v>#REF!</v>
      </c>
      <c r="H28" s="4" t="e">
        <f>#REF!</f>
        <v>#REF!</v>
      </c>
      <c r="I28" s="4" t="e">
        <f>#REF!</f>
        <v>#REF!</v>
      </c>
      <c r="J28" s="4" t="e">
        <f>#REF!</f>
        <v>#REF!</v>
      </c>
      <c r="K28" s="4" t="e">
        <f>#REF!</f>
        <v>#REF!</v>
      </c>
      <c r="L28" s="4" t="e">
        <f>#REF!</f>
        <v>#REF!</v>
      </c>
      <c r="M28" s="4" t="e">
        <f>#REF!</f>
        <v>#REF!</v>
      </c>
      <c r="N28" s="4" t="e">
        <f>#REF!</f>
        <v>#REF!</v>
      </c>
      <c r="O28" s="4" t="e">
        <f>#REF!</f>
        <v>#REF!</v>
      </c>
      <c r="P28" s="4" t="e">
        <f>#REF!</f>
        <v>#REF!</v>
      </c>
      <c r="Q28" s="4" t="e">
        <f>#REF!</f>
        <v>#REF!</v>
      </c>
      <c r="R28" s="4" t="e">
        <f>#REF!</f>
        <v>#REF!</v>
      </c>
      <c r="S28" s="4" t="e">
        <f>#REF!</f>
        <v>#REF!</v>
      </c>
      <c r="T28" s="4" t="e">
        <f>#REF!</f>
        <v>#REF!</v>
      </c>
      <c r="U28" s="4" t="e">
        <f>#REF!</f>
        <v>#REF!</v>
      </c>
      <c r="V28" s="4" t="e">
        <f>#REF!</f>
        <v>#REF!</v>
      </c>
      <c r="W28" s="4" t="e">
        <f>#REF!</f>
        <v>#REF!</v>
      </c>
      <c r="X28" s="4" t="e">
        <f>#REF!</f>
        <v>#REF!</v>
      </c>
      <c r="Y28" s="4" t="e">
        <f>#REF!</f>
        <v>#REF!</v>
      </c>
      <c r="Z28" s="4" t="e">
        <f>#REF!</f>
        <v>#REF!</v>
      </c>
      <c r="AA28" s="4" t="e">
        <f>#REF!</f>
        <v>#REF!</v>
      </c>
      <c r="AB28" s="213" t="e">
        <f>#REF!</f>
        <v>#REF!</v>
      </c>
      <c r="AC28" s="3" t="e">
        <f>#REF!</f>
        <v>#REF!</v>
      </c>
      <c r="AD28" s="141"/>
      <c r="AE28" s="141"/>
      <c r="AF28" s="141"/>
      <c r="AG28" s="141"/>
      <c r="AH28" s="318"/>
      <c r="AI28" s="142"/>
      <c r="AJ28" s="318"/>
      <c r="AK28" s="318"/>
      <c r="AL28" s="318"/>
      <c r="AM28" s="318"/>
      <c r="AN28" s="318"/>
      <c r="AO28" s="318"/>
      <c r="AP28" s="318"/>
    </row>
    <row r="29" spans="1:48" s="303" customFormat="1">
      <c r="A29" s="7"/>
      <c r="B29" s="7"/>
      <c r="C29" s="13" t="s">
        <v>529</v>
      </c>
      <c r="D29" s="8" t="e">
        <f>SUM(D28)</f>
        <v>#REF!</v>
      </c>
      <c r="E29" s="8" t="e">
        <f t="shared" ref="E29:AA29" si="10">SUM(E28)</f>
        <v>#REF!</v>
      </c>
      <c r="F29" s="8" t="e">
        <f t="shared" si="10"/>
        <v>#REF!</v>
      </c>
      <c r="G29" s="8" t="e">
        <f t="shared" si="10"/>
        <v>#REF!</v>
      </c>
      <c r="H29" s="8" t="e">
        <f t="shared" si="10"/>
        <v>#REF!</v>
      </c>
      <c r="I29" s="8" t="e">
        <f t="shared" si="10"/>
        <v>#REF!</v>
      </c>
      <c r="J29" s="8" t="e">
        <f t="shared" si="10"/>
        <v>#REF!</v>
      </c>
      <c r="K29" s="8" t="e">
        <f t="shared" si="10"/>
        <v>#REF!</v>
      </c>
      <c r="L29" s="8" t="e">
        <f t="shared" si="10"/>
        <v>#REF!</v>
      </c>
      <c r="M29" s="8" t="e">
        <f t="shared" si="10"/>
        <v>#REF!</v>
      </c>
      <c r="N29" s="8" t="e">
        <f t="shared" si="10"/>
        <v>#REF!</v>
      </c>
      <c r="O29" s="8" t="e">
        <f t="shared" si="10"/>
        <v>#REF!</v>
      </c>
      <c r="P29" s="8" t="e">
        <f t="shared" si="10"/>
        <v>#REF!</v>
      </c>
      <c r="Q29" s="8" t="e">
        <f t="shared" si="10"/>
        <v>#REF!</v>
      </c>
      <c r="R29" s="8" t="e">
        <f t="shared" si="10"/>
        <v>#REF!</v>
      </c>
      <c r="S29" s="8" t="e">
        <f t="shared" si="10"/>
        <v>#REF!</v>
      </c>
      <c r="T29" s="8" t="e">
        <f t="shared" si="10"/>
        <v>#REF!</v>
      </c>
      <c r="U29" s="8" t="e">
        <f t="shared" si="10"/>
        <v>#REF!</v>
      </c>
      <c r="V29" s="8" t="e">
        <f t="shared" si="10"/>
        <v>#REF!</v>
      </c>
      <c r="W29" s="8" t="e">
        <f t="shared" si="10"/>
        <v>#REF!</v>
      </c>
      <c r="X29" s="8" t="e">
        <f t="shared" si="10"/>
        <v>#REF!</v>
      </c>
      <c r="Y29" s="8" t="e">
        <f t="shared" si="10"/>
        <v>#REF!</v>
      </c>
      <c r="Z29" s="8" t="e">
        <f t="shared" si="10"/>
        <v>#REF!</v>
      </c>
      <c r="AA29" s="8" t="e">
        <f t="shared" si="10"/>
        <v>#REF!</v>
      </c>
      <c r="AB29" s="13"/>
      <c r="AC29" s="7"/>
      <c r="AD29" s="141"/>
      <c r="AE29" s="141"/>
      <c r="AF29" s="141"/>
      <c r="AG29" s="141"/>
      <c r="AH29" s="415"/>
      <c r="AI29" s="142"/>
      <c r="AJ29" s="415"/>
      <c r="AK29" s="415"/>
      <c r="AL29" s="415"/>
      <c r="AM29" s="415"/>
      <c r="AN29" s="415"/>
      <c r="AO29" s="415"/>
      <c r="AP29" s="415"/>
    </row>
    <row r="30" spans="1:48" s="157" customFormat="1">
      <c r="A30" s="3">
        <f>1+A28</f>
        <v>5</v>
      </c>
      <c r="B30" s="3" t="e">
        <f>#REF!</f>
        <v>#REF!</v>
      </c>
      <c r="C30" s="213" t="e">
        <f>#REF!</f>
        <v>#REF!</v>
      </c>
      <c r="D30" s="4" t="e">
        <f>#REF!</f>
        <v>#REF!</v>
      </c>
      <c r="E30" s="4" t="e">
        <f>#REF!</f>
        <v>#REF!</v>
      </c>
      <c r="F30" s="4" t="e">
        <f>#REF!</f>
        <v>#REF!</v>
      </c>
      <c r="G30" s="4" t="e">
        <f>#REF!</f>
        <v>#REF!</v>
      </c>
      <c r="H30" s="4" t="e">
        <f>#REF!</f>
        <v>#REF!</v>
      </c>
      <c r="I30" s="4" t="e">
        <f>#REF!</f>
        <v>#REF!</v>
      </c>
      <c r="J30" s="4" t="e">
        <f>#REF!</f>
        <v>#REF!</v>
      </c>
      <c r="K30" s="4" t="e">
        <f>#REF!</f>
        <v>#REF!</v>
      </c>
      <c r="L30" s="4" t="e">
        <f>#REF!</f>
        <v>#REF!</v>
      </c>
      <c r="M30" s="4" t="e">
        <f>#REF!</f>
        <v>#REF!</v>
      </c>
      <c r="N30" s="4" t="e">
        <f>#REF!</f>
        <v>#REF!</v>
      </c>
      <c r="O30" s="4" t="e">
        <f>#REF!</f>
        <v>#REF!</v>
      </c>
      <c r="P30" s="4" t="e">
        <f>#REF!</f>
        <v>#REF!</v>
      </c>
      <c r="Q30" s="4" t="e">
        <f>#REF!</f>
        <v>#REF!</v>
      </c>
      <c r="R30" s="4" t="e">
        <f>#REF!</f>
        <v>#REF!</v>
      </c>
      <c r="S30" s="4" t="e">
        <f>#REF!</f>
        <v>#REF!</v>
      </c>
      <c r="T30" s="4" t="e">
        <f>#REF!</f>
        <v>#REF!</v>
      </c>
      <c r="U30" s="4" t="e">
        <f>#REF!</f>
        <v>#REF!</v>
      </c>
      <c r="V30" s="4" t="e">
        <f>#REF!</f>
        <v>#REF!</v>
      </c>
      <c r="W30" s="4" t="e">
        <f>#REF!</f>
        <v>#REF!</v>
      </c>
      <c r="X30" s="4" t="e">
        <f>#REF!</f>
        <v>#REF!</v>
      </c>
      <c r="Y30" s="4" t="e">
        <f>#REF!</f>
        <v>#REF!</v>
      </c>
      <c r="Z30" s="4" t="e">
        <f>#REF!</f>
        <v>#REF!</v>
      </c>
      <c r="AA30" s="4" t="e">
        <f>#REF!</f>
        <v>#REF!</v>
      </c>
      <c r="AB30" s="213" t="e">
        <f>#REF!</f>
        <v>#REF!</v>
      </c>
      <c r="AC30" s="3" t="e">
        <f>#REF!</f>
        <v>#REF!</v>
      </c>
      <c r="AD30" s="141"/>
      <c r="AE30" s="141"/>
      <c r="AF30" s="141"/>
      <c r="AG30" s="141"/>
      <c r="AH30" s="318"/>
      <c r="AI30" s="142"/>
      <c r="AJ30" s="318"/>
      <c r="AK30" s="318"/>
      <c r="AL30" s="318"/>
      <c r="AM30" s="318"/>
      <c r="AN30" s="318"/>
      <c r="AO30" s="318"/>
      <c r="AP30" s="318"/>
    </row>
    <row r="31" spans="1:48" s="157" customFormat="1">
      <c r="A31" s="3">
        <f t="shared" si="8"/>
        <v>6</v>
      </c>
      <c r="B31" s="3" t="e">
        <f>#REF!</f>
        <v>#REF!</v>
      </c>
      <c r="C31" s="213" t="e">
        <f>#REF!</f>
        <v>#REF!</v>
      </c>
      <c r="D31" s="4" t="e">
        <f>#REF!</f>
        <v>#REF!</v>
      </c>
      <c r="E31" s="4" t="e">
        <f>#REF!</f>
        <v>#REF!</v>
      </c>
      <c r="F31" s="4" t="e">
        <f>#REF!</f>
        <v>#REF!</v>
      </c>
      <c r="G31" s="4" t="e">
        <f>#REF!</f>
        <v>#REF!</v>
      </c>
      <c r="H31" s="4" t="e">
        <f>#REF!</f>
        <v>#REF!</v>
      </c>
      <c r="I31" s="4" t="e">
        <f>#REF!</f>
        <v>#REF!</v>
      </c>
      <c r="J31" s="4" t="e">
        <f>#REF!</f>
        <v>#REF!</v>
      </c>
      <c r="K31" s="4" t="e">
        <f>#REF!</f>
        <v>#REF!</v>
      </c>
      <c r="L31" s="4" t="e">
        <f>#REF!</f>
        <v>#REF!</v>
      </c>
      <c r="M31" s="4" t="e">
        <f>#REF!</f>
        <v>#REF!</v>
      </c>
      <c r="N31" s="4" t="e">
        <f>#REF!</f>
        <v>#REF!</v>
      </c>
      <c r="O31" s="4" t="e">
        <f>#REF!</f>
        <v>#REF!</v>
      </c>
      <c r="P31" s="4" t="e">
        <f>#REF!</f>
        <v>#REF!</v>
      </c>
      <c r="Q31" s="4" t="e">
        <f>#REF!</f>
        <v>#REF!</v>
      </c>
      <c r="R31" s="4" t="e">
        <f>#REF!</f>
        <v>#REF!</v>
      </c>
      <c r="S31" s="4" t="e">
        <f>#REF!</f>
        <v>#REF!</v>
      </c>
      <c r="T31" s="4" t="e">
        <f>#REF!</f>
        <v>#REF!</v>
      </c>
      <c r="U31" s="4" t="e">
        <f>#REF!</f>
        <v>#REF!</v>
      </c>
      <c r="V31" s="4" t="e">
        <f>#REF!</f>
        <v>#REF!</v>
      </c>
      <c r="W31" s="4" t="e">
        <f>#REF!</f>
        <v>#REF!</v>
      </c>
      <c r="X31" s="4" t="e">
        <f>#REF!</f>
        <v>#REF!</v>
      </c>
      <c r="Y31" s="4" t="e">
        <f>#REF!</f>
        <v>#REF!</v>
      </c>
      <c r="Z31" s="4" t="e">
        <f>#REF!</f>
        <v>#REF!</v>
      </c>
      <c r="AA31" s="4" t="e">
        <f>#REF!</f>
        <v>#REF!</v>
      </c>
      <c r="AB31" s="213" t="e">
        <f>#REF!</f>
        <v>#REF!</v>
      </c>
      <c r="AC31" s="3" t="e">
        <f>#REF!</f>
        <v>#REF!</v>
      </c>
      <c r="AD31" s="141"/>
      <c r="AE31" s="141"/>
      <c r="AF31" s="141"/>
      <c r="AG31" s="141"/>
      <c r="AH31" s="318"/>
      <c r="AI31" s="142"/>
      <c r="AJ31" s="318"/>
      <c r="AK31" s="318"/>
      <c r="AL31" s="318"/>
      <c r="AM31" s="318"/>
      <c r="AN31" s="318"/>
      <c r="AO31" s="318"/>
      <c r="AP31" s="318"/>
    </row>
    <row r="32" spans="1:48" s="157" customFormat="1">
      <c r="A32" s="3">
        <f t="shared" si="8"/>
        <v>7</v>
      </c>
      <c r="B32" s="3" t="e">
        <f>#REF!</f>
        <v>#REF!</v>
      </c>
      <c r="C32" s="213" t="e">
        <f>#REF!</f>
        <v>#REF!</v>
      </c>
      <c r="D32" s="4" t="e">
        <f>#REF!</f>
        <v>#REF!</v>
      </c>
      <c r="E32" s="4" t="e">
        <f>#REF!</f>
        <v>#REF!</v>
      </c>
      <c r="F32" s="4" t="e">
        <f>#REF!</f>
        <v>#REF!</v>
      </c>
      <c r="G32" s="4" t="e">
        <f>#REF!</f>
        <v>#REF!</v>
      </c>
      <c r="H32" s="4" t="e">
        <f>#REF!</f>
        <v>#REF!</v>
      </c>
      <c r="I32" s="4" t="e">
        <f>#REF!</f>
        <v>#REF!</v>
      </c>
      <c r="J32" s="4" t="e">
        <f>#REF!</f>
        <v>#REF!</v>
      </c>
      <c r="K32" s="4" t="e">
        <f>#REF!</f>
        <v>#REF!</v>
      </c>
      <c r="L32" s="4" t="e">
        <f>#REF!</f>
        <v>#REF!</v>
      </c>
      <c r="M32" s="4" t="e">
        <f>#REF!</f>
        <v>#REF!</v>
      </c>
      <c r="N32" s="4" t="e">
        <f>#REF!</f>
        <v>#REF!</v>
      </c>
      <c r="O32" s="4" t="e">
        <f>#REF!</f>
        <v>#REF!</v>
      </c>
      <c r="P32" s="4" t="e">
        <f>#REF!</f>
        <v>#REF!</v>
      </c>
      <c r="Q32" s="4" t="e">
        <f>#REF!</f>
        <v>#REF!</v>
      </c>
      <c r="R32" s="4" t="e">
        <f>#REF!</f>
        <v>#REF!</v>
      </c>
      <c r="S32" s="4" t="e">
        <f>#REF!</f>
        <v>#REF!</v>
      </c>
      <c r="T32" s="4" t="e">
        <f>#REF!</f>
        <v>#REF!</v>
      </c>
      <c r="U32" s="4" t="e">
        <f>#REF!</f>
        <v>#REF!</v>
      </c>
      <c r="V32" s="4" t="e">
        <f>#REF!</f>
        <v>#REF!</v>
      </c>
      <c r="W32" s="4" t="e">
        <f>#REF!</f>
        <v>#REF!</v>
      </c>
      <c r="X32" s="4" t="e">
        <f>#REF!</f>
        <v>#REF!</v>
      </c>
      <c r="Y32" s="4" t="e">
        <f>#REF!</f>
        <v>#REF!</v>
      </c>
      <c r="Z32" s="4" t="e">
        <f>#REF!</f>
        <v>#REF!</v>
      </c>
      <c r="AA32" s="4" t="e">
        <f>#REF!</f>
        <v>#REF!</v>
      </c>
      <c r="AB32" s="213" t="e">
        <f>#REF!</f>
        <v>#REF!</v>
      </c>
      <c r="AC32" s="3" t="e">
        <f>#REF!</f>
        <v>#REF!</v>
      </c>
      <c r="AD32" s="141"/>
      <c r="AE32" s="141"/>
      <c r="AF32" s="141"/>
      <c r="AG32" s="141"/>
      <c r="AH32" s="318"/>
      <c r="AI32" s="142"/>
      <c r="AJ32" s="318"/>
      <c r="AK32" s="318"/>
      <c r="AL32" s="318"/>
      <c r="AM32" s="318"/>
      <c r="AN32" s="318"/>
      <c r="AO32" s="318"/>
      <c r="AP32" s="318"/>
    </row>
    <row r="33" spans="1:48" s="157" customFormat="1" ht="40.200000000000003" customHeight="1">
      <c r="A33" s="3">
        <f t="shared" si="8"/>
        <v>8</v>
      </c>
      <c r="B33" s="3" t="e">
        <f>#REF!</f>
        <v>#REF!</v>
      </c>
      <c r="C33" s="213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4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213" t="e">
        <f>#REF!</f>
        <v>#REF!</v>
      </c>
      <c r="AC33" s="3" t="e">
        <f>#REF!</f>
        <v>#REF!</v>
      </c>
      <c r="AD33" s="141"/>
      <c r="AE33" s="141"/>
      <c r="AF33" s="141"/>
      <c r="AG33" s="141"/>
      <c r="AH33" s="318"/>
      <c r="AI33" s="142"/>
      <c r="AJ33" s="318"/>
      <c r="AK33" s="318"/>
      <c r="AL33" s="318"/>
      <c r="AM33" s="318"/>
      <c r="AN33" s="318"/>
      <c r="AO33" s="318"/>
      <c r="AP33" s="318"/>
    </row>
    <row r="34" spans="1:48" s="5" customFormat="1" ht="59.4" customHeight="1">
      <c r="A34" s="3">
        <f t="shared" si="8"/>
        <v>9</v>
      </c>
      <c r="B34" s="3" t="e">
        <f>#REF!</f>
        <v>#REF!</v>
      </c>
      <c r="C34" s="213" t="e">
        <f>#REF!</f>
        <v>#REF!</v>
      </c>
      <c r="D34" s="4" t="e">
        <f>#REF!</f>
        <v>#REF!</v>
      </c>
      <c r="E34" s="4" t="e">
        <f>#REF!</f>
        <v>#REF!</v>
      </c>
      <c r="F34" s="4" t="e">
        <f>#REF!</f>
        <v>#REF!</v>
      </c>
      <c r="G34" s="4" t="e">
        <f>#REF!</f>
        <v>#REF!</v>
      </c>
      <c r="H34" s="4" t="e">
        <f>#REF!</f>
        <v>#REF!</v>
      </c>
      <c r="I34" s="4" t="e">
        <f>#REF!</f>
        <v>#REF!</v>
      </c>
      <c r="J34" s="4" t="e">
        <f>#REF!</f>
        <v>#REF!</v>
      </c>
      <c r="K34" s="4" t="e">
        <f>#REF!</f>
        <v>#REF!</v>
      </c>
      <c r="L34" s="4" t="e">
        <f>#REF!</f>
        <v>#REF!</v>
      </c>
      <c r="M34" s="4" t="e">
        <f>#REF!</f>
        <v>#REF!</v>
      </c>
      <c r="N34" s="4" t="e">
        <f>#REF!</f>
        <v>#REF!</v>
      </c>
      <c r="O34" s="4" t="e">
        <f>#REF!</f>
        <v>#REF!</v>
      </c>
      <c r="P34" s="4" t="e">
        <f>#REF!</f>
        <v>#REF!</v>
      </c>
      <c r="Q34" s="4" t="e">
        <f>#REF!</f>
        <v>#REF!</v>
      </c>
      <c r="R34" s="4" t="e">
        <f>#REF!</f>
        <v>#REF!</v>
      </c>
      <c r="S34" s="4" t="e">
        <f>#REF!</f>
        <v>#REF!</v>
      </c>
      <c r="T34" s="4" t="e">
        <f>#REF!</f>
        <v>#REF!</v>
      </c>
      <c r="U34" s="4" t="e">
        <f>#REF!</f>
        <v>#REF!</v>
      </c>
      <c r="V34" s="4" t="e">
        <f>#REF!</f>
        <v>#REF!</v>
      </c>
      <c r="W34" s="4" t="e">
        <f>#REF!</f>
        <v>#REF!</v>
      </c>
      <c r="X34" s="4" t="e">
        <f>#REF!</f>
        <v>#REF!</v>
      </c>
      <c r="Y34" s="4" t="e">
        <f>#REF!</f>
        <v>#REF!</v>
      </c>
      <c r="Z34" s="4" t="e">
        <f>#REF!</f>
        <v>#REF!</v>
      </c>
      <c r="AA34" s="4" t="e">
        <f>#REF!</f>
        <v>#REF!</v>
      </c>
      <c r="AB34" s="213" t="e">
        <f>#REF!</f>
        <v>#REF!</v>
      </c>
      <c r="AC34" s="3" t="e">
        <f>#REF!</f>
        <v>#REF!</v>
      </c>
      <c r="AD34" s="141"/>
      <c r="AE34" s="141"/>
      <c r="AF34" s="141"/>
      <c r="AG34" s="141"/>
      <c r="AH34" s="272"/>
      <c r="AI34" s="14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</row>
    <row r="35" spans="1:48" s="48" customFormat="1" ht="59.4" customHeight="1">
      <c r="A35" s="20"/>
      <c r="B35" s="20"/>
      <c r="C35" s="279" t="s">
        <v>533</v>
      </c>
      <c r="D35" s="50" t="e">
        <f>SUM(D30:D34)</f>
        <v>#REF!</v>
      </c>
      <c r="E35" s="50" t="e">
        <f t="shared" ref="E35:AA35" si="11">SUM(E30:E34)</f>
        <v>#REF!</v>
      </c>
      <c r="F35" s="50" t="e">
        <f t="shared" si="11"/>
        <v>#REF!</v>
      </c>
      <c r="G35" s="50" t="e">
        <f t="shared" si="11"/>
        <v>#REF!</v>
      </c>
      <c r="H35" s="50" t="e">
        <f t="shared" si="11"/>
        <v>#REF!</v>
      </c>
      <c r="I35" s="50" t="e">
        <f t="shared" si="11"/>
        <v>#REF!</v>
      </c>
      <c r="J35" s="50" t="e">
        <f t="shared" si="11"/>
        <v>#REF!</v>
      </c>
      <c r="K35" s="50" t="e">
        <f t="shared" si="11"/>
        <v>#REF!</v>
      </c>
      <c r="L35" s="50" t="e">
        <f t="shared" si="11"/>
        <v>#REF!</v>
      </c>
      <c r="M35" s="50" t="e">
        <f t="shared" si="11"/>
        <v>#REF!</v>
      </c>
      <c r="N35" s="50" t="e">
        <f t="shared" si="11"/>
        <v>#REF!</v>
      </c>
      <c r="O35" s="50" t="e">
        <f t="shared" si="11"/>
        <v>#REF!</v>
      </c>
      <c r="P35" s="50" t="e">
        <f t="shared" si="11"/>
        <v>#REF!</v>
      </c>
      <c r="Q35" s="50" t="e">
        <f t="shared" si="11"/>
        <v>#REF!</v>
      </c>
      <c r="R35" s="50" t="e">
        <f t="shared" si="11"/>
        <v>#REF!</v>
      </c>
      <c r="S35" s="50" t="e">
        <f t="shared" si="11"/>
        <v>#REF!</v>
      </c>
      <c r="T35" s="50" t="e">
        <f t="shared" si="11"/>
        <v>#REF!</v>
      </c>
      <c r="U35" s="50" t="e">
        <f t="shared" si="11"/>
        <v>#REF!</v>
      </c>
      <c r="V35" s="50" t="e">
        <f t="shared" si="11"/>
        <v>#REF!</v>
      </c>
      <c r="W35" s="50" t="e">
        <f t="shared" si="11"/>
        <v>#REF!</v>
      </c>
      <c r="X35" s="50" t="e">
        <f t="shared" si="11"/>
        <v>#REF!</v>
      </c>
      <c r="Y35" s="50" t="e">
        <f t="shared" si="11"/>
        <v>#REF!</v>
      </c>
      <c r="Z35" s="50" t="e">
        <f t="shared" si="11"/>
        <v>#REF!</v>
      </c>
      <c r="AA35" s="50" t="e">
        <f t="shared" si="11"/>
        <v>#REF!</v>
      </c>
      <c r="AB35" s="279"/>
      <c r="AC35" s="20"/>
      <c r="AD35" s="403"/>
      <c r="AE35" s="403"/>
      <c r="AF35" s="403"/>
      <c r="AG35" s="403"/>
      <c r="AH35" s="359"/>
      <c r="AI35" s="414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</row>
    <row r="36" spans="1:48" s="48" customFormat="1" ht="30" customHeight="1">
      <c r="A36" s="20">
        <f>A34</f>
        <v>9</v>
      </c>
      <c r="B36" s="20"/>
      <c r="C36" s="20" t="s">
        <v>757</v>
      </c>
      <c r="D36" s="50" t="e">
        <f>D35+D29+D27+D24</f>
        <v>#REF!</v>
      </c>
      <c r="E36" s="50" t="e">
        <f t="shared" ref="E36:AA36" si="12">E35+E29+E27+E24</f>
        <v>#REF!</v>
      </c>
      <c r="F36" s="50" t="e">
        <f t="shared" si="12"/>
        <v>#REF!</v>
      </c>
      <c r="G36" s="50" t="e">
        <f t="shared" si="12"/>
        <v>#REF!</v>
      </c>
      <c r="H36" s="50" t="e">
        <f t="shared" si="12"/>
        <v>#REF!</v>
      </c>
      <c r="I36" s="50" t="e">
        <f t="shared" si="12"/>
        <v>#REF!</v>
      </c>
      <c r="J36" s="50" t="e">
        <f t="shared" si="12"/>
        <v>#REF!</v>
      </c>
      <c r="K36" s="50" t="e">
        <f t="shared" si="12"/>
        <v>#REF!</v>
      </c>
      <c r="L36" s="50" t="e">
        <f t="shared" si="12"/>
        <v>#REF!</v>
      </c>
      <c r="M36" s="50" t="e">
        <f t="shared" si="12"/>
        <v>#REF!</v>
      </c>
      <c r="N36" s="50" t="e">
        <f t="shared" si="12"/>
        <v>#REF!</v>
      </c>
      <c r="O36" s="50" t="e">
        <f t="shared" si="12"/>
        <v>#REF!</v>
      </c>
      <c r="P36" s="50" t="e">
        <f t="shared" si="12"/>
        <v>#REF!</v>
      </c>
      <c r="Q36" s="50" t="e">
        <f t="shared" si="12"/>
        <v>#REF!</v>
      </c>
      <c r="R36" s="50" t="e">
        <f t="shared" si="12"/>
        <v>#REF!</v>
      </c>
      <c r="S36" s="50" t="e">
        <f t="shared" si="12"/>
        <v>#REF!</v>
      </c>
      <c r="T36" s="50" t="e">
        <f t="shared" si="12"/>
        <v>#REF!</v>
      </c>
      <c r="U36" s="50" t="e">
        <f t="shared" si="12"/>
        <v>#REF!</v>
      </c>
      <c r="V36" s="50" t="e">
        <f t="shared" si="12"/>
        <v>#REF!</v>
      </c>
      <c r="W36" s="50" t="e">
        <f t="shared" si="12"/>
        <v>#REF!</v>
      </c>
      <c r="X36" s="50" t="e">
        <f t="shared" si="12"/>
        <v>#REF!</v>
      </c>
      <c r="Y36" s="50" t="e">
        <f t="shared" si="12"/>
        <v>#REF!</v>
      </c>
      <c r="Z36" s="50" t="e">
        <f t="shared" si="12"/>
        <v>#REF!</v>
      </c>
      <c r="AA36" s="50" t="e">
        <f t="shared" si="12"/>
        <v>#REF!</v>
      </c>
      <c r="AB36" s="20"/>
      <c r="AC36" s="20"/>
      <c r="AD36" s="141"/>
      <c r="AE36" s="141"/>
      <c r="AF36" s="141"/>
      <c r="AG36" s="141"/>
      <c r="AH36" s="50"/>
      <c r="AI36" s="142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</row>
    <row r="37" spans="1:48">
      <c r="A37" s="140"/>
      <c r="B37" s="140"/>
      <c r="C37" s="140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140"/>
      <c r="V37" s="140"/>
      <c r="W37" s="140"/>
      <c r="X37" s="140"/>
      <c r="Y37" s="140"/>
      <c r="Z37" s="140"/>
      <c r="AA37" s="140"/>
      <c r="AB37" s="226"/>
      <c r="AC37" s="140"/>
    </row>
    <row r="38" spans="1:48" s="48" customFormat="1" ht="30" customHeight="1">
      <c r="A38" s="50">
        <f>A36+A20</f>
        <v>19</v>
      </c>
      <c r="B38" s="20"/>
      <c r="C38" s="20" t="s">
        <v>299</v>
      </c>
      <c r="D38" s="50" t="e">
        <f t="shared" ref="D38:AA38" si="13">D36+D20</f>
        <v>#REF!</v>
      </c>
      <c r="E38" s="50" t="e">
        <f t="shared" si="13"/>
        <v>#REF!</v>
      </c>
      <c r="F38" s="50" t="e">
        <f t="shared" si="13"/>
        <v>#REF!</v>
      </c>
      <c r="G38" s="50" t="e">
        <f t="shared" si="13"/>
        <v>#REF!</v>
      </c>
      <c r="H38" s="50" t="e">
        <f t="shared" si="13"/>
        <v>#REF!</v>
      </c>
      <c r="I38" s="50" t="e">
        <f t="shared" si="13"/>
        <v>#REF!</v>
      </c>
      <c r="J38" s="50" t="e">
        <f t="shared" si="13"/>
        <v>#REF!</v>
      </c>
      <c r="K38" s="50" t="e">
        <f t="shared" si="13"/>
        <v>#REF!</v>
      </c>
      <c r="L38" s="50" t="e">
        <f t="shared" si="13"/>
        <v>#REF!</v>
      </c>
      <c r="M38" s="50" t="e">
        <f t="shared" si="13"/>
        <v>#REF!</v>
      </c>
      <c r="N38" s="50" t="e">
        <f t="shared" si="13"/>
        <v>#REF!</v>
      </c>
      <c r="O38" s="50" t="e">
        <f t="shared" si="13"/>
        <v>#REF!</v>
      </c>
      <c r="P38" s="50" t="e">
        <f t="shared" si="13"/>
        <v>#REF!</v>
      </c>
      <c r="Q38" s="50" t="e">
        <f t="shared" si="13"/>
        <v>#REF!</v>
      </c>
      <c r="R38" s="50" t="e">
        <f t="shared" si="13"/>
        <v>#REF!</v>
      </c>
      <c r="S38" s="50" t="e">
        <f t="shared" si="13"/>
        <v>#REF!</v>
      </c>
      <c r="T38" s="50" t="e">
        <f t="shared" si="13"/>
        <v>#REF!</v>
      </c>
      <c r="U38" s="50" t="e">
        <f t="shared" si="13"/>
        <v>#REF!</v>
      </c>
      <c r="V38" s="50" t="e">
        <f t="shared" si="13"/>
        <v>#REF!</v>
      </c>
      <c r="W38" s="50" t="e">
        <f t="shared" si="13"/>
        <v>#REF!</v>
      </c>
      <c r="X38" s="50" t="e">
        <f t="shared" si="13"/>
        <v>#REF!</v>
      </c>
      <c r="Y38" s="50" t="e">
        <f t="shared" si="13"/>
        <v>#REF!</v>
      </c>
      <c r="Z38" s="50" t="e">
        <f t="shared" si="13"/>
        <v>#REF!</v>
      </c>
      <c r="AA38" s="50" t="e">
        <f t="shared" si="13"/>
        <v>#REF!</v>
      </c>
      <c r="AB38" s="20"/>
      <c r="AC38" s="20"/>
      <c r="AD38" s="141"/>
      <c r="AE38" s="141"/>
      <c r="AF38" s="141"/>
      <c r="AG38" s="141"/>
      <c r="AH38" s="359"/>
      <c r="AI38" s="142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</row>
    <row r="39" spans="1:48">
      <c r="L39" s="402" t="e">
        <f>H38+K38</f>
        <v>#REF!</v>
      </c>
      <c r="P39" s="402" t="e">
        <f>G38-L39</f>
        <v>#REF!</v>
      </c>
      <c r="Q39" s="402"/>
      <c r="R39" s="402"/>
      <c r="S39" s="402"/>
      <c r="T39" s="402" t="e">
        <f>P39+S38-M38</f>
        <v>#REF!</v>
      </c>
      <c r="U39" s="402"/>
      <c r="V39" s="402"/>
    </row>
  </sheetData>
  <sheetProtection formatCells="0" formatColumns="0" formatRows="0" insertColumns="0" insertRows="0" insertHyperlinks="0" deleteColumns="0" deleteRows="0" sort="0" autoFilter="0" pivotTables="0"/>
  <sortState ref="A23:AV31">
    <sortCondition ref="AC23:AC31"/>
  </sortState>
  <mergeCells count="1">
    <mergeCell ref="A1:W1"/>
  </mergeCells>
  <conditionalFormatting sqref="AB4">
    <cfRule type="cellIs" dxfId="9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orientation="landscape" r:id="rId1"/>
  <headerFooter>
    <oddHeader>&amp;L&amp;F&amp;C&amp;"David,מודגש"&amp;14&amp;Uהצעת התקציב הבלתי רגיל 
לשנת 2023</oddHeader>
    <oddFooter>&amp;L&amp;D&amp;Cעמוד &amp;P מתוך &amp;N&amp;R&amp;A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30"/>
  <sheetViews>
    <sheetView showZeros="0" rightToLeft="1" zoomScaleNormal="100" workbookViewId="0">
      <pane xSplit="3" ySplit="4" topLeftCell="D12" activePane="bottomRight" state="frozen"/>
      <selection activeCell="A98" sqref="A98:XFD98"/>
      <selection pane="topRight" activeCell="A98" sqref="A98:XFD98"/>
      <selection pane="bottomLeft" activeCell="A98" sqref="A98:XFD98"/>
      <selection pane="bottomRight" activeCell="A13" sqref="A13:XFD13"/>
    </sheetView>
  </sheetViews>
  <sheetFormatPr defaultColWidth="9.109375" defaultRowHeight="18"/>
  <cols>
    <col min="1" max="1" width="3.6640625" style="131" customWidth="1"/>
    <col min="2" max="2" width="5.6640625" style="131" customWidth="1"/>
    <col min="3" max="3" width="16" style="131" customWidth="1"/>
    <col min="4" max="4" width="10.109375" style="132" customWidth="1"/>
    <col min="5" max="5" width="10.109375" style="132" hidden="1" customWidth="1"/>
    <col min="6" max="6" width="8.33203125" style="132" hidden="1" customWidth="1"/>
    <col min="7" max="7" width="11.109375" style="132" hidden="1" customWidth="1"/>
    <col min="8" max="8" width="10.109375" style="132" hidden="1" customWidth="1"/>
    <col min="9" max="9" width="6.6640625" style="132" hidden="1" customWidth="1"/>
    <col min="10" max="11" width="9.109375" style="132" hidden="1" customWidth="1"/>
    <col min="12" max="12" width="9.109375" style="132" customWidth="1"/>
    <col min="13" max="13" width="9.33203125" style="132" customWidth="1"/>
    <col min="14" max="14" width="8.33203125" style="132" customWidth="1"/>
    <col min="15" max="15" width="9.33203125" style="132" customWidth="1"/>
    <col min="16" max="16" width="10.109375" style="132" hidden="1" customWidth="1"/>
    <col min="17" max="18" width="13.5546875" style="132" hidden="1" customWidth="1"/>
    <col min="19" max="19" width="8.44140625" style="132" hidden="1" customWidth="1"/>
    <col min="20" max="20" width="8.33203125" style="132" customWidth="1"/>
    <col min="21" max="21" width="8.6640625" style="131" customWidth="1"/>
    <col min="22" max="22" width="7.6640625" style="131" customWidth="1"/>
    <col min="23" max="23" width="8.5546875" style="131" bestFit="1" customWidth="1"/>
    <col min="24" max="24" width="6.44140625" style="131" hidden="1" customWidth="1"/>
    <col min="25" max="25" width="7.44140625" style="131" hidden="1" customWidth="1"/>
    <col min="26" max="26" width="7.88671875" style="131" hidden="1" customWidth="1"/>
    <col min="27" max="27" width="9.6640625" style="131" customWidth="1"/>
    <col min="28" max="28" width="32.5546875" style="139" customWidth="1"/>
    <col min="29" max="29" width="7" style="131" hidden="1" customWidth="1"/>
    <col min="30" max="30" width="18.6640625" style="141" customWidth="1"/>
    <col min="31" max="31" width="33.33203125" style="141" customWidth="1"/>
    <col min="32" max="32" width="34" style="141" customWidth="1"/>
    <col min="33" max="33" width="24.5546875" style="141" customWidth="1"/>
    <col min="34" max="34" width="9.109375" style="131"/>
    <col min="35" max="35" width="7.5546875" style="142" bestFit="1" customWidth="1"/>
    <col min="36" max="16384" width="9.109375" style="131"/>
  </cols>
  <sheetData>
    <row r="1" spans="1:35" s="141" customFormat="1">
      <c r="A1" s="898"/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  <c r="R1" s="898"/>
      <c r="S1" s="898"/>
      <c r="T1" s="898"/>
      <c r="U1" s="898"/>
      <c r="V1" s="898"/>
      <c r="W1" s="898"/>
      <c r="X1" s="228"/>
      <c r="Y1" s="228"/>
      <c r="Z1" s="228"/>
      <c r="AB1" s="215"/>
      <c r="AI1" s="142"/>
    </row>
    <row r="2" spans="1:35">
      <c r="A2" s="154" t="s">
        <v>202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4" spans="1:35" s="142" customFormat="1" ht="69">
      <c r="A4" s="130" t="s">
        <v>0</v>
      </c>
      <c r="B4" s="130" t="s">
        <v>1</v>
      </c>
      <c r="C4" s="130" t="s">
        <v>2</v>
      </c>
      <c r="D4" s="130" t="s">
        <v>3</v>
      </c>
      <c r="E4" s="130" t="s">
        <v>4</v>
      </c>
      <c r="F4" s="130" t="s">
        <v>5</v>
      </c>
      <c r="G4" s="130" t="s">
        <v>6</v>
      </c>
      <c r="H4" s="130" t="s">
        <v>7</v>
      </c>
      <c r="I4" s="130" t="s">
        <v>9</v>
      </c>
      <c r="J4" s="130" t="s">
        <v>125</v>
      </c>
      <c r="K4" s="130" t="s">
        <v>10</v>
      </c>
      <c r="L4" s="130" t="s">
        <v>11</v>
      </c>
      <c r="M4" s="130" t="s">
        <v>707</v>
      </c>
      <c r="N4" s="130" t="s">
        <v>708</v>
      </c>
      <c r="O4" s="2" t="s">
        <v>709</v>
      </c>
      <c r="P4" s="2" t="s">
        <v>12</v>
      </c>
      <c r="Q4" s="2" t="s">
        <v>710</v>
      </c>
      <c r="R4" s="2" t="s">
        <v>711</v>
      </c>
      <c r="S4" s="2" t="s">
        <v>712</v>
      </c>
      <c r="T4" s="2" t="s">
        <v>713</v>
      </c>
      <c r="U4" s="2" t="s">
        <v>714</v>
      </c>
      <c r="V4" s="130" t="s">
        <v>13</v>
      </c>
      <c r="W4" s="130" t="s">
        <v>14</v>
      </c>
      <c r="X4" s="130" t="s">
        <v>15</v>
      </c>
      <c r="Y4" s="130" t="s">
        <v>214</v>
      </c>
      <c r="Z4" s="130" t="s">
        <v>502</v>
      </c>
      <c r="AA4" s="130" t="s">
        <v>75</v>
      </c>
      <c r="AB4" s="328" t="s">
        <v>242</v>
      </c>
      <c r="AC4" s="130" t="s">
        <v>16</v>
      </c>
      <c r="AD4" s="141"/>
      <c r="AE4" s="141"/>
      <c r="AF4" s="141"/>
      <c r="AG4" s="141"/>
    </row>
    <row r="5" spans="1:35" s="5" customFormat="1">
      <c r="A5" s="3">
        <v>1</v>
      </c>
      <c r="B5" s="3" t="e">
        <f>#REF!</f>
        <v>#REF!</v>
      </c>
      <c r="C5" s="213" t="e">
        <f>#REF!</f>
        <v>#REF!</v>
      </c>
      <c r="D5" s="4" t="e">
        <f>#REF!</f>
        <v>#REF!</v>
      </c>
      <c r="E5" s="4" t="e">
        <f>#REF!</f>
        <v>#REF!</v>
      </c>
      <c r="F5" s="4" t="e">
        <f>#REF!</f>
        <v>#REF!</v>
      </c>
      <c r="G5" s="4" t="e">
        <f>#REF!</f>
        <v>#REF!</v>
      </c>
      <c r="H5" s="4" t="e">
        <f>#REF!</f>
        <v>#REF!</v>
      </c>
      <c r="I5" s="4" t="e">
        <f>#REF!</f>
        <v>#REF!</v>
      </c>
      <c r="J5" s="4" t="e">
        <f>#REF!</f>
        <v>#REF!</v>
      </c>
      <c r="K5" s="4" t="e">
        <f>#REF!</f>
        <v>#REF!</v>
      </c>
      <c r="L5" s="4" t="e">
        <f>#REF!</f>
        <v>#REF!</v>
      </c>
      <c r="M5" s="4" t="e">
        <f>#REF!</f>
        <v>#REF!</v>
      </c>
      <c r="N5" s="4" t="e">
        <f>#REF!</f>
        <v>#REF!</v>
      </c>
      <c r="O5" s="4" t="e">
        <f>#REF!</f>
        <v>#REF!</v>
      </c>
      <c r="P5" s="4" t="e">
        <f>#REF!</f>
        <v>#REF!</v>
      </c>
      <c r="Q5" s="4" t="e">
        <f>#REF!</f>
        <v>#REF!</v>
      </c>
      <c r="R5" s="4" t="e">
        <f>#REF!</f>
        <v>#REF!</v>
      </c>
      <c r="S5" s="4" t="e">
        <f>#REF!</f>
        <v>#REF!</v>
      </c>
      <c r="T5" s="4" t="e">
        <f>#REF!</f>
        <v>#REF!</v>
      </c>
      <c r="U5" s="4" t="e">
        <f>#REF!</f>
        <v>#REF!</v>
      </c>
      <c r="V5" s="4" t="e">
        <f>#REF!</f>
        <v>#REF!</v>
      </c>
      <c r="W5" s="4" t="e">
        <f>#REF!</f>
        <v>#REF!</v>
      </c>
      <c r="X5" s="4" t="e">
        <f>#REF!</f>
        <v>#REF!</v>
      </c>
      <c r="Y5" s="4" t="e">
        <f>#REF!</f>
        <v>#REF!</v>
      </c>
      <c r="Z5" s="4" t="e">
        <f>#REF!</f>
        <v>#REF!</v>
      </c>
      <c r="AA5" s="4" t="e">
        <f>#REF!</f>
        <v>#REF!</v>
      </c>
      <c r="AB5" s="213" t="e">
        <f>#REF!</f>
        <v>#REF!</v>
      </c>
      <c r="AC5" s="3" t="e">
        <f>#REF!</f>
        <v>#REF!</v>
      </c>
      <c r="AD5" s="141" t="e">
        <f>#REF!</f>
        <v>#REF!</v>
      </c>
      <c r="AE5" s="141"/>
      <c r="AF5" s="141"/>
      <c r="AG5" s="141"/>
      <c r="AI5" s="142"/>
    </row>
    <row r="6" spans="1:35" s="5" customFormat="1" ht="34.950000000000003" customHeight="1">
      <c r="A6" s="135">
        <f>A5+1</f>
        <v>2</v>
      </c>
      <c r="B6" s="3" t="e">
        <f>#REF!</f>
        <v>#REF!</v>
      </c>
      <c r="C6" s="213" t="e">
        <f>#REF!</f>
        <v>#REF!</v>
      </c>
      <c r="D6" s="4" t="e">
        <f>#REF!</f>
        <v>#REF!</v>
      </c>
      <c r="E6" s="4" t="e">
        <f>#REF!</f>
        <v>#REF!</v>
      </c>
      <c r="F6" s="4" t="e">
        <f>#REF!</f>
        <v>#REF!</v>
      </c>
      <c r="G6" s="4" t="e">
        <f>#REF!</f>
        <v>#REF!</v>
      </c>
      <c r="H6" s="4" t="e">
        <f>#REF!</f>
        <v>#REF!</v>
      </c>
      <c r="I6" s="4" t="e">
        <f>#REF!</f>
        <v>#REF!</v>
      </c>
      <c r="J6" s="4" t="e">
        <f>#REF!</f>
        <v>#REF!</v>
      </c>
      <c r="K6" s="4" t="e">
        <f>#REF!</f>
        <v>#REF!</v>
      </c>
      <c r="L6" s="4" t="e">
        <f>#REF!</f>
        <v>#REF!</v>
      </c>
      <c r="M6" s="4" t="e">
        <f>#REF!</f>
        <v>#REF!</v>
      </c>
      <c r="N6" s="4" t="e">
        <f>#REF!</f>
        <v>#REF!</v>
      </c>
      <c r="O6" s="4" t="e">
        <f>#REF!</f>
        <v>#REF!</v>
      </c>
      <c r="P6" s="4" t="e">
        <f>#REF!</f>
        <v>#REF!</v>
      </c>
      <c r="Q6" s="4" t="e">
        <f>#REF!</f>
        <v>#REF!</v>
      </c>
      <c r="R6" s="4" t="e">
        <f>#REF!</f>
        <v>#REF!</v>
      </c>
      <c r="S6" s="4" t="e">
        <f>#REF!</f>
        <v>#REF!</v>
      </c>
      <c r="T6" s="4" t="e">
        <f>#REF!</f>
        <v>#REF!</v>
      </c>
      <c r="U6" s="4" t="e">
        <f>#REF!</f>
        <v>#REF!</v>
      </c>
      <c r="V6" s="4" t="e">
        <f>#REF!</f>
        <v>#REF!</v>
      </c>
      <c r="W6" s="4" t="e">
        <f>#REF!</f>
        <v>#REF!</v>
      </c>
      <c r="X6" s="4" t="e">
        <f>#REF!</f>
        <v>#REF!</v>
      </c>
      <c r="Y6" s="4" t="e">
        <f>#REF!</f>
        <v>#REF!</v>
      </c>
      <c r="Z6" s="4" t="e">
        <f>#REF!</f>
        <v>#REF!</v>
      </c>
      <c r="AA6" s="4" t="e">
        <f>#REF!</f>
        <v>#REF!</v>
      </c>
      <c r="AB6" s="213" t="e">
        <f>#REF!</f>
        <v>#REF!</v>
      </c>
      <c r="AC6" s="3" t="e">
        <f>#REF!</f>
        <v>#REF!</v>
      </c>
      <c r="AD6" s="141"/>
      <c r="AE6" s="141"/>
      <c r="AF6" s="141"/>
      <c r="AG6" s="141"/>
      <c r="AI6" s="142"/>
    </row>
    <row r="7" spans="1:35" s="134" customFormat="1">
      <c r="A7" s="135">
        <f t="shared" ref="A7:A14" si="0">A6+1</f>
        <v>3</v>
      </c>
      <c r="B7" s="3" t="e">
        <f>#REF!</f>
        <v>#REF!</v>
      </c>
      <c r="C7" s="213" t="e">
        <f>#REF!</f>
        <v>#REF!</v>
      </c>
      <c r="D7" s="4" t="e">
        <f>#REF!</f>
        <v>#REF!</v>
      </c>
      <c r="E7" s="4" t="e">
        <f>#REF!</f>
        <v>#REF!</v>
      </c>
      <c r="F7" s="4" t="e">
        <f>#REF!</f>
        <v>#REF!</v>
      </c>
      <c r="G7" s="4" t="e">
        <f>#REF!</f>
        <v>#REF!</v>
      </c>
      <c r="H7" s="4" t="e">
        <f>#REF!</f>
        <v>#REF!</v>
      </c>
      <c r="I7" s="4" t="e">
        <f>#REF!</f>
        <v>#REF!</v>
      </c>
      <c r="J7" s="4" t="e">
        <f>#REF!</f>
        <v>#REF!</v>
      </c>
      <c r="K7" s="4" t="e">
        <f>#REF!</f>
        <v>#REF!</v>
      </c>
      <c r="L7" s="4" t="e">
        <f>#REF!</f>
        <v>#REF!</v>
      </c>
      <c r="M7" s="4" t="e">
        <f>#REF!</f>
        <v>#REF!</v>
      </c>
      <c r="N7" s="4" t="e">
        <f>#REF!</f>
        <v>#REF!</v>
      </c>
      <c r="O7" s="4" t="e">
        <f>#REF!</f>
        <v>#REF!</v>
      </c>
      <c r="P7" s="4" t="e">
        <f>#REF!</f>
        <v>#REF!</v>
      </c>
      <c r="Q7" s="4" t="e">
        <f>#REF!</f>
        <v>#REF!</v>
      </c>
      <c r="R7" s="4" t="e">
        <f>#REF!</f>
        <v>#REF!</v>
      </c>
      <c r="S7" s="4" t="e">
        <f>#REF!</f>
        <v>#REF!</v>
      </c>
      <c r="T7" s="4" t="e">
        <f>#REF!</f>
        <v>#REF!</v>
      </c>
      <c r="U7" s="4" t="e">
        <f>#REF!</f>
        <v>#REF!</v>
      </c>
      <c r="V7" s="4" t="e">
        <f>#REF!</f>
        <v>#REF!</v>
      </c>
      <c r="W7" s="4" t="e">
        <f>#REF!</f>
        <v>#REF!</v>
      </c>
      <c r="X7" s="4" t="e">
        <f>#REF!</f>
        <v>#REF!</v>
      </c>
      <c r="Y7" s="4" t="e">
        <f>#REF!</f>
        <v>#REF!</v>
      </c>
      <c r="Z7" s="4" t="e">
        <f>#REF!</f>
        <v>#REF!</v>
      </c>
      <c r="AA7" s="4" t="e">
        <f>#REF!</f>
        <v>#REF!</v>
      </c>
      <c r="AB7" s="213" t="e">
        <f>#REF!</f>
        <v>#REF!</v>
      </c>
      <c r="AC7" s="3" t="e">
        <f>#REF!</f>
        <v>#REF!</v>
      </c>
      <c r="AD7" s="141"/>
      <c r="AE7" s="141"/>
      <c r="AF7" s="141"/>
      <c r="AG7" s="141"/>
      <c r="AI7" s="142"/>
    </row>
    <row r="8" spans="1:35" s="134" customFormat="1" ht="34.950000000000003" customHeight="1">
      <c r="A8" s="135">
        <f t="shared" si="0"/>
        <v>4</v>
      </c>
      <c r="B8" s="3" t="e">
        <f>#REF!</f>
        <v>#REF!</v>
      </c>
      <c r="C8" s="213" t="e">
        <f>#REF!</f>
        <v>#REF!</v>
      </c>
      <c r="D8" s="4" t="e">
        <f>#REF!</f>
        <v>#REF!</v>
      </c>
      <c r="E8" s="4" t="e">
        <f>#REF!</f>
        <v>#REF!</v>
      </c>
      <c r="F8" s="4" t="e">
        <f>#REF!</f>
        <v>#REF!</v>
      </c>
      <c r="G8" s="4" t="e">
        <f>#REF!</f>
        <v>#REF!</v>
      </c>
      <c r="H8" s="4" t="e">
        <f>#REF!</f>
        <v>#REF!</v>
      </c>
      <c r="I8" s="4" t="e">
        <f>#REF!</f>
        <v>#REF!</v>
      </c>
      <c r="J8" s="4" t="e">
        <f>#REF!</f>
        <v>#REF!</v>
      </c>
      <c r="K8" s="4" t="e">
        <f>#REF!</f>
        <v>#REF!</v>
      </c>
      <c r="L8" s="4" t="e">
        <f>#REF!</f>
        <v>#REF!</v>
      </c>
      <c r="M8" s="4" t="e">
        <f>#REF!</f>
        <v>#REF!</v>
      </c>
      <c r="N8" s="4" t="e">
        <f>#REF!</f>
        <v>#REF!</v>
      </c>
      <c r="O8" s="4" t="e">
        <f>#REF!</f>
        <v>#REF!</v>
      </c>
      <c r="P8" s="4" t="e">
        <f>#REF!</f>
        <v>#REF!</v>
      </c>
      <c r="Q8" s="4" t="e">
        <f>#REF!</f>
        <v>#REF!</v>
      </c>
      <c r="R8" s="4" t="e">
        <f>#REF!</f>
        <v>#REF!</v>
      </c>
      <c r="S8" s="4" t="e">
        <f>#REF!</f>
        <v>#REF!</v>
      </c>
      <c r="T8" s="4" t="e">
        <f>#REF!</f>
        <v>#REF!</v>
      </c>
      <c r="U8" s="4" t="e">
        <f>#REF!</f>
        <v>#REF!</v>
      </c>
      <c r="V8" s="4" t="e">
        <f>#REF!</f>
        <v>#REF!</v>
      </c>
      <c r="W8" s="4" t="e">
        <f>#REF!</f>
        <v>#REF!</v>
      </c>
      <c r="X8" s="4" t="e">
        <f>#REF!</f>
        <v>#REF!</v>
      </c>
      <c r="Y8" s="4" t="e">
        <f>#REF!</f>
        <v>#REF!</v>
      </c>
      <c r="Z8" s="4" t="e">
        <f>#REF!</f>
        <v>#REF!</v>
      </c>
      <c r="AA8" s="4" t="e">
        <f>#REF!</f>
        <v>#REF!</v>
      </c>
      <c r="AB8" s="213" t="e">
        <f>#REF!</f>
        <v>#REF!</v>
      </c>
      <c r="AC8" s="3" t="e">
        <f>#REF!</f>
        <v>#REF!</v>
      </c>
      <c r="AD8" s="141"/>
      <c r="AE8" s="141"/>
      <c r="AF8" s="141"/>
      <c r="AG8" s="141"/>
      <c r="AI8" s="142"/>
    </row>
    <row r="9" spans="1:35" s="134" customFormat="1" ht="34.950000000000003" customHeight="1">
      <c r="A9" s="135">
        <f t="shared" si="0"/>
        <v>5</v>
      </c>
      <c r="B9" s="3" t="e">
        <f>#REF!</f>
        <v>#REF!</v>
      </c>
      <c r="C9" s="213" t="e">
        <f>#REF!</f>
        <v>#REF!</v>
      </c>
      <c r="D9" s="4" t="e">
        <f>#REF!</f>
        <v>#REF!</v>
      </c>
      <c r="E9" s="4" t="e">
        <f>#REF!</f>
        <v>#REF!</v>
      </c>
      <c r="F9" s="4" t="e">
        <f>#REF!</f>
        <v>#REF!</v>
      </c>
      <c r="G9" s="4" t="e">
        <f>#REF!</f>
        <v>#REF!</v>
      </c>
      <c r="H9" s="4" t="e">
        <f>#REF!</f>
        <v>#REF!</v>
      </c>
      <c r="I9" s="4" t="e">
        <f>#REF!</f>
        <v>#REF!</v>
      </c>
      <c r="J9" s="4" t="e">
        <f>#REF!</f>
        <v>#REF!</v>
      </c>
      <c r="K9" s="4" t="e">
        <f>#REF!</f>
        <v>#REF!</v>
      </c>
      <c r="L9" s="4" t="e">
        <f>#REF!</f>
        <v>#REF!</v>
      </c>
      <c r="M9" s="4" t="e">
        <f>#REF!</f>
        <v>#REF!</v>
      </c>
      <c r="N9" s="4" t="e">
        <f>#REF!</f>
        <v>#REF!</v>
      </c>
      <c r="O9" s="4" t="e">
        <f>#REF!</f>
        <v>#REF!</v>
      </c>
      <c r="P9" s="4" t="e">
        <f>#REF!</f>
        <v>#REF!</v>
      </c>
      <c r="Q9" s="4" t="e">
        <f>#REF!</f>
        <v>#REF!</v>
      </c>
      <c r="R9" s="4" t="e">
        <f>#REF!</f>
        <v>#REF!</v>
      </c>
      <c r="S9" s="4" t="e">
        <f>#REF!</f>
        <v>#REF!</v>
      </c>
      <c r="T9" s="4" t="e">
        <f>#REF!</f>
        <v>#REF!</v>
      </c>
      <c r="U9" s="4" t="e">
        <f>#REF!</f>
        <v>#REF!</v>
      </c>
      <c r="V9" s="4" t="e">
        <f>#REF!</f>
        <v>#REF!</v>
      </c>
      <c r="W9" s="4" t="e">
        <f>#REF!</f>
        <v>#REF!</v>
      </c>
      <c r="X9" s="4" t="e">
        <f>#REF!</f>
        <v>#REF!</v>
      </c>
      <c r="Y9" s="4" t="e">
        <f>#REF!</f>
        <v>#REF!</v>
      </c>
      <c r="Z9" s="4" t="e">
        <f>#REF!</f>
        <v>#REF!</v>
      </c>
      <c r="AA9" s="4" t="e">
        <f>#REF!</f>
        <v>#REF!</v>
      </c>
      <c r="AB9" s="213" t="e">
        <f>#REF!</f>
        <v>#REF!</v>
      </c>
      <c r="AC9" s="3" t="e">
        <f>#REF!</f>
        <v>#REF!</v>
      </c>
      <c r="AD9" s="141"/>
      <c r="AE9" s="141"/>
      <c r="AF9" s="141"/>
      <c r="AG9" s="141"/>
      <c r="AI9" s="142"/>
    </row>
    <row r="10" spans="1:35" s="134" customFormat="1">
      <c r="A10" s="135">
        <f t="shared" si="0"/>
        <v>6</v>
      </c>
      <c r="B10" s="3" t="e">
        <f>#REF!</f>
        <v>#REF!</v>
      </c>
      <c r="C10" s="213" t="e">
        <f>#REF!</f>
        <v>#REF!</v>
      </c>
      <c r="D10" s="4" t="e">
        <f>#REF!</f>
        <v>#REF!</v>
      </c>
      <c r="E10" s="4" t="e">
        <f>#REF!</f>
        <v>#REF!</v>
      </c>
      <c r="F10" s="4" t="e">
        <f>#REF!</f>
        <v>#REF!</v>
      </c>
      <c r="G10" s="4" t="e">
        <f>#REF!</f>
        <v>#REF!</v>
      </c>
      <c r="H10" s="4" t="e">
        <f>#REF!</f>
        <v>#REF!</v>
      </c>
      <c r="I10" s="4" t="e">
        <f>#REF!</f>
        <v>#REF!</v>
      </c>
      <c r="J10" s="4" t="e">
        <f>#REF!</f>
        <v>#REF!</v>
      </c>
      <c r="K10" s="4" t="e">
        <f>#REF!</f>
        <v>#REF!</v>
      </c>
      <c r="L10" s="4" t="e">
        <f>#REF!</f>
        <v>#REF!</v>
      </c>
      <c r="M10" s="4" t="e">
        <f>#REF!</f>
        <v>#REF!</v>
      </c>
      <c r="N10" s="4" t="e">
        <f>#REF!</f>
        <v>#REF!</v>
      </c>
      <c r="O10" s="4" t="e">
        <f>#REF!</f>
        <v>#REF!</v>
      </c>
      <c r="P10" s="4" t="e">
        <f>#REF!</f>
        <v>#REF!</v>
      </c>
      <c r="Q10" s="4" t="e">
        <f>#REF!</f>
        <v>#REF!</v>
      </c>
      <c r="R10" s="4" t="e">
        <f>#REF!</f>
        <v>#REF!</v>
      </c>
      <c r="S10" s="4" t="e">
        <f>#REF!</f>
        <v>#REF!</v>
      </c>
      <c r="T10" s="4" t="e">
        <f>#REF!</f>
        <v>#REF!</v>
      </c>
      <c r="U10" s="4" t="e">
        <f>#REF!</f>
        <v>#REF!</v>
      </c>
      <c r="V10" s="4" t="e">
        <f>#REF!</f>
        <v>#REF!</v>
      </c>
      <c r="W10" s="4" t="e">
        <f>#REF!</f>
        <v>#REF!</v>
      </c>
      <c r="X10" s="4" t="e">
        <f>#REF!</f>
        <v>#REF!</v>
      </c>
      <c r="Y10" s="4" t="e">
        <f>#REF!</f>
        <v>#REF!</v>
      </c>
      <c r="Z10" s="4" t="e">
        <f>#REF!</f>
        <v>#REF!</v>
      </c>
      <c r="AA10" s="4" t="e">
        <f>#REF!</f>
        <v>#REF!</v>
      </c>
      <c r="AB10" s="213" t="e">
        <f>#REF!</f>
        <v>#REF!</v>
      </c>
      <c r="AC10" s="3" t="e">
        <f>#REF!</f>
        <v>#REF!</v>
      </c>
      <c r="AD10" s="141"/>
      <c r="AE10" s="141"/>
      <c r="AF10" s="141"/>
      <c r="AG10" s="141"/>
      <c r="AI10" s="142"/>
    </row>
    <row r="11" spans="1:35" s="134" customFormat="1" ht="34.950000000000003" customHeight="1">
      <c r="A11" s="135">
        <f t="shared" si="0"/>
        <v>7</v>
      </c>
      <c r="B11" s="3" t="e">
        <f>#REF!</f>
        <v>#REF!</v>
      </c>
      <c r="C11" s="213" t="e">
        <f>#REF!</f>
        <v>#REF!</v>
      </c>
      <c r="D11" s="4" t="e">
        <f>#REF!</f>
        <v>#REF!</v>
      </c>
      <c r="E11" s="4" t="e">
        <f>#REF!</f>
        <v>#REF!</v>
      </c>
      <c r="F11" s="4" t="e">
        <f>#REF!</f>
        <v>#REF!</v>
      </c>
      <c r="G11" s="4" t="e">
        <f>#REF!</f>
        <v>#REF!</v>
      </c>
      <c r="H11" s="4" t="e">
        <f>#REF!</f>
        <v>#REF!</v>
      </c>
      <c r="I11" s="4" t="e">
        <f>#REF!</f>
        <v>#REF!</v>
      </c>
      <c r="J11" s="4" t="e">
        <f>#REF!</f>
        <v>#REF!</v>
      </c>
      <c r="K11" s="4" t="e">
        <f>#REF!</f>
        <v>#REF!</v>
      </c>
      <c r="L11" s="4" t="e">
        <f>#REF!</f>
        <v>#REF!</v>
      </c>
      <c r="M11" s="4" t="e">
        <f>#REF!</f>
        <v>#REF!</v>
      </c>
      <c r="N11" s="4" t="e">
        <f>#REF!</f>
        <v>#REF!</v>
      </c>
      <c r="O11" s="4" t="e">
        <f>#REF!</f>
        <v>#REF!</v>
      </c>
      <c r="P11" s="4" t="e">
        <f>#REF!</f>
        <v>#REF!</v>
      </c>
      <c r="Q11" s="4" t="e">
        <f>#REF!</f>
        <v>#REF!</v>
      </c>
      <c r="R11" s="4" t="e">
        <f>#REF!</f>
        <v>#REF!</v>
      </c>
      <c r="S11" s="4" t="e">
        <f>#REF!</f>
        <v>#REF!</v>
      </c>
      <c r="T11" s="4" t="e">
        <f>#REF!</f>
        <v>#REF!</v>
      </c>
      <c r="U11" s="4" t="e">
        <f>#REF!</f>
        <v>#REF!</v>
      </c>
      <c r="V11" s="4" t="e">
        <f>#REF!</f>
        <v>#REF!</v>
      </c>
      <c r="W11" s="4" t="e">
        <f>#REF!</f>
        <v>#REF!</v>
      </c>
      <c r="X11" s="4" t="e">
        <f>#REF!</f>
        <v>#REF!</v>
      </c>
      <c r="Y11" s="4" t="e">
        <f>#REF!</f>
        <v>#REF!</v>
      </c>
      <c r="Z11" s="4" t="e">
        <f>#REF!</f>
        <v>#REF!</v>
      </c>
      <c r="AA11" s="4" t="e">
        <f>#REF!</f>
        <v>#REF!</v>
      </c>
      <c r="AB11" s="213" t="e">
        <f>#REF!</f>
        <v>#REF!</v>
      </c>
      <c r="AC11" s="3" t="e">
        <f>#REF!</f>
        <v>#REF!</v>
      </c>
      <c r="AD11" s="141"/>
      <c r="AE11" s="141"/>
      <c r="AF11" s="141"/>
      <c r="AG11" s="141"/>
      <c r="AI11" s="142"/>
    </row>
    <row r="12" spans="1:35" s="134" customFormat="1">
      <c r="A12" s="135">
        <f t="shared" si="0"/>
        <v>8</v>
      </c>
      <c r="B12" s="3" t="e">
        <f>#REF!</f>
        <v>#REF!</v>
      </c>
      <c r="C12" s="213" t="e">
        <f>#REF!</f>
        <v>#REF!</v>
      </c>
      <c r="D12" s="4" t="e">
        <f>#REF!</f>
        <v>#REF!</v>
      </c>
      <c r="E12" s="4" t="e">
        <f>#REF!</f>
        <v>#REF!</v>
      </c>
      <c r="F12" s="4" t="e">
        <f>#REF!</f>
        <v>#REF!</v>
      </c>
      <c r="G12" s="4" t="e">
        <f>#REF!</f>
        <v>#REF!</v>
      </c>
      <c r="H12" s="4" t="e">
        <f>#REF!</f>
        <v>#REF!</v>
      </c>
      <c r="I12" s="4" t="e">
        <f>#REF!</f>
        <v>#REF!</v>
      </c>
      <c r="J12" s="4" t="e">
        <f>#REF!</f>
        <v>#REF!</v>
      </c>
      <c r="K12" s="4" t="e">
        <f>#REF!</f>
        <v>#REF!</v>
      </c>
      <c r="L12" s="4" t="e">
        <f>#REF!</f>
        <v>#REF!</v>
      </c>
      <c r="M12" s="4" t="e">
        <f>#REF!</f>
        <v>#REF!</v>
      </c>
      <c r="N12" s="4" t="e">
        <f>#REF!</f>
        <v>#REF!</v>
      </c>
      <c r="O12" s="4" t="e">
        <f>#REF!</f>
        <v>#REF!</v>
      </c>
      <c r="P12" s="4" t="e">
        <f>#REF!</f>
        <v>#REF!</v>
      </c>
      <c r="Q12" s="4" t="e">
        <f>#REF!</f>
        <v>#REF!</v>
      </c>
      <c r="R12" s="4" t="e">
        <f>#REF!</f>
        <v>#REF!</v>
      </c>
      <c r="S12" s="4" t="e">
        <f>#REF!</f>
        <v>#REF!</v>
      </c>
      <c r="T12" s="4" t="e">
        <f>#REF!</f>
        <v>#REF!</v>
      </c>
      <c r="U12" s="4" t="e">
        <f>#REF!</f>
        <v>#REF!</v>
      </c>
      <c r="V12" s="4" t="e">
        <f>#REF!</f>
        <v>#REF!</v>
      </c>
      <c r="W12" s="4" t="e">
        <f>#REF!</f>
        <v>#REF!</v>
      </c>
      <c r="X12" s="4" t="e">
        <f>#REF!</f>
        <v>#REF!</v>
      </c>
      <c r="Y12" s="4" t="e">
        <f>#REF!</f>
        <v>#REF!</v>
      </c>
      <c r="Z12" s="4" t="e">
        <f>#REF!</f>
        <v>#REF!</v>
      </c>
      <c r="AA12" s="4" t="e">
        <f>#REF!</f>
        <v>#REF!</v>
      </c>
      <c r="AB12" s="213" t="e">
        <f>#REF!</f>
        <v>#REF!</v>
      </c>
      <c r="AC12" s="3" t="e">
        <f>#REF!</f>
        <v>#REF!</v>
      </c>
      <c r="AD12" s="141"/>
      <c r="AE12" s="141"/>
      <c r="AF12" s="141"/>
      <c r="AG12" s="141"/>
      <c r="AI12" s="142"/>
    </row>
    <row r="13" spans="1:35" s="5" customFormat="1" ht="58.2" customHeight="1">
      <c r="A13" s="135">
        <f t="shared" si="0"/>
        <v>9</v>
      </c>
      <c r="B13" s="3" t="e">
        <f>#REF!</f>
        <v>#REF!</v>
      </c>
      <c r="C13" s="213" t="e">
        <f>#REF!</f>
        <v>#REF!</v>
      </c>
      <c r="D13" s="4" t="e">
        <f>#REF!</f>
        <v>#REF!</v>
      </c>
      <c r="E13" s="4" t="e">
        <f>#REF!</f>
        <v>#REF!</v>
      </c>
      <c r="F13" s="4" t="e">
        <f>#REF!</f>
        <v>#REF!</v>
      </c>
      <c r="G13" s="4" t="e">
        <f>#REF!</f>
        <v>#REF!</v>
      </c>
      <c r="H13" s="4" t="e">
        <f>#REF!</f>
        <v>#REF!</v>
      </c>
      <c r="I13" s="4" t="e">
        <f>#REF!</f>
        <v>#REF!</v>
      </c>
      <c r="J13" s="4" t="e">
        <f>#REF!</f>
        <v>#REF!</v>
      </c>
      <c r="K13" s="4" t="e">
        <f>#REF!</f>
        <v>#REF!</v>
      </c>
      <c r="L13" s="4" t="e">
        <f>#REF!</f>
        <v>#REF!</v>
      </c>
      <c r="M13" s="4" t="e">
        <f>#REF!</f>
        <v>#REF!</v>
      </c>
      <c r="N13" s="4" t="e">
        <f>#REF!</f>
        <v>#REF!</v>
      </c>
      <c r="O13" s="4" t="e">
        <f>#REF!</f>
        <v>#REF!</v>
      </c>
      <c r="P13" s="4" t="e">
        <f>#REF!</f>
        <v>#REF!</v>
      </c>
      <c r="Q13" s="4" t="e">
        <f>#REF!</f>
        <v>#REF!</v>
      </c>
      <c r="R13" s="4" t="e">
        <f>#REF!</f>
        <v>#REF!</v>
      </c>
      <c r="S13" s="4" t="e">
        <f>#REF!</f>
        <v>#REF!</v>
      </c>
      <c r="T13" s="4" t="e">
        <f>#REF!</f>
        <v>#REF!</v>
      </c>
      <c r="U13" s="4" t="e">
        <f>#REF!</f>
        <v>#REF!</v>
      </c>
      <c r="V13" s="4" t="e">
        <f>#REF!</f>
        <v>#REF!</v>
      </c>
      <c r="W13" s="4" t="e">
        <f>#REF!</f>
        <v>#REF!</v>
      </c>
      <c r="X13" s="4" t="e">
        <f>#REF!</f>
        <v>#REF!</v>
      </c>
      <c r="Y13" s="4" t="e">
        <f>#REF!</f>
        <v>#REF!</v>
      </c>
      <c r="Z13" s="4" t="e">
        <f>#REF!</f>
        <v>#REF!</v>
      </c>
      <c r="AA13" s="4" t="e">
        <f>#REF!</f>
        <v>#REF!</v>
      </c>
      <c r="AB13" s="213" t="e">
        <f>#REF!</f>
        <v>#REF!</v>
      </c>
      <c r="AC13" s="3" t="e">
        <f>#REF!</f>
        <v>#REF!</v>
      </c>
      <c r="AD13" s="141"/>
      <c r="AE13" s="141"/>
      <c r="AF13" s="141"/>
      <c r="AG13" s="141"/>
      <c r="AI13" s="142"/>
    </row>
    <row r="14" spans="1:35" s="5" customFormat="1" ht="52.2" customHeight="1">
      <c r="A14" s="135">
        <f t="shared" si="0"/>
        <v>10</v>
      </c>
      <c r="B14" s="3" t="e">
        <f>#REF!</f>
        <v>#REF!</v>
      </c>
      <c r="C14" s="213" t="e">
        <f>#REF!</f>
        <v>#REF!</v>
      </c>
      <c r="D14" s="4" t="e">
        <f>#REF!</f>
        <v>#REF!</v>
      </c>
      <c r="E14" s="4" t="e">
        <f>#REF!</f>
        <v>#REF!</v>
      </c>
      <c r="F14" s="4" t="e">
        <f>#REF!</f>
        <v>#REF!</v>
      </c>
      <c r="G14" s="4" t="e">
        <f>#REF!</f>
        <v>#REF!</v>
      </c>
      <c r="H14" s="4" t="e">
        <f>#REF!</f>
        <v>#REF!</v>
      </c>
      <c r="I14" s="4" t="e">
        <f>#REF!</f>
        <v>#REF!</v>
      </c>
      <c r="J14" s="4" t="e">
        <f>#REF!</f>
        <v>#REF!</v>
      </c>
      <c r="K14" s="4" t="e">
        <f>#REF!</f>
        <v>#REF!</v>
      </c>
      <c r="L14" s="4" t="e">
        <f>#REF!</f>
        <v>#REF!</v>
      </c>
      <c r="M14" s="4" t="e">
        <f>#REF!</f>
        <v>#REF!</v>
      </c>
      <c r="N14" s="4" t="e">
        <f>#REF!</f>
        <v>#REF!</v>
      </c>
      <c r="O14" s="4" t="e">
        <f>#REF!</f>
        <v>#REF!</v>
      </c>
      <c r="P14" s="4" t="e">
        <f>#REF!</f>
        <v>#REF!</v>
      </c>
      <c r="Q14" s="4" t="e">
        <f>#REF!</f>
        <v>#REF!</v>
      </c>
      <c r="R14" s="4" t="e">
        <f>#REF!</f>
        <v>#REF!</v>
      </c>
      <c r="S14" s="4" t="e">
        <f>#REF!</f>
        <v>#REF!</v>
      </c>
      <c r="T14" s="4" t="e">
        <f>#REF!</f>
        <v>#REF!</v>
      </c>
      <c r="U14" s="4" t="e">
        <f>#REF!</f>
        <v>#REF!</v>
      </c>
      <c r="V14" s="4" t="e">
        <f>#REF!</f>
        <v>#REF!</v>
      </c>
      <c r="W14" s="4" t="e">
        <f>#REF!</f>
        <v>#REF!</v>
      </c>
      <c r="X14" s="4" t="e">
        <f>#REF!</f>
        <v>#REF!</v>
      </c>
      <c r="Y14" s="4" t="e">
        <f>#REF!</f>
        <v>#REF!</v>
      </c>
      <c r="Z14" s="4" t="e">
        <f>#REF!</f>
        <v>#REF!</v>
      </c>
      <c r="AA14" s="4" t="e">
        <f>#REF!</f>
        <v>#REF!</v>
      </c>
      <c r="AB14" s="213" t="e">
        <f>#REF!</f>
        <v>#REF!</v>
      </c>
      <c r="AC14" s="3" t="e">
        <f>#REF!</f>
        <v>#REF!</v>
      </c>
      <c r="AD14" s="141"/>
      <c r="AE14" s="141"/>
      <c r="AF14" s="141"/>
      <c r="AG14" s="141"/>
      <c r="AI14" s="142"/>
    </row>
    <row r="15" spans="1:35" s="288" customFormat="1" ht="25.2" customHeight="1">
      <c r="A15" s="246">
        <f>A14</f>
        <v>10</v>
      </c>
      <c r="B15" s="246"/>
      <c r="C15" s="20" t="s">
        <v>167</v>
      </c>
      <c r="D15" s="287" t="e">
        <f>SUM(D5:D14)</f>
        <v>#REF!</v>
      </c>
      <c r="E15" s="287" t="e">
        <f t="shared" ref="E15:AA15" si="1">SUM(E5:E14)</f>
        <v>#REF!</v>
      </c>
      <c r="F15" s="287" t="e">
        <f t="shared" si="1"/>
        <v>#REF!</v>
      </c>
      <c r="G15" s="287" t="e">
        <f t="shared" si="1"/>
        <v>#REF!</v>
      </c>
      <c r="H15" s="287" t="e">
        <f t="shared" si="1"/>
        <v>#REF!</v>
      </c>
      <c r="I15" s="287" t="e">
        <f t="shared" si="1"/>
        <v>#REF!</v>
      </c>
      <c r="J15" s="287" t="e">
        <f t="shared" si="1"/>
        <v>#REF!</v>
      </c>
      <c r="K15" s="287" t="e">
        <f t="shared" si="1"/>
        <v>#REF!</v>
      </c>
      <c r="L15" s="287" t="e">
        <f t="shared" si="1"/>
        <v>#REF!</v>
      </c>
      <c r="M15" s="287" t="e">
        <f t="shared" si="1"/>
        <v>#REF!</v>
      </c>
      <c r="N15" s="287" t="e">
        <f t="shared" si="1"/>
        <v>#REF!</v>
      </c>
      <c r="O15" s="287" t="e">
        <f t="shared" si="1"/>
        <v>#REF!</v>
      </c>
      <c r="P15" s="287" t="e">
        <f t="shared" si="1"/>
        <v>#REF!</v>
      </c>
      <c r="Q15" s="287" t="e">
        <f t="shared" si="1"/>
        <v>#REF!</v>
      </c>
      <c r="R15" s="287" t="e">
        <f t="shared" si="1"/>
        <v>#REF!</v>
      </c>
      <c r="S15" s="287" t="e">
        <f t="shared" si="1"/>
        <v>#REF!</v>
      </c>
      <c r="T15" s="287" t="e">
        <f t="shared" si="1"/>
        <v>#REF!</v>
      </c>
      <c r="U15" s="287" t="e">
        <f t="shared" si="1"/>
        <v>#REF!</v>
      </c>
      <c r="V15" s="287" t="e">
        <f t="shared" si="1"/>
        <v>#REF!</v>
      </c>
      <c r="W15" s="287" t="e">
        <f t="shared" si="1"/>
        <v>#REF!</v>
      </c>
      <c r="X15" s="287" t="e">
        <f t="shared" si="1"/>
        <v>#REF!</v>
      </c>
      <c r="Y15" s="287" t="e">
        <f t="shared" si="1"/>
        <v>#REF!</v>
      </c>
      <c r="Z15" s="287" t="e">
        <f t="shared" si="1"/>
        <v>#REF!</v>
      </c>
      <c r="AA15" s="287" t="e">
        <f t="shared" si="1"/>
        <v>#REF!</v>
      </c>
      <c r="AB15" s="287"/>
      <c r="AC15" s="246"/>
      <c r="AD15" s="141"/>
      <c r="AE15" s="141"/>
      <c r="AF15" s="141"/>
      <c r="AG15" s="141"/>
      <c r="AI15" s="142"/>
    </row>
    <row r="16" spans="1:35" s="288" customFormat="1" ht="19.95" customHeight="1">
      <c r="A16" s="246"/>
      <c r="B16" s="246"/>
      <c r="C16" s="20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46"/>
      <c r="AD16" s="141"/>
      <c r="AE16" s="141"/>
      <c r="AF16" s="141"/>
      <c r="AG16" s="141"/>
      <c r="AI16" s="142"/>
    </row>
    <row r="17" spans="1:48" ht="34.950000000000003" hidden="1" customHeight="1">
      <c r="A17" s="140"/>
      <c r="B17" s="140"/>
      <c r="C17" s="140"/>
      <c r="D17" s="348"/>
      <c r="E17" s="348"/>
      <c r="F17" s="348"/>
      <c r="G17" s="348"/>
      <c r="H17" s="348"/>
      <c r="I17" s="348"/>
      <c r="J17" s="348"/>
      <c r="K17" s="348"/>
      <c r="L17" s="348" t="e">
        <f>K15+H15</f>
        <v>#REF!</v>
      </c>
      <c r="M17" s="348" t="e">
        <f>P17+S15-T15</f>
        <v>#REF!</v>
      </c>
      <c r="N17" s="348"/>
      <c r="O17" s="348"/>
      <c r="P17" s="348" t="e">
        <f>G15-L17</f>
        <v>#REF!</v>
      </c>
      <c r="Q17" s="348"/>
      <c r="R17" s="348"/>
      <c r="S17" s="348"/>
      <c r="T17" s="348"/>
      <c r="U17" s="140"/>
      <c r="V17" s="140"/>
      <c r="W17" s="140"/>
      <c r="X17" s="140"/>
      <c r="Y17" s="140"/>
      <c r="Z17" s="140"/>
      <c r="AA17" s="140"/>
      <c r="AB17" s="226"/>
      <c r="AC17" s="140"/>
    </row>
    <row r="18" spans="1:48" s="216" customFormat="1" ht="25.2" customHeight="1">
      <c r="A18" s="220"/>
      <c r="B18" s="220"/>
      <c r="C18" s="337" t="s">
        <v>77</v>
      </c>
      <c r="D18" s="349"/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220"/>
      <c r="V18" s="220"/>
      <c r="W18" s="220"/>
      <c r="X18" s="220"/>
      <c r="Y18" s="220"/>
      <c r="Z18" s="220"/>
      <c r="AA18" s="220"/>
      <c r="AB18" s="135"/>
      <c r="AC18" s="220"/>
      <c r="AD18" s="416"/>
      <c r="AE18" s="416"/>
      <c r="AF18" s="416"/>
      <c r="AG18" s="416"/>
      <c r="AI18" s="142"/>
    </row>
    <row r="19" spans="1:48" s="157" customFormat="1">
      <c r="A19" s="3">
        <v>1</v>
      </c>
      <c r="B19" s="3" t="e">
        <f>#REF!</f>
        <v>#REF!</v>
      </c>
      <c r="C19" s="213" t="e">
        <f>#REF!</f>
        <v>#REF!</v>
      </c>
      <c r="D19" s="4" t="e">
        <f>#REF!</f>
        <v>#REF!</v>
      </c>
      <c r="E19" s="4" t="e">
        <f>#REF!</f>
        <v>#REF!</v>
      </c>
      <c r="F19" s="4" t="e">
        <f>#REF!</f>
        <v>#REF!</v>
      </c>
      <c r="G19" s="4" t="e">
        <f>#REF!</f>
        <v>#REF!</v>
      </c>
      <c r="H19" s="4" t="e">
        <f>#REF!</f>
        <v>#REF!</v>
      </c>
      <c r="I19" s="4" t="e">
        <f>#REF!</f>
        <v>#REF!</v>
      </c>
      <c r="J19" s="4" t="e">
        <f>#REF!</f>
        <v>#REF!</v>
      </c>
      <c r="K19" s="4" t="e">
        <f>#REF!</f>
        <v>#REF!</v>
      </c>
      <c r="L19" s="4" t="e">
        <f>#REF!</f>
        <v>#REF!</v>
      </c>
      <c r="M19" s="4" t="e">
        <f>#REF!</f>
        <v>#REF!</v>
      </c>
      <c r="N19" s="4" t="e">
        <f>#REF!</f>
        <v>#REF!</v>
      </c>
      <c r="O19" s="4" t="e">
        <f>#REF!</f>
        <v>#REF!</v>
      </c>
      <c r="P19" s="4" t="e">
        <f>#REF!</f>
        <v>#REF!</v>
      </c>
      <c r="Q19" s="4" t="e">
        <f>#REF!</f>
        <v>#REF!</v>
      </c>
      <c r="R19" s="4" t="e">
        <f>#REF!</f>
        <v>#REF!</v>
      </c>
      <c r="S19" s="4" t="e">
        <f>#REF!</f>
        <v>#REF!</v>
      </c>
      <c r="T19" s="4" t="e">
        <f>#REF!</f>
        <v>#REF!</v>
      </c>
      <c r="U19" s="4" t="e">
        <f>#REF!</f>
        <v>#REF!</v>
      </c>
      <c r="V19" s="4" t="e">
        <f>#REF!</f>
        <v>#REF!</v>
      </c>
      <c r="W19" s="4" t="e">
        <f>#REF!</f>
        <v>#REF!</v>
      </c>
      <c r="X19" s="4" t="e">
        <f>#REF!</f>
        <v>#REF!</v>
      </c>
      <c r="Y19" s="4" t="e">
        <f>#REF!</f>
        <v>#REF!</v>
      </c>
      <c r="Z19" s="4" t="e">
        <f>#REF!</f>
        <v>#REF!</v>
      </c>
      <c r="AA19" s="4" t="e">
        <f>#REF!</f>
        <v>#REF!</v>
      </c>
      <c r="AB19" s="213" t="e">
        <f>#REF!</f>
        <v>#REF!</v>
      </c>
      <c r="AC19" s="3" t="e">
        <f>#REF!</f>
        <v>#REF!</v>
      </c>
      <c r="AD19" s="141"/>
      <c r="AE19" s="141"/>
      <c r="AF19" s="141"/>
      <c r="AG19" s="141"/>
      <c r="AH19" s="318"/>
      <c r="AI19" s="142"/>
      <c r="AJ19" s="318"/>
      <c r="AK19" s="318"/>
      <c r="AL19" s="318"/>
      <c r="AM19" s="318"/>
      <c r="AN19" s="318"/>
      <c r="AO19" s="318"/>
      <c r="AP19" s="318"/>
    </row>
    <row r="20" spans="1:48" s="157" customFormat="1" ht="34.950000000000003" customHeight="1">
      <c r="A20" s="3">
        <f>1+A19</f>
        <v>2</v>
      </c>
      <c r="B20" s="3" t="e">
        <f>#REF!</f>
        <v>#REF!</v>
      </c>
      <c r="C20" s="213" t="e">
        <f>#REF!</f>
        <v>#REF!</v>
      </c>
      <c r="D20" s="4" t="e">
        <f>#REF!</f>
        <v>#REF!</v>
      </c>
      <c r="E20" s="4" t="e">
        <f>#REF!</f>
        <v>#REF!</v>
      </c>
      <c r="F20" s="4" t="e">
        <f>#REF!</f>
        <v>#REF!</v>
      </c>
      <c r="G20" s="4" t="e">
        <f>#REF!</f>
        <v>#REF!</v>
      </c>
      <c r="H20" s="4" t="e">
        <f>#REF!</f>
        <v>#REF!</v>
      </c>
      <c r="I20" s="4" t="e">
        <f>#REF!</f>
        <v>#REF!</v>
      </c>
      <c r="J20" s="4" t="e">
        <f>#REF!</f>
        <v>#REF!</v>
      </c>
      <c r="K20" s="4" t="e">
        <f>#REF!</f>
        <v>#REF!</v>
      </c>
      <c r="L20" s="4" t="e">
        <f>#REF!</f>
        <v>#REF!</v>
      </c>
      <c r="M20" s="4" t="e">
        <f>#REF!</f>
        <v>#REF!</v>
      </c>
      <c r="N20" s="4" t="e">
        <f>#REF!</f>
        <v>#REF!</v>
      </c>
      <c r="O20" s="4" t="e">
        <f>#REF!</f>
        <v>#REF!</v>
      </c>
      <c r="P20" s="4" t="e">
        <f>#REF!</f>
        <v>#REF!</v>
      </c>
      <c r="Q20" s="4" t="e">
        <f>#REF!</f>
        <v>#REF!</v>
      </c>
      <c r="R20" s="4" t="e">
        <f>#REF!</f>
        <v>#REF!</v>
      </c>
      <c r="S20" s="4" t="e">
        <f>#REF!</f>
        <v>#REF!</v>
      </c>
      <c r="T20" s="4" t="e">
        <f>#REF!</f>
        <v>#REF!</v>
      </c>
      <c r="U20" s="4" t="e">
        <f>#REF!</f>
        <v>#REF!</v>
      </c>
      <c r="V20" s="4" t="e">
        <f>#REF!</f>
        <v>#REF!</v>
      </c>
      <c r="W20" s="4" t="e">
        <f>#REF!</f>
        <v>#REF!</v>
      </c>
      <c r="X20" s="4" t="e">
        <f>#REF!</f>
        <v>#REF!</v>
      </c>
      <c r="Y20" s="4" t="e">
        <f>#REF!</f>
        <v>#REF!</v>
      </c>
      <c r="Z20" s="4" t="e">
        <f>#REF!</f>
        <v>#REF!</v>
      </c>
      <c r="AA20" s="4" t="e">
        <f>#REF!</f>
        <v>#REF!</v>
      </c>
      <c r="AB20" s="213" t="e">
        <f>#REF!</f>
        <v>#REF!</v>
      </c>
      <c r="AC20" s="3" t="e">
        <f>#REF!</f>
        <v>#REF!</v>
      </c>
      <c r="AD20" s="141"/>
      <c r="AE20" s="141"/>
      <c r="AF20" s="141"/>
      <c r="AG20" s="141"/>
      <c r="AH20" s="318"/>
      <c r="AI20" s="142"/>
      <c r="AJ20" s="318"/>
      <c r="AK20" s="318"/>
      <c r="AL20" s="318"/>
      <c r="AM20" s="318"/>
      <c r="AN20" s="318"/>
      <c r="AO20" s="318"/>
      <c r="AP20" s="318"/>
    </row>
    <row r="21" spans="1:48" s="157" customFormat="1" ht="34.950000000000003" customHeight="1">
      <c r="A21" s="3">
        <f t="shared" ref="A21:A27" si="2">1+A20</f>
        <v>3</v>
      </c>
      <c r="B21" s="3" t="e">
        <f>#REF!</f>
        <v>#REF!</v>
      </c>
      <c r="C21" s="213" t="e">
        <f>#REF!</f>
        <v>#REF!</v>
      </c>
      <c r="D21" s="4" t="e">
        <f>#REF!</f>
        <v>#REF!</v>
      </c>
      <c r="E21" s="4" t="e">
        <f>#REF!</f>
        <v>#REF!</v>
      </c>
      <c r="F21" s="4" t="e">
        <f>#REF!</f>
        <v>#REF!</v>
      </c>
      <c r="G21" s="4" t="e">
        <f>#REF!</f>
        <v>#REF!</v>
      </c>
      <c r="H21" s="4" t="e">
        <f>#REF!</f>
        <v>#REF!</v>
      </c>
      <c r="I21" s="4" t="e">
        <f>#REF!</f>
        <v>#REF!</v>
      </c>
      <c r="J21" s="4" t="e">
        <f>#REF!</f>
        <v>#REF!</v>
      </c>
      <c r="K21" s="4" t="e">
        <f>#REF!</f>
        <v>#REF!</v>
      </c>
      <c r="L21" s="4" t="e">
        <f>#REF!</f>
        <v>#REF!</v>
      </c>
      <c r="M21" s="4" t="e">
        <f>#REF!</f>
        <v>#REF!</v>
      </c>
      <c r="N21" s="4" t="e">
        <f>#REF!</f>
        <v>#REF!</v>
      </c>
      <c r="O21" s="4" t="e">
        <f>#REF!</f>
        <v>#REF!</v>
      </c>
      <c r="P21" s="4" t="e">
        <f>#REF!</f>
        <v>#REF!</v>
      </c>
      <c r="Q21" s="4" t="e">
        <f>#REF!</f>
        <v>#REF!</v>
      </c>
      <c r="R21" s="4" t="e">
        <f>#REF!</f>
        <v>#REF!</v>
      </c>
      <c r="S21" s="4" t="e">
        <f>#REF!</f>
        <v>#REF!</v>
      </c>
      <c r="T21" s="4" t="e">
        <f>#REF!</f>
        <v>#REF!</v>
      </c>
      <c r="U21" s="4" t="e">
        <f>#REF!</f>
        <v>#REF!</v>
      </c>
      <c r="V21" s="4" t="e">
        <f>#REF!</f>
        <v>#REF!</v>
      </c>
      <c r="W21" s="4" t="e">
        <f>#REF!</f>
        <v>#REF!</v>
      </c>
      <c r="X21" s="4" t="e">
        <f>#REF!</f>
        <v>#REF!</v>
      </c>
      <c r="Y21" s="4" t="e">
        <f>#REF!</f>
        <v>#REF!</v>
      </c>
      <c r="Z21" s="4" t="e">
        <f>#REF!</f>
        <v>#REF!</v>
      </c>
      <c r="AA21" s="4" t="e">
        <f>#REF!</f>
        <v>#REF!</v>
      </c>
      <c r="AB21" s="213" t="e">
        <f>#REF!</f>
        <v>#REF!</v>
      </c>
      <c r="AC21" s="3" t="e">
        <f>#REF!</f>
        <v>#REF!</v>
      </c>
      <c r="AD21" s="141"/>
      <c r="AE21" s="141"/>
      <c r="AF21" s="141"/>
      <c r="AG21" s="141"/>
      <c r="AH21" s="318"/>
      <c r="AI21" s="142"/>
      <c r="AJ21" s="318"/>
      <c r="AK21" s="318"/>
      <c r="AL21" s="318"/>
      <c r="AM21" s="318"/>
      <c r="AN21" s="318"/>
      <c r="AO21" s="318"/>
      <c r="AP21" s="318"/>
    </row>
    <row r="22" spans="1:48" s="157" customFormat="1" ht="34.950000000000003" customHeight="1">
      <c r="A22" s="3">
        <f t="shared" si="2"/>
        <v>4</v>
      </c>
      <c r="B22" s="3" t="e">
        <f>#REF!</f>
        <v>#REF!</v>
      </c>
      <c r="C22" s="213" t="e">
        <f>#REF!</f>
        <v>#REF!</v>
      </c>
      <c r="D22" s="4" t="e">
        <f>#REF!</f>
        <v>#REF!</v>
      </c>
      <c r="E22" s="4" t="e">
        <f>#REF!</f>
        <v>#REF!</v>
      </c>
      <c r="F22" s="4" t="e">
        <f>#REF!</f>
        <v>#REF!</v>
      </c>
      <c r="G22" s="4" t="e">
        <f>#REF!</f>
        <v>#REF!</v>
      </c>
      <c r="H22" s="4" t="e">
        <f>#REF!</f>
        <v>#REF!</v>
      </c>
      <c r="I22" s="4" t="e">
        <f>#REF!</f>
        <v>#REF!</v>
      </c>
      <c r="J22" s="4" t="e">
        <f>#REF!</f>
        <v>#REF!</v>
      </c>
      <c r="K22" s="4" t="e">
        <f>#REF!</f>
        <v>#REF!</v>
      </c>
      <c r="L22" s="4" t="e">
        <f>#REF!</f>
        <v>#REF!</v>
      </c>
      <c r="M22" s="4" t="e">
        <f>#REF!</f>
        <v>#REF!</v>
      </c>
      <c r="N22" s="4" t="e">
        <f>#REF!</f>
        <v>#REF!</v>
      </c>
      <c r="O22" s="4" t="e">
        <f>#REF!</f>
        <v>#REF!</v>
      </c>
      <c r="P22" s="4" t="e">
        <f>#REF!</f>
        <v>#REF!</v>
      </c>
      <c r="Q22" s="4" t="e">
        <f>#REF!</f>
        <v>#REF!</v>
      </c>
      <c r="R22" s="4" t="e">
        <f>#REF!</f>
        <v>#REF!</v>
      </c>
      <c r="S22" s="4" t="e">
        <f>#REF!</f>
        <v>#REF!</v>
      </c>
      <c r="T22" s="4" t="e">
        <f>#REF!</f>
        <v>#REF!</v>
      </c>
      <c r="U22" s="4" t="e">
        <f>#REF!</f>
        <v>#REF!</v>
      </c>
      <c r="V22" s="4" t="e">
        <f>#REF!</f>
        <v>#REF!</v>
      </c>
      <c r="W22" s="4" t="e">
        <f>#REF!</f>
        <v>#REF!</v>
      </c>
      <c r="X22" s="4" t="e">
        <f>#REF!</f>
        <v>#REF!</v>
      </c>
      <c r="Y22" s="4" t="e">
        <f>#REF!</f>
        <v>#REF!</v>
      </c>
      <c r="Z22" s="4" t="e">
        <f>#REF!</f>
        <v>#REF!</v>
      </c>
      <c r="AA22" s="4" t="e">
        <f>#REF!</f>
        <v>#REF!</v>
      </c>
      <c r="AB22" s="213" t="e">
        <f>#REF!</f>
        <v>#REF!</v>
      </c>
      <c r="AC22" s="3" t="e">
        <f>#REF!</f>
        <v>#REF!</v>
      </c>
      <c r="AD22" s="141"/>
      <c r="AE22" s="141"/>
      <c r="AF22" s="141"/>
      <c r="AG22" s="141"/>
      <c r="AH22" s="318"/>
      <c r="AI22" s="142"/>
      <c r="AJ22" s="318"/>
      <c r="AK22" s="318"/>
      <c r="AL22" s="318"/>
      <c r="AM22" s="318"/>
      <c r="AN22" s="318"/>
      <c r="AO22" s="318"/>
      <c r="AP22" s="318"/>
    </row>
    <row r="23" spans="1:48" s="157" customFormat="1" ht="90.6" customHeight="1">
      <c r="A23" s="3">
        <f t="shared" si="2"/>
        <v>5</v>
      </c>
      <c r="B23" s="3" t="e">
        <f>#REF!</f>
        <v>#REF!</v>
      </c>
      <c r="C23" s="213" t="e">
        <f>#REF!</f>
        <v>#REF!</v>
      </c>
      <c r="D23" s="4" t="e">
        <f>#REF!</f>
        <v>#REF!</v>
      </c>
      <c r="E23" s="4" t="e">
        <f>#REF!</f>
        <v>#REF!</v>
      </c>
      <c r="F23" s="4" t="e">
        <f>#REF!</f>
        <v>#REF!</v>
      </c>
      <c r="G23" s="4" t="e">
        <f>#REF!</f>
        <v>#REF!</v>
      </c>
      <c r="H23" s="4" t="e">
        <f>#REF!</f>
        <v>#REF!</v>
      </c>
      <c r="I23" s="4" t="e">
        <f>#REF!</f>
        <v>#REF!</v>
      </c>
      <c r="J23" s="4" t="e">
        <f>#REF!</f>
        <v>#REF!</v>
      </c>
      <c r="K23" s="4" t="e">
        <f>#REF!</f>
        <v>#REF!</v>
      </c>
      <c r="L23" s="4" t="e">
        <f>#REF!</f>
        <v>#REF!</v>
      </c>
      <c r="M23" s="4" t="e">
        <f>#REF!</f>
        <v>#REF!</v>
      </c>
      <c r="N23" s="4" t="e">
        <f>#REF!</f>
        <v>#REF!</v>
      </c>
      <c r="O23" s="4" t="e">
        <f>#REF!</f>
        <v>#REF!</v>
      </c>
      <c r="P23" s="4" t="e">
        <f>#REF!</f>
        <v>#REF!</v>
      </c>
      <c r="Q23" s="4" t="e">
        <f>#REF!</f>
        <v>#REF!</v>
      </c>
      <c r="R23" s="4" t="e">
        <f>#REF!</f>
        <v>#REF!</v>
      </c>
      <c r="S23" s="4" t="e">
        <f>#REF!</f>
        <v>#REF!</v>
      </c>
      <c r="T23" s="4" t="e">
        <f>#REF!</f>
        <v>#REF!</v>
      </c>
      <c r="U23" s="4" t="e">
        <f>#REF!</f>
        <v>#REF!</v>
      </c>
      <c r="V23" s="4" t="e">
        <f>#REF!</f>
        <v>#REF!</v>
      </c>
      <c r="W23" s="4" t="e">
        <f>#REF!</f>
        <v>#REF!</v>
      </c>
      <c r="X23" s="4" t="e">
        <f>#REF!</f>
        <v>#REF!</v>
      </c>
      <c r="Y23" s="4" t="e">
        <f>#REF!</f>
        <v>#REF!</v>
      </c>
      <c r="Z23" s="4" t="e">
        <f>#REF!</f>
        <v>#REF!</v>
      </c>
      <c r="AA23" s="4" t="e">
        <f>#REF!</f>
        <v>#REF!</v>
      </c>
      <c r="AB23" s="213" t="e">
        <f>#REF!</f>
        <v>#REF!</v>
      </c>
      <c r="AC23" s="3" t="e">
        <f>#REF!</f>
        <v>#REF!</v>
      </c>
      <c r="AD23" s="141"/>
      <c r="AE23" s="141"/>
      <c r="AF23" s="141"/>
      <c r="AG23" s="141"/>
      <c r="AH23" s="318"/>
      <c r="AI23" s="142"/>
      <c r="AJ23" s="318"/>
      <c r="AK23" s="318"/>
      <c r="AL23" s="318"/>
      <c r="AM23" s="318"/>
      <c r="AN23" s="318"/>
      <c r="AO23" s="318"/>
      <c r="AP23" s="318"/>
    </row>
    <row r="24" spans="1:48" s="157" customFormat="1" ht="34.950000000000003" customHeight="1">
      <c r="A24" s="3">
        <f t="shared" si="2"/>
        <v>6</v>
      </c>
      <c r="B24" s="3" t="e">
        <f>#REF!</f>
        <v>#REF!</v>
      </c>
      <c r="C24" s="213" t="e">
        <f>#REF!</f>
        <v>#REF!</v>
      </c>
      <c r="D24" s="4" t="e">
        <f>#REF!</f>
        <v>#REF!</v>
      </c>
      <c r="E24" s="4" t="e">
        <f>#REF!</f>
        <v>#REF!</v>
      </c>
      <c r="F24" s="4" t="e">
        <f>#REF!</f>
        <v>#REF!</v>
      </c>
      <c r="G24" s="4" t="e">
        <f>#REF!</f>
        <v>#REF!</v>
      </c>
      <c r="H24" s="4" t="e">
        <f>#REF!</f>
        <v>#REF!</v>
      </c>
      <c r="I24" s="4" t="e">
        <f>#REF!</f>
        <v>#REF!</v>
      </c>
      <c r="J24" s="4" t="e">
        <f>#REF!</f>
        <v>#REF!</v>
      </c>
      <c r="K24" s="4" t="e">
        <f>#REF!</f>
        <v>#REF!</v>
      </c>
      <c r="L24" s="4" t="e">
        <f>#REF!</f>
        <v>#REF!</v>
      </c>
      <c r="M24" s="4" t="e">
        <f>#REF!</f>
        <v>#REF!</v>
      </c>
      <c r="N24" s="4" t="e">
        <f>#REF!</f>
        <v>#REF!</v>
      </c>
      <c r="O24" s="4" t="e">
        <f>#REF!</f>
        <v>#REF!</v>
      </c>
      <c r="P24" s="4" t="e">
        <f>#REF!</f>
        <v>#REF!</v>
      </c>
      <c r="Q24" s="4" t="e">
        <f>#REF!</f>
        <v>#REF!</v>
      </c>
      <c r="R24" s="4" t="e">
        <f>#REF!</f>
        <v>#REF!</v>
      </c>
      <c r="S24" s="4" t="e">
        <f>#REF!</f>
        <v>#REF!</v>
      </c>
      <c r="T24" s="4" t="e">
        <f>#REF!</f>
        <v>#REF!</v>
      </c>
      <c r="U24" s="4" t="e">
        <f>#REF!</f>
        <v>#REF!</v>
      </c>
      <c r="V24" s="4" t="e">
        <f>#REF!</f>
        <v>#REF!</v>
      </c>
      <c r="W24" s="4" t="e">
        <f>#REF!</f>
        <v>#REF!</v>
      </c>
      <c r="X24" s="4" t="e">
        <f>#REF!</f>
        <v>#REF!</v>
      </c>
      <c r="Y24" s="4" t="e">
        <f>#REF!</f>
        <v>#REF!</v>
      </c>
      <c r="Z24" s="4" t="e">
        <f>#REF!</f>
        <v>#REF!</v>
      </c>
      <c r="AA24" s="4" t="e">
        <f>#REF!</f>
        <v>#REF!</v>
      </c>
      <c r="AB24" s="213" t="e">
        <f>#REF!</f>
        <v>#REF!</v>
      </c>
      <c r="AC24" s="3" t="e">
        <f>#REF!</f>
        <v>#REF!</v>
      </c>
      <c r="AD24" s="141"/>
      <c r="AE24" s="141"/>
      <c r="AF24" s="141"/>
      <c r="AG24" s="141"/>
      <c r="AH24" s="318"/>
      <c r="AI24" s="142"/>
      <c r="AJ24" s="318"/>
      <c r="AK24" s="318"/>
      <c r="AL24" s="318"/>
      <c r="AM24" s="318"/>
      <c r="AN24" s="318"/>
      <c r="AO24" s="318"/>
      <c r="AP24" s="318"/>
    </row>
    <row r="25" spans="1:48" s="157" customFormat="1">
      <c r="A25" s="3">
        <f t="shared" si="2"/>
        <v>7</v>
      </c>
      <c r="B25" s="3" t="e">
        <f>#REF!</f>
        <v>#REF!</v>
      </c>
      <c r="C25" s="213" t="e">
        <f>#REF!</f>
        <v>#REF!</v>
      </c>
      <c r="D25" s="4" t="e">
        <f>#REF!</f>
        <v>#REF!</v>
      </c>
      <c r="E25" s="4" t="e">
        <f>#REF!</f>
        <v>#REF!</v>
      </c>
      <c r="F25" s="4" t="e">
        <f>#REF!</f>
        <v>#REF!</v>
      </c>
      <c r="G25" s="4" t="e">
        <f>#REF!</f>
        <v>#REF!</v>
      </c>
      <c r="H25" s="4" t="e">
        <f>#REF!</f>
        <v>#REF!</v>
      </c>
      <c r="I25" s="4" t="e">
        <f>#REF!</f>
        <v>#REF!</v>
      </c>
      <c r="J25" s="4" t="e">
        <f>#REF!</f>
        <v>#REF!</v>
      </c>
      <c r="K25" s="4" t="e">
        <f>#REF!</f>
        <v>#REF!</v>
      </c>
      <c r="L25" s="4" t="e">
        <f>#REF!</f>
        <v>#REF!</v>
      </c>
      <c r="M25" s="4" t="e">
        <f>#REF!</f>
        <v>#REF!</v>
      </c>
      <c r="N25" s="4" t="e">
        <f>#REF!</f>
        <v>#REF!</v>
      </c>
      <c r="O25" s="4" t="e">
        <f>#REF!</f>
        <v>#REF!</v>
      </c>
      <c r="P25" s="4" t="e">
        <f>#REF!</f>
        <v>#REF!</v>
      </c>
      <c r="Q25" s="4" t="e">
        <f>#REF!</f>
        <v>#REF!</v>
      </c>
      <c r="R25" s="4" t="e">
        <f>#REF!</f>
        <v>#REF!</v>
      </c>
      <c r="S25" s="4" t="e">
        <f>#REF!</f>
        <v>#REF!</v>
      </c>
      <c r="T25" s="4" t="e">
        <f>#REF!</f>
        <v>#REF!</v>
      </c>
      <c r="U25" s="4" t="e">
        <f>#REF!</f>
        <v>#REF!</v>
      </c>
      <c r="V25" s="4" t="e">
        <f>#REF!</f>
        <v>#REF!</v>
      </c>
      <c r="W25" s="4" t="e">
        <f>#REF!</f>
        <v>#REF!</v>
      </c>
      <c r="X25" s="4" t="e">
        <f>#REF!</f>
        <v>#REF!</v>
      </c>
      <c r="Y25" s="4" t="e">
        <f>#REF!</f>
        <v>#REF!</v>
      </c>
      <c r="Z25" s="4" t="e">
        <f>#REF!</f>
        <v>#REF!</v>
      </c>
      <c r="AA25" s="4" t="e">
        <f>#REF!</f>
        <v>#REF!</v>
      </c>
      <c r="AB25" s="213" t="e">
        <f>#REF!</f>
        <v>#REF!</v>
      </c>
      <c r="AC25" s="3" t="e">
        <f>#REF!</f>
        <v>#REF!</v>
      </c>
      <c r="AD25" s="141"/>
      <c r="AE25" s="141"/>
      <c r="AF25" s="141"/>
      <c r="AG25" s="141"/>
      <c r="AH25" s="318"/>
      <c r="AI25" s="142"/>
      <c r="AJ25" s="318"/>
      <c r="AK25" s="318"/>
      <c r="AL25" s="318"/>
      <c r="AM25" s="318"/>
      <c r="AN25" s="318"/>
      <c r="AO25" s="318"/>
      <c r="AP25" s="318"/>
    </row>
    <row r="26" spans="1:48" s="157" customFormat="1" ht="34.950000000000003" customHeight="1">
      <c r="A26" s="3">
        <f t="shared" si="2"/>
        <v>8</v>
      </c>
      <c r="B26" s="3" t="e">
        <f>#REF!</f>
        <v>#REF!</v>
      </c>
      <c r="C26" s="213" t="e">
        <f>#REF!</f>
        <v>#REF!</v>
      </c>
      <c r="D26" s="4" t="e">
        <f>#REF!</f>
        <v>#REF!</v>
      </c>
      <c r="E26" s="4" t="e">
        <f>#REF!</f>
        <v>#REF!</v>
      </c>
      <c r="F26" s="4" t="e">
        <f>#REF!</f>
        <v>#REF!</v>
      </c>
      <c r="G26" s="4" t="e">
        <f>#REF!</f>
        <v>#REF!</v>
      </c>
      <c r="H26" s="4" t="e">
        <f>#REF!</f>
        <v>#REF!</v>
      </c>
      <c r="I26" s="4" t="e">
        <f>#REF!</f>
        <v>#REF!</v>
      </c>
      <c r="J26" s="4" t="e">
        <f>#REF!</f>
        <v>#REF!</v>
      </c>
      <c r="K26" s="4" t="e">
        <f>#REF!</f>
        <v>#REF!</v>
      </c>
      <c r="L26" s="4" t="e">
        <f>#REF!</f>
        <v>#REF!</v>
      </c>
      <c r="M26" s="4" t="e">
        <f>#REF!</f>
        <v>#REF!</v>
      </c>
      <c r="N26" s="4" t="e">
        <f>#REF!</f>
        <v>#REF!</v>
      </c>
      <c r="O26" s="4" t="e">
        <f>#REF!</f>
        <v>#REF!</v>
      </c>
      <c r="P26" s="4" t="e">
        <f>#REF!</f>
        <v>#REF!</v>
      </c>
      <c r="Q26" s="4" t="e">
        <f>#REF!</f>
        <v>#REF!</v>
      </c>
      <c r="R26" s="4" t="e">
        <f>#REF!</f>
        <v>#REF!</v>
      </c>
      <c r="S26" s="4" t="e">
        <f>#REF!</f>
        <v>#REF!</v>
      </c>
      <c r="T26" s="4" t="e">
        <f>#REF!</f>
        <v>#REF!</v>
      </c>
      <c r="U26" s="4" t="e">
        <f>#REF!</f>
        <v>#REF!</v>
      </c>
      <c r="V26" s="4" t="e">
        <f>#REF!</f>
        <v>#REF!</v>
      </c>
      <c r="W26" s="4" t="e">
        <f>#REF!</f>
        <v>#REF!</v>
      </c>
      <c r="X26" s="4" t="e">
        <f>#REF!</f>
        <v>#REF!</v>
      </c>
      <c r="Y26" s="4" t="e">
        <f>#REF!</f>
        <v>#REF!</v>
      </c>
      <c r="Z26" s="4" t="e">
        <f>#REF!</f>
        <v>#REF!</v>
      </c>
      <c r="AA26" s="4" t="e">
        <f>#REF!</f>
        <v>#REF!</v>
      </c>
      <c r="AB26" s="213" t="e">
        <f>#REF!</f>
        <v>#REF!</v>
      </c>
      <c r="AC26" s="3" t="e">
        <f>#REF!</f>
        <v>#REF!</v>
      </c>
      <c r="AD26" s="141"/>
      <c r="AE26" s="141"/>
      <c r="AF26" s="141"/>
      <c r="AG26" s="141"/>
      <c r="AH26" s="318"/>
      <c r="AI26" s="142"/>
      <c r="AJ26" s="318"/>
      <c r="AK26" s="318"/>
      <c r="AL26" s="318"/>
      <c r="AM26" s="318"/>
      <c r="AN26" s="318"/>
      <c r="AO26" s="318"/>
      <c r="AP26" s="318"/>
    </row>
    <row r="27" spans="1:48" s="5" customFormat="1">
      <c r="A27" s="3">
        <f t="shared" si="2"/>
        <v>9</v>
      </c>
      <c r="B27" s="3" t="e">
        <f>#REF!</f>
        <v>#REF!</v>
      </c>
      <c r="C27" s="213" t="e">
        <f>#REF!</f>
        <v>#REF!</v>
      </c>
      <c r="D27" s="4" t="e">
        <f>#REF!</f>
        <v>#REF!</v>
      </c>
      <c r="E27" s="4" t="e">
        <f>#REF!</f>
        <v>#REF!</v>
      </c>
      <c r="F27" s="4" t="e">
        <f>#REF!</f>
        <v>#REF!</v>
      </c>
      <c r="G27" s="4" t="e">
        <f>#REF!</f>
        <v>#REF!</v>
      </c>
      <c r="H27" s="4" t="e">
        <f>#REF!</f>
        <v>#REF!</v>
      </c>
      <c r="I27" s="4" t="e">
        <f>#REF!</f>
        <v>#REF!</v>
      </c>
      <c r="J27" s="4" t="e">
        <f>#REF!</f>
        <v>#REF!</v>
      </c>
      <c r="K27" s="4" t="e">
        <f>#REF!</f>
        <v>#REF!</v>
      </c>
      <c r="L27" s="4" t="e">
        <f>#REF!</f>
        <v>#REF!</v>
      </c>
      <c r="M27" s="4" t="e">
        <f>#REF!</f>
        <v>#REF!</v>
      </c>
      <c r="N27" s="4" t="e">
        <f>#REF!</f>
        <v>#REF!</v>
      </c>
      <c r="O27" s="4" t="e">
        <f>#REF!</f>
        <v>#REF!</v>
      </c>
      <c r="P27" s="4" t="e">
        <f>#REF!</f>
        <v>#REF!</v>
      </c>
      <c r="Q27" s="4" t="e">
        <f>#REF!</f>
        <v>#REF!</v>
      </c>
      <c r="R27" s="4" t="e">
        <f>#REF!</f>
        <v>#REF!</v>
      </c>
      <c r="S27" s="4" t="e">
        <f>#REF!</f>
        <v>#REF!</v>
      </c>
      <c r="T27" s="4" t="e">
        <f>#REF!</f>
        <v>#REF!</v>
      </c>
      <c r="U27" s="4" t="e">
        <f>#REF!</f>
        <v>#REF!</v>
      </c>
      <c r="V27" s="4" t="e">
        <f>#REF!</f>
        <v>#REF!</v>
      </c>
      <c r="W27" s="4" t="e">
        <f>#REF!</f>
        <v>#REF!</v>
      </c>
      <c r="X27" s="4" t="e">
        <f>#REF!</f>
        <v>#REF!</v>
      </c>
      <c r="Y27" s="4" t="e">
        <f>#REF!</f>
        <v>#REF!</v>
      </c>
      <c r="Z27" s="4" t="e">
        <f>#REF!</f>
        <v>#REF!</v>
      </c>
      <c r="AA27" s="4" t="e">
        <f>#REF!</f>
        <v>#REF!</v>
      </c>
      <c r="AB27" s="213" t="e">
        <f>#REF!</f>
        <v>#REF!</v>
      </c>
      <c r="AC27" s="3" t="e">
        <f>#REF!</f>
        <v>#REF!</v>
      </c>
      <c r="AD27" s="141"/>
      <c r="AE27" s="141"/>
      <c r="AF27" s="141"/>
      <c r="AG27" s="141"/>
      <c r="AH27" s="272"/>
      <c r="AI27" s="14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</row>
    <row r="28" spans="1:48" s="48" customFormat="1" ht="25.2" customHeight="1">
      <c r="A28" s="20">
        <f>A27</f>
        <v>9</v>
      </c>
      <c r="B28" s="20"/>
      <c r="C28" s="20" t="s">
        <v>757</v>
      </c>
      <c r="D28" s="50" t="e">
        <f>SUM(D19:D27)</f>
        <v>#REF!</v>
      </c>
      <c r="E28" s="50" t="e">
        <f t="shared" ref="E28:AA28" si="3">SUM(E19:E27)</f>
        <v>#REF!</v>
      </c>
      <c r="F28" s="50" t="e">
        <f t="shared" si="3"/>
        <v>#REF!</v>
      </c>
      <c r="G28" s="50" t="e">
        <f t="shared" si="3"/>
        <v>#REF!</v>
      </c>
      <c r="H28" s="50" t="e">
        <f t="shared" si="3"/>
        <v>#REF!</v>
      </c>
      <c r="I28" s="50" t="e">
        <f t="shared" si="3"/>
        <v>#REF!</v>
      </c>
      <c r="J28" s="50" t="e">
        <f t="shared" si="3"/>
        <v>#REF!</v>
      </c>
      <c r="K28" s="50" t="e">
        <f t="shared" si="3"/>
        <v>#REF!</v>
      </c>
      <c r="L28" s="50" t="e">
        <f t="shared" si="3"/>
        <v>#REF!</v>
      </c>
      <c r="M28" s="50" t="e">
        <f t="shared" si="3"/>
        <v>#REF!</v>
      </c>
      <c r="N28" s="50" t="e">
        <f t="shared" si="3"/>
        <v>#REF!</v>
      </c>
      <c r="O28" s="50" t="e">
        <f t="shared" si="3"/>
        <v>#REF!</v>
      </c>
      <c r="P28" s="50" t="e">
        <f t="shared" si="3"/>
        <v>#REF!</v>
      </c>
      <c r="Q28" s="50" t="e">
        <f t="shared" si="3"/>
        <v>#REF!</v>
      </c>
      <c r="R28" s="50" t="e">
        <f t="shared" si="3"/>
        <v>#REF!</v>
      </c>
      <c r="S28" s="50" t="e">
        <f t="shared" si="3"/>
        <v>#REF!</v>
      </c>
      <c r="T28" s="50" t="e">
        <f t="shared" si="3"/>
        <v>#REF!</v>
      </c>
      <c r="U28" s="50" t="e">
        <f t="shared" si="3"/>
        <v>#REF!</v>
      </c>
      <c r="V28" s="50" t="e">
        <f t="shared" si="3"/>
        <v>#REF!</v>
      </c>
      <c r="W28" s="50" t="e">
        <f t="shared" si="3"/>
        <v>#REF!</v>
      </c>
      <c r="X28" s="50" t="e">
        <f t="shared" si="3"/>
        <v>#REF!</v>
      </c>
      <c r="Y28" s="50" t="e">
        <f t="shared" si="3"/>
        <v>#REF!</v>
      </c>
      <c r="Z28" s="50" t="e">
        <f t="shared" si="3"/>
        <v>#REF!</v>
      </c>
      <c r="AA28" s="50" t="e">
        <f t="shared" si="3"/>
        <v>#REF!</v>
      </c>
      <c r="AB28" s="20"/>
      <c r="AC28" s="20"/>
      <c r="AD28" s="141"/>
      <c r="AE28" s="141"/>
      <c r="AF28" s="141"/>
      <c r="AG28" s="141"/>
      <c r="AH28" s="50"/>
      <c r="AI28" s="142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59"/>
    </row>
    <row r="29" spans="1:48" ht="25.2" customHeight="1">
      <c r="A29" s="140"/>
      <c r="B29" s="140"/>
      <c r="C29" s="140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140"/>
      <c r="V29" s="140"/>
      <c r="W29" s="140"/>
      <c r="X29" s="140"/>
      <c r="Y29" s="140"/>
      <c r="Z29" s="140"/>
      <c r="AA29" s="140"/>
      <c r="AB29" s="226"/>
      <c r="AC29" s="140"/>
    </row>
    <row r="30" spans="1:48" s="48" customFormat="1" ht="25.2" customHeight="1">
      <c r="A30" s="50">
        <f>A28+A15</f>
        <v>19</v>
      </c>
      <c r="B30" s="20"/>
      <c r="C30" s="20" t="s">
        <v>299</v>
      </c>
      <c r="D30" s="50" t="e">
        <f t="shared" ref="D30:AA30" si="4">D28+D15</f>
        <v>#REF!</v>
      </c>
      <c r="E30" s="50" t="e">
        <f t="shared" si="4"/>
        <v>#REF!</v>
      </c>
      <c r="F30" s="50" t="e">
        <f t="shared" si="4"/>
        <v>#REF!</v>
      </c>
      <c r="G30" s="50" t="e">
        <f t="shared" si="4"/>
        <v>#REF!</v>
      </c>
      <c r="H30" s="50" t="e">
        <f t="shared" si="4"/>
        <v>#REF!</v>
      </c>
      <c r="I30" s="50" t="e">
        <f t="shared" si="4"/>
        <v>#REF!</v>
      </c>
      <c r="J30" s="50" t="e">
        <f t="shared" si="4"/>
        <v>#REF!</v>
      </c>
      <c r="K30" s="50" t="e">
        <f t="shared" si="4"/>
        <v>#REF!</v>
      </c>
      <c r="L30" s="50" t="e">
        <f t="shared" si="4"/>
        <v>#REF!</v>
      </c>
      <c r="M30" s="50" t="e">
        <f t="shared" si="4"/>
        <v>#REF!</v>
      </c>
      <c r="N30" s="50" t="e">
        <f t="shared" si="4"/>
        <v>#REF!</v>
      </c>
      <c r="O30" s="50" t="e">
        <f t="shared" si="4"/>
        <v>#REF!</v>
      </c>
      <c r="P30" s="50" t="e">
        <f t="shared" si="4"/>
        <v>#REF!</v>
      </c>
      <c r="Q30" s="50" t="e">
        <f t="shared" si="4"/>
        <v>#REF!</v>
      </c>
      <c r="R30" s="50" t="e">
        <f t="shared" si="4"/>
        <v>#REF!</v>
      </c>
      <c r="S30" s="50" t="e">
        <f t="shared" si="4"/>
        <v>#REF!</v>
      </c>
      <c r="T30" s="50" t="e">
        <f t="shared" si="4"/>
        <v>#REF!</v>
      </c>
      <c r="U30" s="50" t="e">
        <f t="shared" si="4"/>
        <v>#REF!</v>
      </c>
      <c r="V30" s="50" t="e">
        <f t="shared" si="4"/>
        <v>#REF!</v>
      </c>
      <c r="W30" s="50" t="e">
        <f t="shared" si="4"/>
        <v>#REF!</v>
      </c>
      <c r="X30" s="50" t="e">
        <f t="shared" si="4"/>
        <v>#REF!</v>
      </c>
      <c r="Y30" s="50" t="e">
        <f t="shared" si="4"/>
        <v>#REF!</v>
      </c>
      <c r="Z30" s="50" t="e">
        <f t="shared" si="4"/>
        <v>#REF!</v>
      </c>
      <c r="AA30" s="50" t="e">
        <f t="shared" si="4"/>
        <v>#REF!</v>
      </c>
      <c r="AB30" s="20"/>
      <c r="AC30" s="20"/>
      <c r="AD30" s="141"/>
      <c r="AE30" s="141"/>
      <c r="AF30" s="141"/>
      <c r="AG30" s="141"/>
      <c r="AH30" s="359"/>
      <c r="AI30" s="142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</row>
  </sheetData>
  <sheetProtection formatCells="0" formatColumns="0" formatRows="0" insertColumns="0" insertRows="0" insertHyperlinks="0" deleteColumns="0" deleteRows="0" sort="0" autoFilter="0" pivotTables="0"/>
  <mergeCells count="1">
    <mergeCell ref="A1:W1"/>
  </mergeCells>
  <conditionalFormatting sqref="AB4">
    <cfRule type="cellIs" dxfId="92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orientation="landscape" r:id="rId1"/>
  <headerFooter>
    <oddHeader>&amp;C&amp;"David,מודגש"&amp;14&amp;Uהצעת התקציב הבלתי רגיל 
לשנת 2023</oddHeader>
    <oddFooter>&amp;L&amp;D&amp;Cעמוד &amp;P מתוך &amp;N&amp;R&amp;A</oddFooter>
  </headerFooter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55"/>
  <sheetViews>
    <sheetView showZeros="0" rightToLeft="1" zoomScaleNormal="100" workbookViewId="0">
      <pane xSplit="3" ySplit="4" topLeftCell="D14" activePane="bottomRight" state="frozen"/>
      <selection activeCell="S45" sqref="S45"/>
      <selection pane="topRight" activeCell="S45" sqref="S45"/>
      <selection pane="bottomLeft" activeCell="S45" sqref="S45"/>
      <selection pane="bottomRight" activeCell="AA20" sqref="AA20"/>
    </sheetView>
  </sheetViews>
  <sheetFormatPr defaultColWidth="9.109375" defaultRowHeight="13.8"/>
  <cols>
    <col min="1" max="1" width="3.6640625" style="464" customWidth="1"/>
    <col min="2" max="2" width="5.6640625" style="465" customWidth="1"/>
    <col min="3" max="3" width="24.88671875" style="465" customWidth="1"/>
    <col min="4" max="4" width="10.44140625" style="467" customWidth="1"/>
    <col min="5" max="11" width="9.88671875" style="467" hidden="1" customWidth="1"/>
    <col min="12" max="12" width="10" style="467" customWidth="1"/>
    <col min="13" max="13" width="8.6640625" style="467" customWidth="1"/>
    <col min="14" max="14" width="8.88671875" style="467" customWidth="1"/>
    <col min="15" max="15" width="9.88671875" style="467" customWidth="1"/>
    <col min="16" max="16" width="10.109375" style="467" hidden="1" customWidth="1"/>
    <col min="17" max="18" width="13.5546875" style="467" hidden="1" customWidth="1"/>
    <col min="19" max="19" width="8.44140625" style="467" hidden="1" customWidth="1"/>
    <col min="20" max="20" width="8.109375" style="467" customWidth="1"/>
    <col min="21" max="21" width="9.44140625" style="465" customWidth="1"/>
    <col min="22" max="22" width="9.6640625" style="465" customWidth="1"/>
    <col min="23" max="23" width="9.109375" style="465" customWidth="1"/>
    <col min="24" max="24" width="6.44140625" style="465" hidden="1" customWidth="1"/>
    <col min="25" max="25" width="7.44140625" style="465" hidden="1" customWidth="1"/>
    <col min="26" max="26" width="7.88671875" style="465" hidden="1" customWidth="1"/>
    <col min="27" max="27" width="9.6640625" style="465" customWidth="1"/>
    <col min="28" max="28" width="36.109375" style="468" customWidth="1"/>
    <col min="29" max="29" width="7" style="465" customWidth="1"/>
    <col min="30" max="30" width="29.6640625" style="465" customWidth="1"/>
    <col min="31" max="32" width="10.6640625" style="465" customWidth="1"/>
    <col min="33" max="33" width="29.6640625" style="465" customWidth="1"/>
    <col min="34" max="34" width="15.109375" style="465" customWidth="1"/>
    <col min="35" max="35" width="20.5546875" style="465" customWidth="1"/>
    <col min="36" max="36" width="21.33203125" style="465" customWidth="1"/>
    <col min="37" max="38" width="9.6640625" style="465" customWidth="1"/>
    <col min="39" max="39" width="18.88671875" style="465" customWidth="1"/>
    <col min="40" max="46" width="10.6640625" style="465" customWidth="1"/>
    <col min="47" max="16384" width="9.109375" style="465"/>
  </cols>
  <sheetData>
    <row r="1" spans="1:46" s="542" customFormat="1" ht="18">
      <c r="A1" s="897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541"/>
      <c r="Y1" s="541"/>
      <c r="Z1" s="541"/>
      <c r="AB1" s="543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</row>
    <row r="2" spans="1:46" ht="18">
      <c r="A2" s="544" t="s">
        <v>202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46">
      <c r="V3" s="895" t="s">
        <v>79</v>
      </c>
      <c r="W3" s="895"/>
      <c r="X3" s="895"/>
      <c r="Y3" s="895"/>
      <c r="Z3" s="895"/>
      <c r="AA3" s="895"/>
    </row>
    <row r="4" spans="1:46" s="547" customFormat="1" ht="69">
      <c r="A4" s="545" t="s">
        <v>0</v>
      </c>
      <c r="B4" s="545" t="s">
        <v>1</v>
      </c>
      <c r="C4" s="545" t="s">
        <v>2</v>
      </c>
      <c r="D4" s="545" t="s">
        <v>3</v>
      </c>
      <c r="E4" s="545" t="s">
        <v>4</v>
      </c>
      <c r="F4" s="545" t="s">
        <v>5</v>
      </c>
      <c r="G4" s="545" t="s">
        <v>6</v>
      </c>
      <c r="H4" s="545" t="s">
        <v>7</v>
      </c>
      <c r="I4" s="545" t="s">
        <v>9</v>
      </c>
      <c r="J4" s="545" t="s">
        <v>125</v>
      </c>
      <c r="K4" s="545" t="s">
        <v>10</v>
      </c>
      <c r="L4" s="545" t="s">
        <v>11</v>
      </c>
      <c r="M4" s="545" t="s">
        <v>917</v>
      </c>
      <c r="N4" s="545" t="s">
        <v>918</v>
      </c>
      <c r="O4" s="421" t="s">
        <v>919</v>
      </c>
      <c r="P4" s="421" t="s">
        <v>12</v>
      </c>
      <c r="Q4" s="545" t="s">
        <v>920</v>
      </c>
      <c r="R4" s="545" t="s">
        <v>921</v>
      </c>
      <c r="S4" s="421" t="s">
        <v>922</v>
      </c>
      <c r="T4" s="421" t="s">
        <v>923</v>
      </c>
      <c r="U4" s="421" t="s">
        <v>924</v>
      </c>
      <c r="V4" s="545" t="s">
        <v>13</v>
      </c>
      <c r="W4" s="545" t="s">
        <v>14</v>
      </c>
      <c r="X4" s="545" t="s">
        <v>15</v>
      </c>
      <c r="Y4" s="545" t="s">
        <v>214</v>
      </c>
      <c r="Z4" s="545" t="s">
        <v>502</v>
      </c>
      <c r="AA4" s="545" t="s">
        <v>75</v>
      </c>
      <c r="AB4" s="546" t="s">
        <v>242</v>
      </c>
      <c r="AC4" s="545" t="s">
        <v>16</v>
      </c>
      <c r="AD4" s="465"/>
      <c r="AE4" s="465"/>
      <c r="AF4" s="465"/>
      <c r="AG4" s="465"/>
      <c r="AH4" s="465"/>
      <c r="AI4" s="465"/>
      <c r="AJ4" s="465"/>
      <c r="AK4" s="465"/>
      <c r="AL4" s="465"/>
      <c r="AM4" s="465"/>
      <c r="AN4" s="465"/>
      <c r="AO4" s="465"/>
      <c r="AP4" s="465"/>
      <c r="AQ4" s="465"/>
      <c r="AR4" s="465"/>
      <c r="AS4" s="465"/>
      <c r="AT4" s="465"/>
    </row>
    <row r="5" spans="1:46" s="547" customFormat="1">
      <c r="A5" s="545"/>
      <c r="B5" s="545"/>
      <c r="C5" s="513">
        <v>73</v>
      </c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421"/>
      <c r="P5" s="421"/>
      <c r="Q5" s="545"/>
      <c r="R5" s="545"/>
      <c r="S5" s="421"/>
      <c r="T5" s="421"/>
      <c r="U5" s="421"/>
      <c r="V5" s="545"/>
      <c r="W5" s="545"/>
      <c r="X5" s="545"/>
      <c r="Y5" s="545"/>
      <c r="Z5" s="545"/>
      <c r="AA5" s="545"/>
      <c r="AB5" s="546"/>
      <c r="AC5" s="545"/>
      <c r="AD5" s="465"/>
      <c r="AE5" s="465"/>
      <c r="AF5" s="465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</row>
    <row r="6" spans="1:46" s="452" customFormat="1" ht="63" customHeight="1">
      <c r="A6" s="469">
        <v>1</v>
      </c>
      <c r="B6" s="469">
        <v>1422</v>
      </c>
      <c r="C6" s="135" t="s">
        <v>51</v>
      </c>
      <c r="D6" s="120">
        <f>30257000-21334280</f>
        <v>8922720</v>
      </c>
      <c r="E6" s="120">
        <v>30257000</v>
      </c>
      <c r="F6" s="120">
        <f>D6-E6</f>
        <v>-21334280</v>
      </c>
      <c r="G6" s="120">
        <v>14182000</v>
      </c>
      <c r="H6" s="120">
        <v>7259720</v>
      </c>
      <c r="I6" s="120"/>
      <c r="J6" s="120"/>
      <c r="K6" s="120">
        <f>I6+J6</f>
        <v>0</v>
      </c>
      <c r="L6" s="120">
        <f>H6+K6</f>
        <v>7259720</v>
      </c>
      <c r="M6" s="120">
        <f>P6+S6-5259280</f>
        <v>1663000</v>
      </c>
      <c r="N6" s="120"/>
      <c r="O6" s="120">
        <f>D6-L6-M6-N6</f>
        <v>0</v>
      </c>
      <c r="P6" s="120">
        <f>G6-L6</f>
        <v>6922280</v>
      </c>
      <c r="Q6" s="120"/>
      <c r="R6" s="120"/>
      <c r="S6" s="120">
        <f>SUM(Q6:R6)</f>
        <v>0</v>
      </c>
      <c r="T6" s="120">
        <f>P6-M6+S6</f>
        <v>5259280</v>
      </c>
      <c r="U6" s="120">
        <f>N6-T6</f>
        <v>-5259280</v>
      </c>
      <c r="V6" s="120">
        <f>U6-W6-Z6-AA6</f>
        <v>0</v>
      </c>
      <c r="W6" s="120">
        <v>-5259280</v>
      </c>
      <c r="X6" s="120"/>
      <c r="Y6" s="120"/>
      <c r="Z6" s="120"/>
      <c r="AA6" s="120"/>
      <c r="AB6" s="469" t="s">
        <v>306</v>
      </c>
      <c r="AC6" s="469">
        <v>730000</v>
      </c>
      <c r="AD6" s="465"/>
      <c r="AE6" s="465"/>
      <c r="AF6" s="465"/>
      <c r="AG6" s="465"/>
      <c r="AH6" s="465"/>
      <c r="AI6" s="465"/>
      <c r="AJ6" s="465"/>
      <c r="AK6" s="465"/>
      <c r="AL6" s="465"/>
      <c r="AM6" s="465"/>
      <c r="AN6" s="465"/>
      <c r="AO6" s="465"/>
      <c r="AP6" s="465"/>
      <c r="AQ6" s="465"/>
      <c r="AR6" s="465"/>
      <c r="AS6" s="465"/>
      <c r="AT6" s="465"/>
    </row>
    <row r="7" spans="1:46" s="473" customFormat="1" ht="24" customHeight="1">
      <c r="A7" s="808"/>
      <c r="B7" s="808"/>
      <c r="C7" s="219" t="s">
        <v>1557</v>
      </c>
      <c r="D7" s="249">
        <f>SUM(D6)</f>
        <v>8922720</v>
      </c>
      <c r="E7" s="249">
        <f t="shared" ref="E7:W7" si="0">SUM(E6)</f>
        <v>30257000</v>
      </c>
      <c r="F7" s="249">
        <f t="shared" si="0"/>
        <v>-21334280</v>
      </c>
      <c r="G7" s="249">
        <f t="shared" si="0"/>
        <v>14182000</v>
      </c>
      <c r="H7" s="249">
        <f t="shared" si="0"/>
        <v>7259720</v>
      </c>
      <c r="I7" s="249">
        <f t="shared" si="0"/>
        <v>0</v>
      </c>
      <c r="J7" s="249">
        <f t="shared" si="0"/>
        <v>0</v>
      </c>
      <c r="K7" s="249">
        <f t="shared" si="0"/>
        <v>0</v>
      </c>
      <c r="L7" s="249">
        <f t="shared" si="0"/>
        <v>7259720</v>
      </c>
      <c r="M7" s="249">
        <f t="shared" si="0"/>
        <v>1663000</v>
      </c>
      <c r="N7" s="249">
        <f t="shared" si="0"/>
        <v>0</v>
      </c>
      <c r="O7" s="249">
        <f t="shared" si="0"/>
        <v>0</v>
      </c>
      <c r="P7" s="249">
        <f t="shared" si="0"/>
        <v>6922280</v>
      </c>
      <c r="Q7" s="249">
        <f t="shared" si="0"/>
        <v>0</v>
      </c>
      <c r="R7" s="249">
        <f t="shared" si="0"/>
        <v>0</v>
      </c>
      <c r="S7" s="249">
        <f t="shared" si="0"/>
        <v>0</v>
      </c>
      <c r="T7" s="249">
        <f t="shared" si="0"/>
        <v>5259280</v>
      </c>
      <c r="U7" s="249">
        <f t="shared" si="0"/>
        <v>-5259280</v>
      </c>
      <c r="V7" s="249">
        <f t="shared" si="0"/>
        <v>0</v>
      </c>
      <c r="W7" s="249">
        <f t="shared" si="0"/>
        <v>-5259280</v>
      </c>
      <c r="X7" s="249"/>
      <c r="Y7" s="249"/>
      <c r="Z7" s="249"/>
      <c r="AA7" s="249"/>
      <c r="AB7" s="808"/>
      <c r="AC7" s="808"/>
      <c r="AD7" s="472"/>
      <c r="AE7" s="472"/>
      <c r="AF7" s="472"/>
      <c r="AG7" s="472"/>
      <c r="AH7" s="472"/>
      <c r="AI7" s="472"/>
      <c r="AJ7" s="472"/>
      <c r="AK7" s="472"/>
      <c r="AL7" s="472"/>
      <c r="AM7" s="472"/>
      <c r="AN7" s="472"/>
      <c r="AO7" s="472"/>
      <c r="AP7" s="472"/>
      <c r="AQ7" s="472"/>
      <c r="AR7" s="472"/>
      <c r="AS7" s="472"/>
      <c r="AT7" s="472"/>
    </row>
    <row r="8" spans="1:46" s="473" customFormat="1" ht="22.95" customHeight="1">
      <c r="A8" s="808"/>
      <c r="B8" s="808"/>
      <c r="C8" s="219">
        <v>74</v>
      </c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808"/>
      <c r="AC8" s="808"/>
      <c r="AD8" s="472"/>
      <c r="AE8" s="472"/>
      <c r="AF8" s="472"/>
      <c r="AG8" s="472"/>
      <c r="AH8" s="472"/>
      <c r="AI8" s="472"/>
      <c r="AJ8" s="472"/>
      <c r="AK8" s="472"/>
      <c r="AL8" s="472"/>
      <c r="AM8" s="472"/>
      <c r="AN8" s="472"/>
      <c r="AO8" s="472"/>
      <c r="AP8" s="472"/>
      <c r="AQ8" s="472"/>
      <c r="AR8" s="472"/>
      <c r="AS8" s="472"/>
      <c r="AT8" s="472"/>
    </row>
    <row r="9" spans="1:46" s="452" customFormat="1" ht="27.6">
      <c r="A9" s="469">
        <f>A6+1</f>
        <v>2</v>
      </c>
      <c r="B9" s="448">
        <v>1032</v>
      </c>
      <c r="C9" s="135" t="s">
        <v>116</v>
      </c>
      <c r="D9" s="120">
        <f>40500000+7262968+700000</f>
        <v>48462968</v>
      </c>
      <c r="E9" s="120">
        <v>40500000</v>
      </c>
      <c r="F9" s="120">
        <f>D9-E9</f>
        <v>7962968</v>
      </c>
      <c r="G9" s="120">
        <v>40262968</v>
      </c>
      <c r="H9" s="120">
        <v>38186355</v>
      </c>
      <c r="I9" s="120">
        <v>140400</v>
      </c>
      <c r="J9" s="120">
        <f>1431082-1760-30420-409-140186-9813-20000</f>
        <v>1228494</v>
      </c>
      <c r="K9" s="120">
        <f>I9+J9</f>
        <v>1368894</v>
      </c>
      <c r="L9" s="120">
        <f>H9+K9</f>
        <v>39555249</v>
      </c>
      <c r="M9" s="120">
        <f>P9+S9-630000-50000-25000</f>
        <v>2719</v>
      </c>
      <c r="N9" s="120">
        <f>7500000+630000+50000+700000-3200000-1680000</f>
        <v>4000000</v>
      </c>
      <c r="O9" s="120">
        <f>D9-L9-M9-N9</f>
        <v>4905000</v>
      </c>
      <c r="P9" s="120">
        <f>G9-L9</f>
        <v>707719</v>
      </c>
      <c r="Q9" s="120"/>
      <c r="R9" s="120"/>
      <c r="S9" s="120">
        <f>SUM(Q9:R9)</f>
        <v>0</v>
      </c>
      <c r="T9" s="120">
        <f>P9-M9+S9</f>
        <v>705000</v>
      </c>
      <c r="U9" s="120">
        <f>N9-T9</f>
        <v>3295000</v>
      </c>
      <c r="V9" s="120">
        <f>U9-W9-Z9-AA9</f>
        <v>2295000</v>
      </c>
      <c r="W9" s="120">
        <v>1000000</v>
      </c>
      <c r="X9" s="120"/>
      <c r="Y9" s="120"/>
      <c r="Z9" s="120"/>
      <c r="AA9" s="120"/>
      <c r="AB9" s="469" t="s">
        <v>647</v>
      </c>
      <c r="AC9" s="448">
        <v>742000</v>
      </c>
      <c r="AD9" s="465"/>
      <c r="AE9" s="465"/>
      <c r="AF9" s="465"/>
      <c r="AG9" s="465"/>
      <c r="AH9" s="465"/>
      <c r="AI9" s="465"/>
      <c r="AJ9" s="465"/>
      <c r="AK9" s="465"/>
      <c r="AL9" s="465"/>
      <c r="AM9" s="465"/>
      <c r="AN9" s="465"/>
      <c r="AO9" s="465"/>
      <c r="AP9" s="465"/>
      <c r="AQ9" s="465"/>
      <c r="AR9" s="465"/>
      <c r="AS9" s="465"/>
      <c r="AT9" s="465"/>
    </row>
    <row r="10" spans="1:46" s="548" customFormat="1" ht="51" customHeight="1">
      <c r="A10" s="469">
        <f t="shared" ref="A10:A24" si="1">A9+1</f>
        <v>3</v>
      </c>
      <c r="B10" s="469">
        <v>1130</v>
      </c>
      <c r="C10" s="135" t="s">
        <v>31</v>
      </c>
      <c r="D10" s="120">
        <f>16000000+681894</f>
        <v>16681894</v>
      </c>
      <c r="E10" s="120">
        <v>16000000</v>
      </c>
      <c r="F10" s="120">
        <f>D10-E10</f>
        <v>681894</v>
      </c>
      <c r="G10" s="120">
        <v>15631894</v>
      </c>
      <c r="H10" s="120">
        <v>15345084</v>
      </c>
      <c r="I10" s="120">
        <v>0</v>
      </c>
      <c r="J10" s="120">
        <f>1455+815+57954+1120</f>
        <v>61344</v>
      </c>
      <c r="K10" s="120">
        <f>I10+J10</f>
        <v>61344</v>
      </c>
      <c r="L10" s="120">
        <f>H10+K10</f>
        <v>15406428</v>
      </c>
      <c r="M10" s="120">
        <f>P10+S10-120000-150000-5000</f>
        <v>466</v>
      </c>
      <c r="N10" s="120">
        <f>1000000+120000-500000-500000+150000+5000</f>
        <v>275000</v>
      </c>
      <c r="O10" s="120">
        <f>D10-L10-M10-N10</f>
        <v>1000000</v>
      </c>
      <c r="P10" s="120">
        <f>G10-L10</f>
        <v>225466</v>
      </c>
      <c r="Q10" s="120">
        <v>50000</v>
      </c>
      <c r="R10" s="120"/>
      <c r="S10" s="120">
        <f>SUM(Q10:R10)</f>
        <v>50000</v>
      </c>
      <c r="T10" s="120">
        <f>P10-M10+S10</f>
        <v>275000</v>
      </c>
      <c r="U10" s="120">
        <f>N10-T10</f>
        <v>0</v>
      </c>
      <c r="V10" s="120">
        <f>U10-W10-Z10-AA10</f>
        <v>0</v>
      </c>
      <c r="W10" s="120"/>
      <c r="X10" s="120"/>
      <c r="Y10" s="120"/>
      <c r="Z10" s="120"/>
      <c r="AA10" s="120"/>
      <c r="AB10" s="469" t="s">
        <v>904</v>
      </c>
      <c r="AC10" s="469">
        <v>742000</v>
      </c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/>
      <c r="AP10" s="465"/>
      <c r="AQ10" s="465"/>
      <c r="AR10" s="465"/>
      <c r="AS10" s="465"/>
      <c r="AT10" s="465"/>
    </row>
    <row r="11" spans="1:46" s="548" customFormat="1" ht="55.2">
      <c r="A11" s="469">
        <f t="shared" si="1"/>
        <v>4</v>
      </c>
      <c r="B11" s="469">
        <v>2100</v>
      </c>
      <c r="C11" s="135" t="s">
        <v>305</v>
      </c>
      <c r="D11" s="120">
        <f>3161603-2635-34344</f>
        <v>3124624</v>
      </c>
      <c r="E11" s="120">
        <v>3161603</v>
      </c>
      <c r="F11" s="120">
        <f>D11-E11</f>
        <v>-36979</v>
      </c>
      <c r="G11" s="120">
        <v>3158968</v>
      </c>
      <c r="H11" s="120">
        <v>3124624</v>
      </c>
      <c r="I11" s="120">
        <v>0</v>
      </c>
      <c r="J11" s="120"/>
      <c r="K11" s="120">
        <f>I11+J11</f>
        <v>0</v>
      </c>
      <c r="L11" s="120">
        <f>H11+K11</f>
        <v>3124624</v>
      </c>
      <c r="M11" s="120">
        <f>P11+S11-34344</f>
        <v>0</v>
      </c>
      <c r="N11" s="120"/>
      <c r="O11" s="120">
        <f>D11-L11-M11-N11</f>
        <v>0</v>
      </c>
      <c r="P11" s="120">
        <f>G11-L11</f>
        <v>34344</v>
      </c>
      <c r="Q11" s="120"/>
      <c r="R11" s="120"/>
      <c r="S11" s="120">
        <f>SUM(Q11:R11)</f>
        <v>0</v>
      </c>
      <c r="T11" s="120">
        <f>P11-M11+S11</f>
        <v>34344</v>
      </c>
      <c r="U11" s="120">
        <f>N11-T11</f>
        <v>-34344</v>
      </c>
      <c r="V11" s="120">
        <f>U11-W11-Z11-AA11</f>
        <v>-16317</v>
      </c>
      <c r="W11" s="120">
        <v>-18027</v>
      </c>
      <c r="X11" s="120"/>
      <c r="Y11" s="120"/>
      <c r="Z11" s="120"/>
      <c r="AA11" s="120"/>
      <c r="AB11" s="469" t="s">
        <v>1364</v>
      </c>
      <c r="AC11" s="469">
        <v>742000</v>
      </c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</row>
    <row r="12" spans="1:46" s="548" customFormat="1" ht="41.4">
      <c r="A12" s="469">
        <f t="shared" si="1"/>
        <v>5</v>
      </c>
      <c r="B12" s="455">
        <v>2222</v>
      </c>
      <c r="C12" s="135" t="s">
        <v>960</v>
      </c>
      <c r="D12" s="120">
        <v>8000000</v>
      </c>
      <c r="E12" s="120">
        <v>8000000</v>
      </c>
      <c r="F12" s="120">
        <f>D12-E12</f>
        <v>0</v>
      </c>
      <c r="G12" s="120">
        <v>8000000</v>
      </c>
      <c r="H12" s="120">
        <v>6507689</v>
      </c>
      <c r="I12" s="120">
        <v>0</v>
      </c>
      <c r="J12" s="120">
        <v>63265</v>
      </c>
      <c r="K12" s="120">
        <f>I12+J12</f>
        <v>63265</v>
      </c>
      <c r="L12" s="120">
        <f>H12+K12</f>
        <v>6570954</v>
      </c>
      <c r="M12" s="120">
        <f>P12+S12-1400000+1378</f>
        <v>30424</v>
      </c>
      <c r="N12" s="120">
        <v>100000</v>
      </c>
      <c r="O12" s="120">
        <f>D12-L12-M12-N12</f>
        <v>1298622</v>
      </c>
      <c r="P12" s="120">
        <f>G12-L12</f>
        <v>1429046</v>
      </c>
      <c r="Q12" s="120"/>
      <c r="R12" s="120"/>
      <c r="S12" s="120">
        <f>SUM(Q12:R12)</f>
        <v>0</v>
      </c>
      <c r="T12" s="120">
        <f>P12-M12+S12</f>
        <v>1398622</v>
      </c>
      <c r="U12" s="120">
        <f>N12-T12</f>
        <v>-1298622</v>
      </c>
      <c r="V12" s="120">
        <f>U12-W12-Z12-AA12</f>
        <v>0</v>
      </c>
      <c r="W12" s="120">
        <f>-1300000+1378</f>
        <v>-1298622</v>
      </c>
      <c r="X12" s="120"/>
      <c r="Y12" s="120"/>
      <c r="Z12" s="120"/>
      <c r="AA12" s="120"/>
      <c r="AB12" s="469" t="s">
        <v>915</v>
      </c>
      <c r="AC12" s="448">
        <v>742000</v>
      </c>
      <c r="AD12" s="465"/>
      <c r="AE12" s="465"/>
      <c r="AF12" s="465"/>
      <c r="AG12" s="465"/>
      <c r="AH12" s="465"/>
      <c r="AI12" s="465"/>
      <c r="AJ12" s="465"/>
      <c r="AK12" s="465"/>
      <c r="AL12" s="465"/>
      <c r="AM12" s="465"/>
      <c r="AN12" s="465"/>
      <c r="AO12" s="465"/>
      <c r="AP12" s="465"/>
      <c r="AQ12" s="465"/>
      <c r="AR12" s="465"/>
      <c r="AS12" s="465"/>
      <c r="AT12" s="465"/>
    </row>
    <row r="13" spans="1:46" s="548" customFormat="1" ht="41.4">
      <c r="A13" s="469">
        <f t="shared" si="1"/>
        <v>6</v>
      </c>
      <c r="B13" s="455">
        <v>20137</v>
      </c>
      <c r="C13" s="135" t="s">
        <v>1007</v>
      </c>
      <c r="D13" s="120">
        <v>8000000</v>
      </c>
      <c r="E13" s="120"/>
      <c r="F13" s="120">
        <f>D13-E13</f>
        <v>8000000</v>
      </c>
      <c r="G13" s="120"/>
      <c r="H13" s="120"/>
      <c r="I13" s="120"/>
      <c r="J13" s="120"/>
      <c r="K13" s="120">
        <f>I13+J13</f>
        <v>0</v>
      </c>
      <c r="L13" s="120">
        <f>H13+K13</f>
        <v>0</v>
      </c>
      <c r="M13" s="120">
        <f>P13+S13</f>
        <v>0</v>
      </c>
      <c r="N13" s="120">
        <f>4000000-2000000+1000000</f>
        <v>3000000</v>
      </c>
      <c r="O13" s="120">
        <f>D13-L13-M13-N13</f>
        <v>5000000</v>
      </c>
      <c r="P13" s="120">
        <f>G13-L13</f>
        <v>0</v>
      </c>
      <c r="Q13" s="120"/>
      <c r="R13" s="120"/>
      <c r="S13" s="120">
        <f>SUM(Q13:R13)</f>
        <v>0</v>
      </c>
      <c r="T13" s="120">
        <f>P13-M13+S13</f>
        <v>0</v>
      </c>
      <c r="U13" s="120">
        <f>N13-T13</f>
        <v>3000000</v>
      </c>
      <c r="V13" s="120">
        <f>U13-W13-Z13-AA13</f>
        <v>0</v>
      </c>
      <c r="W13" s="120">
        <v>3000000</v>
      </c>
      <c r="X13" s="120"/>
      <c r="Y13" s="120"/>
      <c r="Z13" s="120"/>
      <c r="AA13" s="120"/>
      <c r="AB13" s="469" t="s">
        <v>1008</v>
      </c>
      <c r="AC13" s="448">
        <v>742000</v>
      </c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</row>
    <row r="14" spans="1:46" s="839" customFormat="1">
      <c r="A14" s="808"/>
      <c r="B14" s="454"/>
      <c r="C14" s="219" t="s">
        <v>1558</v>
      </c>
      <c r="D14" s="249">
        <f>SUM(D9:D13)</f>
        <v>84269486</v>
      </c>
      <c r="E14" s="249">
        <f t="shared" ref="E14:W14" si="2">SUM(E9:E13)</f>
        <v>67661603</v>
      </c>
      <c r="F14" s="249">
        <f t="shared" si="2"/>
        <v>16607883</v>
      </c>
      <c r="G14" s="249">
        <f t="shared" si="2"/>
        <v>67053830</v>
      </c>
      <c r="H14" s="249">
        <f t="shared" si="2"/>
        <v>63163752</v>
      </c>
      <c r="I14" s="249">
        <f t="shared" si="2"/>
        <v>140400</v>
      </c>
      <c r="J14" s="249">
        <f t="shared" si="2"/>
        <v>1353103</v>
      </c>
      <c r="K14" s="249">
        <f t="shared" si="2"/>
        <v>1493503</v>
      </c>
      <c r="L14" s="249">
        <f t="shared" si="2"/>
        <v>64657255</v>
      </c>
      <c r="M14" s="249">
        <f t="shared" si="2"/>
        <v>33609</v>
      </c>
      <c r="N14" s="249">
        <f t="shared" si="2"/>
        <v>7375000</v>
      </c>
      <c r="O14" s="249">
        <f t="shared" si="2"/>
        <v>12203622</v>
      </c>
      <c r="P14" s="249">
        <f t="shared" si="2"/>
        <v>2396575</v>
      </c>
      <c r="Q14" s="249">
        <f t="shared" si="2"/>
        <v>50000</v>
      </c>
      <c r="R14" s="249">
        <f t="shared" si="2"/>
        <v>0</v>
      </c>
      <c r="S14" s="249">
        <f t="shared" si="2"/>
        <v>50000</v>
      </c>
      <c r="T14" s="249">
        <f t="shared" si="2"/>
        <v>2412966</v>
      </c>
      <c r="U14" s="249">
        <f t="shared" si="2"/>
        <v>4962034</v>
      </c>
      <c r="V14" s="249">
        <f t="shared" si="2"/>
        <v>2278683</v>
      </c>
      <c r="W14" s="249">
        <f t="shared" si="2"/>
        <v>2683351</v>
      </c>
      <c r="X14" s="249"/>
      <c r="Y14" s="249"/>
      <c r="Z14" s="249"/>
      <c r="AA14" s="249"/>
      <c r="AB14" s="808"/>
      <c r="AC14" s="454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  <c r="AQ14" s="472"/>
      <c r="AR14" s="472"/>
      <c r="AS14" s="472"/>
      <c r="AT14" s="472"/>
    </row>
    <row r="15" spans="1:46" s="839" customFormat="1">
      <c r="A15" s="808"/>
      <c r="B15" s="454"/>
      <c r="C15" s="219">
        <v>76</v>
      </c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808"/>
      <c r="AC15" s="454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  <c r="AQ15" s="472"/>
      <c r="AR15" s="472"/>
      <c r="AS15" s="472"/>
      <c r="AT15" s="472"/>
    </row>
    <row r="16" spans="1:46" s="548" customFormat="1" ht="27.6">
      <c r="A16" s="469">
        <f>A13+1</f>
        <v>7</v>
      </c>
      <c r="B16" s="469">
        <v>1259</v>
      </c>
      <c r="C16" s="135" t="s">
        <v>49</v>
      </c>
      <c r="D16" s="120">
        <f>5510000+500000-200000</f>
        <v>5810000</v>
      </c>
      <c r="E16" s="120">
        <v>5510000</v>
      </c>
      <c r="F16" s="120">
        <f>D16-E16</f>
        <v>300000</v>
      </c>
      <c r="G16" s="120">
        <v>5310000</v>
      </c>
      <c r="H16" s="120">
        <v>5218627</v>
      </c>
      <c r="I16" s="120"/>
      <c r="J16" s="120"/>
      <c r="K16" s="120">
        <f>I16+J16</f>
        <v>0</v>
      </c>
      <c r="L16" s="120">
        <f>H16+K16</f>
        <v>5218627</v>
      </c>
      <c r="M16" s="120">
        <f>P16+S16-200000-90000</f>
        <v>1373</v>
      </c>
      <c r="N16" s="120">
        <v>500000</v>
      </c>
      <c r="O16" s="120">
        <f>D16-L16-M16-N16</f>
        <v>90000</v>
      </c>
      <c r="P16" s="120">
        <f>G16-L16</f>
        <v>91373</v>
      </c>
      <c r="Q16" s="120">
        <v>200000</v>
      </c>
      <c r="R16" s="120"/>
      <c r="S16" s="120">
        <f>SUM(Q16:R16)</f>
        <v>200000</v>
      </c>
      <c r="T16" s="120">
        <f>P16-M16+S16</f>
        <v>290000</v>
      </c>
      <c r="U16" s="120">
        <f>N16-T16</f>
        <v>210000</v>
      </c>
      <c r="V16" s="120">
        <f>U16-W16-Z16-AA16</f>
        <v>210000</v>
      </c>
      <c r="W16" s="120"/>
      <c r="X16" s="120"/>
      <c r="Y16" s="120"/>
      <c r="Z16" s="120"/>
      <c r="AA16" s="120"/>
      <c r="AB16" s="469" t="s">
        <v>237</v>
      </c>
      <c r="AC16" s="469">
        <v>760000</v>
      </c>
      <c r="AD16" s="465"/>
      <c r="AE16" s="465"/>
      <c r="AF16" s="465"/>
      <c r="AG16" s="465"/>
      <c r="AH16" s="465"/>
      <c r="AI16" s="465"/>
      <c r="AJ16" s="465"/>
      <c r="AK16" s="465"/>
      <c r="AL16" s="465"/>
      <c r="AM16" s="465"/>
      <c r="AN16" s="465"/>
      <c r="AO16" s="465"/>
      <c r="AP16" s="465"/>
      <c r="AQ16" s="465"/>
      <c r="AR16" s="465"/>
      <c r="AS16" s="465"/>
      <c r="AT16" s="465"/>
    </row>
    <row r="17" spans="1:46" s="548" customFormat="1" ht="27.6">
      <c r="A17" s="469">
        <f t="shared" si="1"/>
        <v>8</v>
      </c>
      <c r="B17" s="469">
        <v>1260</v>
      </c>
      <c r="C17" s="135" t="s">
        <v>50</v>
      </c>
      <c r="D17" s="120">
        <f>9858000+500000-350000</f>
        <v>10008000</v>
      </c>
      <c r="E17" s="120">
        <v>9858000</v>
      </c>
      <c r="F17" s="120">
        <f>D17-E17</f>
        <v>150000</v>
      </c>
      <c r="G17" s="120">
        <v>9358000</v>
      </c>
      <c r="H17" s="120">
        <v>9423550</v>
      </c>
      <c r="I17" s="120"/>
      <c r="J17" s="120"/>
      <c r="K17" s="120">
        <f>I17+J17</f>
        <v>0</v>
      </c>
      <c r="L17" s="120">
        <f>H17+K17</f>
        <v>9423550</v>
      </c>
      <c r="M17" s="120">
        <f>P17+S17-350000-80000</f>
        <v>4450</v>
      </c>
      <c r="N17" s="120">
        <v>500000</v>
      </c>
      <c r="O17" s="120">
        <f>D17-L17-M17-N17</f>
        <v>80000</v>
      </c>
      <c r="P17" s="120">
        <f>G17-L17</f>
        <v>-65550</v>
      </c>
      <c r="Q17" s="120">
        <f>300000+200000</f>
        <v>500000</v>
      </c>
      <c r="R17" s="120"/>
      <c r="S17" s="120">
        <f>SUM(Q17:R17)</f>
        <v>500000</v>
      </c>
      <c r="T17" s="120">
        <f>P17-M17+S17</f>
        <v>430000</v>
      </c>
      <c r="U17" s="120">
        <f>N17-T17</f>
        <v>70000</v>
      </c>
      <c r="V17" s="120">
        <f>U17-W17-Z17-AA17</f>
        <v>70000</v>
      </c>
      <c r="W17" s="120"/>
      <c r="X17" s="120"/>
      <c r="Y17" s="120"/>
      <c r="Z17" s="120"/>
      <c r="AA17" s="120"/>
      <c r="AB17" s="469" t="s">
        <v>238</v>
      </c>
      <c r="AC17" s="469">
        <v>760000</v>
      </c>
      <c r="AD17" s="465"/>
      <c r="AE17" s="465"/>
      <c r="AF17" s="465"/>
      <c r="AG17" s="465"/>
      <c r="AH17" s="465"/>
      <c r="AI17" s="465"/>
      <c r="AJ17" s="465"/>
      <c r="AK17" s="465"/>
      <c r="AL17" s="465"/>
      <c r="AM17" s="465"/>
      <c r="AN17" s="465"/>
      <c r="AO17" s="465"/>
      <c r="AP17" s="465"/>
      <c r="AQ17" s="465"/>
      <c r="AR17" s="465"/>
      <c r="AS17" s="465"/>
      <c r="AT17" s="465"/>
    </row>
    <row r="18" spans="1:46" s="839" customFormat="1">
      <c r="A18" s="808"/>
      <c r="B18" s="808"/>
      <c r="C18" s="219" t="s">
        <v>1559</v>
      </c>
      <c r="D18" s="249">
        <f>SUM(D16:D17)</f>
        <v>15818000</v>
      </c>
      <c r="E18" s="249">
        <f t="shared" ref="E18:W18" si="3">SUM(E16:E17)</f>
        <v>15368000</v>
      </c>
      <c r="F18" s="249">
        <f t="shared" si="3"/>
        <v>450000</v>
      </c>
      <c r="G18" s="249">
        <f t="shared" si="3"/>
        <v>14668000</v>
      </c>
      <c r="H18" s="249">
        <f t="shared" si="3"/>
        <v>14642177</v>
      </c>
      <c r="I18" s="249">
        <f t="shared" si="3"/>
        <v>0</v>
      </c>
      <c r="J18" s="249">
        <f t="shared" si="3"/>
        <v>0</v>
      </c>
      <c r="K18" s="249">
        <f t="shared" si="3"/>
        <v>0</v>
      </c>
      <c r="L18" s="249">
        <f t="shared" si="3"/>
        <v>14642177</v>
      </c>
      <c r="M18" s="249">
        <f t="shared" si="3"/>
        <v>5823</v>
      </c>
      <c r="N18" s="249">
        <f t="shared" si="3"/>
        <v>1000000</v>
      </c>
      <c r="O18" s="249">
        <f t="shared" si="3"/>
        <v>170000</v>
      </c>
      <c r="P18" s="249">
        <f t="shared" si="3"/>
        <v>25823</v>
      </c>
      <c r="Q18" s="249">
        <f t="shared" si="3"/>
        <v>700000</v>
      </c>
      <c r="R18" s="249">
        <f t="shared" si="3"/>
        <v>0</v>
      </c>
      <c r="S18" s="249">
        <f t="shared" si="3"/>
        <v>700000</v>
      </c>
      <c r="T18" s="249">
        <f t="shared" si="3"/>
        <v>720000</v>
      </c>
      <c r="U18" s="249">
        <f t="shared" si="3"/>
        <v>280000</v>
      </c>
      <c r="V18" s="249">
        <f t="shared" si="3"/>
        <v>280000</v>
      </c>
      <c r="W18" s="249">
        <f t="shared" si="3"/>
        <v>0</v>
      </c>
      <c r="X18" s="249"/>
      <c r="Y18" s="249"/>
      <c r="Z18" s="249"/>
      <c r="AA18" s="249"/>
      <c r="AB18" s="808"/>
      <c r="AC18" s="808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  <c r="AQ18" s="472"/>
      <c r="AR18" s="472"/>
      <c r="AS18" s="472"/>
      <c r="AT18" s="472"/>
    </row>
    <row r="19" spans="1:46" s="839" customFormat="1">
      <c r="A19" s="808"/>
      <c r="B19" s="808"/>
      <c r="C19" s="219">
        <v>84</v>
      </c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808"/>
      <c r="AC19" s="808"/>
      <c r="AD19" s="472"/>
      <c r="AE19" s="472"/>
      <c r="AF19" s="472"/>
      <c r="AG19" s="472"/>
      <c r="AH19" s="472"/>
      <c r="AI19" s="472"/>
      <c r="AJ19" s="472"/>
      <c r="AK19" s="472"/>
      <c r="AL19" s="472"/>
      <c r="AM19" s="472"/>
      <c r="AN19" s="472"/>
      <c r="AO19" s="472"/>
      <c r="AP19" s="472"/>
      <c r="AQ19" s="472"/>
      <c r="AR19" s="472"/>
      <c r="AS19" s="472"/>
      <c r="AT19" s="472"/>
    </row>
    <row r="20" spans="1:46" s="452" customFormat="1" ht="41.4">
      <c r="A20" s="469">
        <f>A17+1</f>
        <v>9</v>
      </c>
      <c r="B20" s="448">
        <v>529</v>
      </c>
      <c r="C20" s="135" t="s">
        <v>56</v>
      </c>
      <c r="D20" s="120">
        <v>700000</v>
      </c>
      <c r="E20" s="120">
        <v>700000</v>
      </c>
      <c r="F20" s="120">
        <f>D20-E20</f>
        <v>0</v>
      </c>
      <c r="G20" s="120">
        <v>700000</v>
      </c>
      <c r="H20" s="120">
        <v>617560</v>
      </c>
      <c r="I20" s="120"/>
      <c r="J20" s="120"/>
      <c r="K20" s="120">
        <f>I20+J20</f>
        <v>0</v>
      </c>
      <c r="L20" s="120">
        <f>H20+K20</f>
        <v>617560</v>
      </c>
      <c r="M20" s="120">
        <f>P20+S20-80000</f>
        <v>2440</v>
      </c>
      <c r="N20" s="120">
        <v>80000</v>
      </c>
      <c r="O20" s="120">
        <f>D20-L20-M20-N20</f>
        <v>0</v>
      </c>
      <c r="P20" s="120">
        <f>G20-L20</f>
        <v>82440</v>
      </c>
      <c r="Q20" s="120"/>
      <c r="R20" s="120"/>
      <c r="S20" s="120">
        <f>SUM(Q20:R20)</f>
        <v>0</v>
      </c>
      <c r="T20" s="120">
        <f>P20-M20+S20</f>
        <v>80000</v>
      </c>
      <c r="U20" s="120">
        <f>N20-T20</f>
        <v>0</v>
      </c>
      <c r="V20" s="120">
        <f>U20-W20-Z20-AA20</f>
        <v>0</v>
      </c>
      <c r="W20" s="120"/>
      <c r="X20" s="120"/>
      <c r="Y20" s="120"/>
      <c r="Z20" s="120"/>
      <c r="AA20" s="120"/>
      <c r="AB20" s="469" t="s">
        <v>903</v>
      </c>
      <c r="AC20" s="448">
        <v>840000</v>
      </c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</row>
    <row r="21" spans="1:46" s="473" customFormat="1">
      <c r="A21" s="808"/>
      <c r="B21" s="454"/>
      <c r="C21" s="219" t="s">
        <v>1564</v>
      </c>
      <c r="D21" s="249">
        <f>SUM(D20)</f>
        <v>700000</v>
      </c>
      <c r="E21" s="249">
        <f t="shared" ref="E21:W21" si="4">SUM(E20)</f>
        <v>700000</v>
      </c>
      <c r="F21" s="249">
        <f t="shared" si="4"/>
        <v>0</v>
      </c>
      <c r="G21" s="249">
        <f t="shared" si="4"/>
        <v>700000</v>
      </c>
      <c r="H21" s="249">
        <f t="shared" si="4"/>
        <v>617560</v>
      </c>
      <c r="I21" s="249">
        <f t="shared" si="4"/>
        <v>0</v>
      </c>
      <c r="J21" s="249">
        <f t="shared" si="4"/>
        <v>0</v>
      </c>
      <c r="K21" s="249">
        <f t="shared" si="4"/>
        <v>0</v>
      </c>
      <c r="L21" s="249">
        <f t="shared" si="4"/>
        <v>617560</v>
      </c>
      <c r="M21" s="249">
        <f t="shared" si="4"/>
        <v>2440</v>
      </c>
      <c r="N21" s="249">
        <f t="shared" si="4"/>
        <v>80000</v>
      </c>
      <c r="O21" s="249">
        <f t="shared" si="4"/>
        <v>0</v>
      </c>
      <c r="P21" s="249">
        <f t="shared" si="4"/>
        <v>82440</v>
      </c>
      <c r="Q21" s="249">
        <f t="shared" si="4"/>
        <v>0</v>
      </c>
      <c r="R21" s="249">
        <f t="shared" si="4"/>
        <v>0</v>
      </c>
      <c r="S21" s="249">
        <f t="shared" si="4"/>
        <v>0</v>
      </c>
      <c r="T21" s="249">
        <f t="shared" si="4"/>
        <v>80000</v>
      </c>
      <c r="U21" s="249">
        <f t="shared" si="4"/>
        <v>0</v>
      </c>
      <c r="V21" s="249">
        <f t="shared" si="4"/>
        <v>0</v>
      </c>
      <c r="W21" s="249">
        <f t="shared" si="4"/>
        <v>0</v>
      </c>
      <c r="X21" s="249"/>
      <c r="Y21" s="249"/>
      <c r="Z21" s="249"/>
      <c r="AA21" s="249"/>
      <c r="AB21" s="808"/>
      <c r="AC21" s="454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</row>
    <row r="22" spans="1:46" s="473" customFormat="1">
      <c r="A22" s="808"/>
      <c r="B22" s="454"/>
      <c r="C22" s="219">
        <v>99</v>
      </c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808"/>
      <c r="AC22" s="454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</row>
    <row r="23" spans="1:46" s="452" customFormat="1" ht="27.6">
      <c r="A23" s="469">
        <f>A20+1</f>
        <v>10</v>
      </c>
      <c r="B23" s="469">
        <v>1688</v>
      </c>
      <c r="C23" s="135" t="s">
        <v>52</v>
      </c>
      <c r="D23" s="120">
        <v>15133000</v>
      </c>
      <c r="E23" s="120">
        <v>15133000</v>
      </c>
      <c r="F23" s="120">
        <f>D23-E23</f>
        <v>0</v>
      </c>
      <c r="G23" s="120">
        <v>15133000</v>
      </c>
      <c r="H23" s="120">
        <v>15133000</v>
      </c>
      <c r="I23" s="120"/>
      <c r="J23" s="120"/>
      <c r="K23" s="120">
        <f>I23+J23</f>
        <v>0</v>
      </c>
      <c r="L23" s="120">
        <f>H23+K23</f>
        <v>15133000</v>
      </c>
      <c r="M23" s="120">
        <f>P23+S23</f>
        <v>0</v>
      </c>
      <c r="N23" s="120"/>
      <c r="O23" s="120">
        <f>D23-L23-M23-N23</f>
        <v>0</v>
      </c>
      <c r="P23" s="120">
        <f>G23-L23</f>
        <v>0</v>
      </c>
      <c r="Q23" s="120"/>
      <c r="R23" s="120"/>
      <c r="S23" s="120">
        <f>SUM(Q23:R23)</f>
        <v>0</v>
      </c>
      <c r="T23" s="120">
        <f>P23-M23+S23</f>
        <v>0</v>
      </c>
      <c r="U23" s="120">
        <f>N23-T23</f>
        <v>0</v>
      </c>
      <c r="V23" s="120">
        <f>U23-W23-Z23-AA23</f>
        <v>0</v>
      </c>
      <c r="W23" s="120"/>
      <c r="X23" s="120"/>
      <c r="Y23" s="120"/>
      <c r="Z23" s="120"/>
      <c r="AA23" s="120"/>
      <c r="AB23" s="469" t="s">
        <v>307</v>
      </c>
      <c r="AC23" s="469">
        <v>990000</v>
      </c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</row>
    <row r="24" spans="1:46" s="452" customFormat="1" ht="27.6">
      <c r="A24" s="469">
        <f t="shared" si="1"/>
        <v>11</v>
      </c>
      <c r="B24" s="455">
        <v>20138</v>
      </c>
      <c r="C24" s="135" t="s">
        <v>1303</v>
      </c>
      <c r="D24" s="120">
        <f>27250000+27250000*0.2</f>
        <v>32700000</v>
      </c>
      <c r="E24" s="120"/>
      <c r="F24" s="120">
        <f>D24-E24</f>
        <v>32700000</v>
      </c>
      <c r="G24" s="120"/>
      <c r="H24" s="120"/>
      <c r="I24" s="120"/>
      <c r="J24" s="120"/>
      <c r="K24" s="120">
        <f>I24+J24</f>
        <v>0</v>
      </c>
      <c r="L24" s="120">
        <f>H24+K24</f>
        <v>0</v>
      </c>
      <c r="M24" s="120">
        <f>P24+S24</f>
        <v>0</v>
      </c>
      <c r="N24" s="120">
        <v>5450000</v>
      </c>
      <c r="O24" s="120">
        <f>D24-L24-M24-N24</f>
        <v>27250000</v>
      </c>
      <c r="P24" s="120">
        <f>G24-L24</f>
        <v>0</v>
      </c>
      <c r="Q24" s="120"/>
      <c r="R24" s="120"/>
      <c r="S24" s="120">
        <f>SUM(Q24:R24)</f>
        <v>0</v>
      </c>
      <c r="T24" s="120">
        <f>P24-M24+S24</f>
        <v>0</v>
      </c>
      <c r="U24" s="120">
        <f>N24-T24</f>
        <v>5450000</v>
      </c>
      <c r="V24" s="120">
        <f>U24-W24-Z24-AA24</f>
        <v>5450000</v>
      </c>
      <c r="W24" s="120"/>
      <c r="X24" s="120"/>
      <c r="Y24" s="120"/>
      <c r="Z24" s="120"/>
      <c r="AA24" s="120"/>
      <c r="AB24" s="469" t="s">
        <v>1304</v>
      </c>
      <c r="AC24" s="448">
        <v>999000</v>
      </c>
      <c r="AD24" s="465"/>
      <c r="AE24" s="465"/>
      <c r="AF24" s="465"/>
      <c r="AG24" s="465"/>
      <c r="AH24" s="465"/>
      <c r="AI24" s="465"/>
      <c r="AJ24" s="465"/>
      <c r="AK24" s="465"/>
      <c r="AL24" s="465"/>
      <c r="AM24" s="465"/>
      <c r="AN24" s="465"/>
      <c r="AO24" s="465"/>
      <c r="AP24" s="465"/>
      <c r="AQ24" s="465"/>
      <c r="AR24" s="465"/>
      <c r="AS24" s="465"/>
      <c r="AT24" s="465"/>
    </row>
    <row r="25" spans="1:46" s="473" customFormat="1">
      <c r="A25" s="808"/>
      <c r="B25" s="454"/>
      <c r="C25" s="219" t="s">
        <v>1572</v>
      </c>
      <c r="D25" s="249">
        <f>SUM(D23:D24)</f>
        <v>47833000</v>
      </c>
      <c r="E25" s="249">
        <f t="shared" ref="E25:W25" si="5">SUM(E23:E24)</f>
        <v>15133000</v>
      </c>
      <c r="F25" s="249">
        <f t="shared" si="5"/>
        <v>32700000</v>
      </c>
      <c r="G25" s="249">
        <f t="shared" si="5"/>
        <v>15133000</v>
      </c>
      <c r="H25" s="249">
        <f t="shared" si="5"/>
        <v>15133000</v>
      </c>
      <c r="I25" s="249">
        <f t="shared" si="5"/>
        <v>0</v>
      </c>
      <c r="J25" s="249">
        <f t="shared" si="5"/>
        <v>0</v>
      </c>
      <c r="K25" s="249">
        <f t="shared" si="5"/>
        <v>0</v>
      </c>
      <c r="L25" s="249">
        <f t="shared" si="5"/>
        <v>15133000</v>
      </c>
      <c r="M25" s="249">
        <f t="shared" si="5"/>
        <v>0</v>
      </c>
      <c r="N25" s="249">
        <f t="shared" si="5"/>
        <v>5450000</v>
      </c>
      <c r="O25" s="249">
        <f t="shared" si="5"/>
        <v>27250000</v>
      </c>
      <c r="P25" s="249">
        <f t="shared" si="5"/>
        <v>0</v>
      </c>
      <c r="Q25" s="249">
        <f t="shared" si="5"/>
        <v>0</v>
      </c>
      <c r="R25" s="249">
        <f t="shared" si="5"/>
        <v>0</v>
      </c>
      <c r="S25" s="249">
        <f t="shared" si="5"/>
        <v>0</v>
      </c>
      <c r="T25" s="249">
        <f t="shared" si="5"/>
        <v>0</v>
      </c>
      <c r="U25" s="249">
        <f t="shared" si="5"/>
        <v>5450000</v>
      </c>
      <c r="V25" s="249">
        <f t="shared" si="5"/>
        <v>5450000</v>
      </c>
      <c r="W25" s="249">
        <f t="shared" si="5"/>
        <v>0</v>
      </c>
      <c r="X25" s="249"/>
      <c r="Y25" s="249"/>
      <c r="Z25" s="249"/>
      <c r="AA25" s="249"/>
      <c r="AB25" s="808"/>
      <c r="AC25" s="454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</row>
    <row r="26" spans="1:46" s="551" customFormat="1" ht="25.2" customHeight="1">
      <c r="A26" s="549">
        <f>COUNT(A6:A24)</f>
        <v>11</v>
      </c>
      <c r="B26" s="549"/>
      <c r="C26" s="454" t="s">
        <v>167</v>
      </c>
      <c r="D26" s="550">
        <f>D25+D21+D18+D14+D7</f>
        <v>157543206</v>
      </c>
      <c r="E26" s="550">
        <f t="shared" ref="E26:W26" si="6">E25+E21+E18+E14+E7</f>
        <v>129119603</v>
      </c>
      <c r="F26" s="550">
        <f t="shared" si="6"/>
        <v>28423603</v>
      </c>
      <c r="G26" s="550">
        <f t="shared" si="6"/>
        <v>111736830</v>
      </c>
      <c r="H26" s="550">
        <f t="shared" si="6"/>
        <v>100816209</v>
      </c>
      <c r="I26" s="550">
        <f t="shared" si="6"/>
        <v>140400</v>
      </c>
      <c r="J26" s="550">
        <f t="shared" si="6"/>
        <v>1353103</v>
      </c>
      <c r="K26" s="550">
        <f t="shared" si="6"/>
        <v>1493503</v>
      </c>
      <c r="L26" s="550">
        <f t="shared" si="6"/>
        <v>102309712</v>
      </c>
      <c r="M26" s="550">
        <f t="shared" si="6"/>
        <v>1704872</v>
      </c>
      <c r="N26" s="550">
        <f t="shared" si="6"/>
        <v>13905000</v>
      </c>
      <c r="O26" s="550">
        <f t="shared" si="6"/>
        <v>39623622</v>
      </c>
      <c r="P26" s="550">
        <f t="shared" si="6"/>
        <v>9427118</v>
      </c>
      <c r="Q26" s="550">
        <f t="shared" si="6"/>
        <v>750000</v>
      </c>
      <c r="R26" s="550">
        <f t="shared" si="6"/>
        <v>0</v>
      </c>
      <c r="S26" s="550">
        <f t="shared" si="6"/>
        <v>750000</v>
      </c>
      <c r="T26" s="550">
        <f t="shared" si="6"/>
        <v>8472246</v>
      </c>
      <c r="U26" s="550">
        <f t="shared" si="6"/>
        <v>5432754</v>
      </c>
      <c r="V26" s="550">
        <f t="shared" si="6"/>
        <v>8008683</v>
      </c>
      <c r="W26" s="550">
        <f t="shared" si="6"/>
        <v>-2575929</v>
      </c>
      <c r="X26" s="550">
        <f t="shared" ref="X26:AB26" si="7">SUM(X6:X24)</f>
        <v>0</v>
      </c>
      <c r="Y26" s="550">
        <f t="shared" si="7"/>
        <v>0</v>
      </c>
      <c r="Z26" s="550">
        <f t="shared" si="7"/>
        <v>0</v>
      </c>
      <c r="AA26" s="550">
        <f t="shared" si="7"/>
        <v>0</v>
      </c>
      <c r="AB26" s="550">
        <f t="shared" si="7"/>
        <v>0</v>
      </c>
      <c r="AC26" s="550"/>
      <c r="AD26" s="465"/>
      <c r="AE26" s="465"/>
      <c r="AF26" s="465"/>
      <c r="AG26" s="465"/>
      <c r="AH26" s="465"/>
      <c r="AI26" s="465"/>
      <c r="AJ26" s="465"/>
      <c r="AK26" s="465"/>
      <c r="AL26" s="465"/>
      <c r="AM26" s="465"/>
      <c r="AN26" s="465"/>
      <c r="AO26" s="465"/>
      <c r="AP26" s="465"/>
      <c r="AQ26" s="465"/>
      <c r="AR26" s="465"/>
      <c r="AS26" s="465"/>
      <c r="AT26" s="465"/>
    </row>
    <row r="27" spans="1:46" s="569" customFormat="1" ht="25.2" customHeight="1">
      <c r="A27" s="567"/>
      <c r="B27" s="567"/>
      <c r="C27" s="455"/>
      <c r="D27" s="568"/>
      <c r="E27" s="568"/>
      <c r="F27" s="568">
        <f>D26-E26</f>
        <v>28423603</v>
      </c>
      <c r="G27" s="568"/>
      <c r="H27" s="568"/>
      <c r="I27" s="568"/>
      <c r="J27" s="568"/>
      <c r="K27" s="568"/>
      <c r="L27" s="568">
        <f>H26+I26+J26</f>
        <v>102309712</v>
      </c>
      <c r="M27" s="568"/>
      <c r="N27" s="568"/>
      <c r="O27" s="568"/>
      <c r="P27" s="568">
        <f>G26-L27</f>
        <v>9427118</v>
      </c>
      <c r="Q27" s="568"/>
      <c r="R27" s="568"/>
      <c r="S27" s="568"/>
      <c r="T27" s="568">
        <f>P27+S26-M26</f>
        <v>8472246</v>
      </c>
      <c r="U27" s="568">
        <f>N26-T27</f>
        <v>5432754</v>
      </c>
      <c r="V27" s="568"/>
      <c r="W27" s="568"/>
      <c r="X27" s="568"/>
      <c r="Y27" s="568"/>
      <c r="Z27" s="568"/>
      <c r="AA27" s="568"/>
      <c r="AB27" s="568"/>
      <c r="AC27" s="568"/>
      <c r="AD27" s="465"/>
      <c r="AE27" s="465"/>
      <c r="AF27" s="465"/>
      <c r="AG27" s="465"/>
      <c r="AH27" s="465"/>
      <c r="AI27" s="465"/>
      <c r="AJ27" s="465"/>
      <c r="AK27" s="465"/>
      <c r="AL27" s="465"/>
      <c r="AM27" s="465"/>
      <c r="AN27" s="465"/>
      <c r="AO27" s="560"/>
      <c r="AP27" s="560"/>
      <c r="AQ27" s="560"/>
      <c r="AR27" s="560"/>
      <c r="AS27" s="560"/>
      <c r="AT27" s="560"/>
    </row>
    <row r="29" spans="1:46" s="472" customFormat="1">
      <c r="A29" s="651"/>
      <c r="C29" s="472" t="s">
        <v>299</v>
      </c>
      <c r="D29" s="652">
        <f>D26+'תקציב איכות הסביבה 2024 פרקים'!D20</f>
        <v>163500706</v>
      </c>
      <c r="E29" s="652">
        <f>E26+'תקציב איכות הסביבה 2024 פרקים'!E20</f>
        <v>134311103</v>
      </c>
      <c r="F29" s="652">
        <f>F26+'תקציב איכות הסביבה 2024 פרקים'!F20</f>
        <v>29189603</v>
      </c>
      <c r="G29" s="652">
        <f>G26+'תקציב איכות הסביבה 2024 פרקים'!G20</f>
        <v>116348330</v>
      </c>
      <c r="H29" s="652">
        <f>H26+'תקציב איכות הסביבה 2024 פרקים'!H20</f>
        <v>104960629</v>
      </c>
      <c r="I29" s="652">
        <f>I26+'תקציב איכות הסביבה 2024 פרקים'!I20</f>
        <v>140400</v>
      </c>
      <c r="J29" s="652">
        <f>J26+'תקציב איכות הסביבה 2024 פרקים'!J20</f>
        <v>1367247</v>
      </c>
      <c r="K29" s="652">
        <f>K26+'תקציב איכות הסביבה 2024 פרקים'!K20</f>
        <v>1507647</v>
      </c>
      <c r="L29" s="652">
        <f>L26+'תקציב איכות הסביבה 2024 פרקים'!L20</f>
        <v>106468276</v>
      </c>
      <c r="M29" s="652">
        <f>M26+'תקציב איכות הסביבה 2024 פרקים'!M20</f>
        <v>1711808</v>
      </c>
      <c r="N29" s="652">
        <f>N26+'תקציב איכות הסביבה 2024 פרקים'!N20</f>
        <v>15179000</v>
      </c>
      <c r="O29" s="652">
        <f>O26+'תקציב איכות הסביבה 2024 פרקים'!O20</f>
        <v>40141622</v>
      </c>
      <c r="P29" s="652">
        <f>P26+'תקציב איכות הסביבה 2024 פרקים'!P20</f>
        <v>9880054</v>
      </c>
      <c r="Q29" s="652">
        <f>Q26+'תקציב איכות הסביבה 2024 פרקים'!Q20</f>
        <v>972000</v>
      </c>
      <c r="R29" s="652">
        <f>R26+'תקציב איכות הסביבה 2024 פרקים'!R20</f>
        <v>0</v>
      </c>
      <c r="S29" s="652">
        <f>S26+'תקציב איכות הסביבה 2024 פרקים'!S20</f>
        <v>972000</v>
      </c>
      <c r="T29" s="652">
        <f>T26+'תקציב איכות הסביבה 2024 פרקים'!T20</f>
        <v>9140246</v>
      </c>
      <c r="U29" s="652">
        <f>U26+'תקציב איכות הסביבה 2024 פרקים'!U20</f>
        <v>6038754</v>
      </c>
      <c r="V29" s="652">
        <f>V26+'תקציב איכות הסביבה 2024 פרקים'!V20</f>
        <v>7909683</v>
      </c>
      <c r="W29" s="652">
        <f>W26+'תקציב איכות הסביבה 2024 פרקים'!W20</f>
        <v>-2465962</v>
      </c>
      <c r="X29" s="652">
        <f>X26+'תקציב איכות הסביבה 2024 פרקים'!X20</f>
        <v>0</v>
      </c>
      <c r="Y29" s="652">
        <f>Y26+'תקציב איכות הסביבה 2024 פרקים'!Y20</f>
        <v>0</v>
      </c>
      <c r="Z29" s="652">
        <f>Z26+'תקציב איכות הסביבה 2024 פרקים'!Z20</f>
        <v>0</v>
      </c>
      <c r="AA29" s="652">
        <f>AA26+'תקציב איכות הסביבה 2024 פרקים'!AA20</f>
        <v>595033</v>
      </c>
      <c r="AB29" s="840"/>
    </row>
    <row r="35" spans="3:3">
      <c r="C35" s="739"/>
    </row>
    <row r="139" spans="1:1">
      <c r="A139" s="464">
        <f>COUNT(A6:A138)</f>
        <v>12</v>
      </c>
    </row>
    <row r="142" spans="1:1">
      <c r="A142" s="464">
        <f>A139+1</f>
        <v>13</v>
      </c>
    </row>
    <row r="145" spans="2:46" ht="37.950000000000003" customHeight="1"/>
    <row r="148" spans="2:46" ht="70.95" customHeight="1"/>
    <row r="151" spans="2:46" ht="72" customHeight="1"/>
    <row r="153" spans="2:46" ht="43.95" customHeight="1"/>
    <row r="155" spans="2:46" s="464" customFormat="1" ht="30" customHeight="1">
      <c r="B155" s="465"/>
      <c r="C155" s="465"/>
      <c r="D155" s="467"/>
      <c r="E155" s="467"/>
      <c r="F155" s="467"/>
      <c r="G155" s="467"/>
      <c r="H155" s="467"/>
      <c r="I155" s="467"/>
      <c r="J155" s="467"/>
      <c r="K155" s="467"/>
      <c r="L155" s="467"/>
      <c r="M155" s="467"/>
      <c r="N155" s="467"/>
      <c r="O155" s="467"/>
      <c r="P155" s="467"/>
      <c r="Q155" s="467"/>
      <c r="R155" s="467"/>
      <c r="S155" s="467"/>
      <c r="T155" s="467"/>
      <c r="U155" s="465"/>
      <c r="V155" s="465"/>
      <c r="W155" s="465"/>
      <c r="X155" s="465"/>
      <c r="Y155" s="465"/>
      <c r="Z155" s="465"/>
      <c r="AA155" s="465"/>
      <c r="AB155" s="468"/>
      <c r="AC155" s="465"/>
      <c r="AD155" s="465"/>
      <c r="AE155" s="465"/>
      <c r="AF155" s="465"/>
      <c r="AG155" s="465"/>
      <c r="AH155" s="465"/>
      <c r="AI155" s="465"/>
      <c r="AJ155" s="465"/>
      <c r="AK155" s="465"/>
      <c r="AL155" s="465"/>
      <c r="AM155" s="465"/>
      <c r="AN155" s="465"/>
      <c r="AO155" s="465"/>
      <c r="AP155" s="465"/>
      <c r="AQ155" s="465"/>
      <c r="AR155" s="465"/>
      <c r="AS155" s="465"/>
      <c r="AT155" s="465"/>
    </row>
  </sheetData>
  <sheetProtection formatCells="0" formatColumns="0" formatRows="0" insertColumns="0" insertRows="0" insertHyperlinks="0" deleteColumns="0" deleteRows="0" sort="0" autoFilter="0" pivotTables="0"/>
  <sortState ref="A5:AT15">
    <sortCondition ref="AC5:AC15"/>
  </sortState>
  <mergeCells count="2">
    <mergeCell ref="A1:W1"/>
    <mergeCell ref="V3:AA3"/>
  </mergeCells>
  <conditionalFormatting sqref="AB4:AB5">
    <cfRule type="cellIs" dxfId="91" priority="6" operator="equal">
      <formula>0</formula>
    </cfRule>
  </conditionalFormatting>
  <conditionalFormatting sqref="AE4:AE5">
    <cfRule type="cellIs" dxfId="90" priority="5" operator="equal">
      <formula>0</formula>
    </cfRule>
  </conditionalFormatting>
  <conditionalFormatting sqref="AF4:AF5">
    <cfRule type="cellIs" dxfId="89" priority="4" operator="equal">
      <formula>0</formula>
    </cfRule>
  </conditionalFormatting>
  <conditionalFormatting sqref="AG4:AG5">
    <cfRule type="cellIs" dxfId="88" priority="3" operator="equal">
      <formula>0</formula>
    </cfRule>
  </conditionalFormatting>
  <conditionalFormatting sqref="AI4:AI5">
    <cfRule type="cellIs" dxfId="87" priority="2" operator="equal">
      <formula>0</formula>
    </cfRule>
  </conditionalFormatting>
  <conditionalFormatting sqref="AM4:AM5">
    <cfRule type="cellIs" dxfId="86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22"/>
  <sheetViews>
    <sheetView showZeros="0" rightToLeft="1" zoomScaleNormal="100" workbookViewId="0">
      <selection activeCell="T10" sqref="T10"/>
    </sheetView>
  </sheetViews>
  <sheetFormatPr defaultColWidth="9.109375" defaultRowHeight="13.2"/>
  <cols>
    <col min="1" max="7" width="9.109375" style="157"/>
    <col min="9" max="16384" width="9.109375" style="157"/>
  </cols>
  <sheetData>
    <row r="4" spans="1:9" ht="18">
      <c r="A4" s="49" t="s">
        <v>1094</v>
      </c>
    </row>
    <row r="7" spans="1:9" ht="24.9" customHeight="1">
      <c r="A7" s="158" t="s">
        <v>195</v>
      </c>
      <c r="B7" s="159"/>
      <c r="C7" s="159"/>
      <c r="D7" s="159"/>
      <c r="E7" s="159"/>
      <c r="F7" s="159"/>
      <c r="G7" s="159"/>
      <c r="I7" s="158" t="s">
        <v>196</v>
      </c>
    </row>
    <row r="8" spans="1:9" ht="15" customHeight="1"/>
    <row r="9" spans="1:9" ht="24.9" customHeight="1">
      <c r="A9" s="159" t="s">
        <v>1095</v>
      </c>
      <c r="I9" s="277"/>
    </row>
    <row r="10" spans="1:9" ht="24.9" customHeight="1">
      <c r="A10" s="159" t="s">
        <v>216</v>
      </c>
      <c r="I10" s="159">
        <v>110</v>
      </c>
    </row>
    <row r="11" spans="1:9" ht="24.9" customHeight="1">
      <c r="A11" s="159" t="s">
        <v>317</v>
      </c>
      <c r="I11" s="160" t="s">
        <v>1633</v>
      </c>
    </row>
    <row r="12" spans="1:9" ht="24.9" customHeight="1">
      <c r="A12" s="159" t="s">
        <v>171</v>
      </c>
      <c r="I12" s="160" t="s">
        <v>870</v>
      </c>
    </row>
    <row r="13" spans="1:9" ht="24.9" customHeight="1">
      <c r="A13" s="159" t="s">
        <v>598</v>
      </c>
      <c r="I13" s="160" t="s">
        <v>1634</v>
      </c>
    </row>
    <row r="14" spans="1:9" ht="24.9" customHeight="1">
      <c r="A14" s="159" t="s">
        <v>227</v>
      </c>
      <c r="I14" s="160" t="s">
        <v>1635</v>
      </c>
    </row>
    <row r="15" spans="1:9" ht="24.9" customHeight="1">
      <c r="A15" s="159" t="s">
        <v>292</v>
      </c>
      <c r="I15" s="160">
        <v>135</v>
      </c>
    </row>
    <row r="16" spans="1:9" ht="24.9" customHeight="1">
      <c r="A16" s="159" t="s">
        <v>83</v>
      </c>
      <c r="I16" s="160">
        <v>136</v>
      </c>
    </row>
    <row r="17" spans="1:9" ht="24.9" customHeight="1">
      <c r="A17" s="159" t="s">
        <v>301</v>
      </c>
      <c r="I17" s="160">
        <v>137</v>
      </c>
    </row>
    <row r="18" spans="1:9" ht="24.9" customHeight="1">
      <c r="A18" s="159" t="s">
        <v>300</v>
      </c>
      <c r="I18" s="160">
        <v>138</v>
      </c>
    </row>
    <row r="19" spans="1:9" ht="24.9" customHeight="1">
      <c r="A19" s="159" t="s">
        <v>202</v>
      </c>
      <c r="I19" s="160" t="s">
        <v>1636</v>
      </c>
    </row>
    <row r="20" spans="1:9" ht="24.9" customHeight="1">
      <c r="A20" s="159" t="s">
        <v>1644</v>
      </c>
      <c r="I20" s="160" t="s">
        <v>1637</v>
      </c>
    </row>
    <row r="21" spans="1:9" ht="24.9" customHeight="1">
      <c r="A21" s="159"/>
      <c r="I21" s="159"/>
    </row>
    <row r="22" spans="1:9" ht="15.6">
      <c r="A22" s="159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37"/>
  <sheetViews>
    <sheetView showZeros="0" rightToLeft="1" zoomScaleNormal="100" workbookViewId="0">
      <pane xSplit="1" ySplit="5" topLeftCell="B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5.6"/>
  <cols>
    <col min="1" max="1" width="14.109375" style="595" customWidth="1"/>
    <col min="2" max="5" width="12.6640625" style="596" hidden="1" customWidth="1"/>
    <col min="6" max="6" width="14.33203125" style="596" hidden="1" customWidth="1"/>
    <col min="7" max="9" width="11.109375" style="596" hidden="1" customWidth="1"/>
    <col min="10" max="10" width="12.6640625" style="575" hidden="1" customWidth="1"/>
    <col min="11" max="11" width="11.109375" style="596" hidden="1" customWidth="1"/>
    <col min="12" max="13" width="12.6640625" style="596" hidden="1" customWidth="1"/>
    <col min="14" max="14" width="12.6640625" style="575" hidden="1" customWidth="1"/>
    <col min="15" max="17" width="11.109375" style="596" hidden="1" customWidth="1"/>
    <col min="18" max="18" width="10.88671875" style="596" customWidth="1"/>
    <col min="19" max="19" width="12.6640625" style="596" customWidth="1"/>
    <col min="20" max="20" width="13.6640625" style="596" bestFit="1" customWidth="1"/>
    <col min="21" max="21" width="11.44140625" style="596" customWidth="1"/>
    <col min="22" max="22" width="11.33203125" style="596" hidden="1" customWidth="1"/>
    <col min="23" max="23" width="12.33203125" style="596" customWidth="1"/>
    <col min="24" max="24" width="9.6640625" style="596" hidden="1" customWidth="1"/>
    <col min="25" max="25" width="11.109375" style="596" customWidth="1"/>
    <col min="26" max="26" width="14.109375" style="601" hidden="1" customWidth="1"/>
    <col min="27" max="35" width="10.6640625" style="575" hidden="1" customWidth="1"/>
    <col min="36" max="36" width="12.33203125" style="575" hidden="1" customWidth="1"/>
    <col min="37" max="37" width="11.6640625" style="601" customWidth="1"/>
    <col min="38" max="38" width="11.109375" style="601" bestFit="1" customWidth="1"/>
    <col min="39" max="39" width="11.33203125" style="601" customWidth="1"/>
    <col min="40" max="42" width="10.6640625" style="601" customWidth="1"/>
    <col min="43" max="43" width="10.6640625" style="601" hidden="1" customWidth="1"/>
    <col min="44" max="44" width="10.6640625" style="601" customWidth="1"/>
    <col min="45" max="50" width="10.6640625" style="601" hidden="1" customWidth="1"/>
    <col min="51" max="16384" width="9.109375" style="601"/>
  </cols>
  <sheetData>
    <row r="2" spans="1:50" s="574" customFormat="1" ht="22.8">
      <c r="A2" s="208" t="s">
        <v>1098</v>
      </c>
      <c r="B2" s="572"/>
      <c r="C2" s="572"/>
      <c r="D2" s="572"/>
      <c r="E2" s="572"/>
      <c r="F2" s="573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AA2" s="575"/>
      <c r="AB2" s="575"/>
      <c r="AC2" s="575"/>
      <c r="AD2" s="575"/>
      <c r="AE2" s="575"/>
      <c r="AF2" s="575"/>
      <c r="AG2" s="575"/>
      <c r="AH2" s="575"/>
      <c r="AI2" s="575"/>
      <c r="AJ2" s="575"/>
    </row>
    <row r="3" spans="1:50" s="579" customFormat="1" ht="20.100000000000001" customHeight="1">
      <c r="A3" s="576"/>
      <c r="B3" s="577"/>
      <c r="C3" s="578"/>
      <c r="D3" s="578"/>
      <c r="E3" s="578"/>
      <c r="F3" s="578"/>
      <c r="G3" s="578"/>
      <c r="H3" s="578"/>
      <c r="I3" s="578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AA3" s="575"/>
      <c r="AB3" s="575"/>
      <c r="AC3" s="575"/>
      <c r="AD3" s="575"/>
      <c r="AE3" s="575"/>
      <c r="AF3" s="575"/>
      <c r="AG3" s="575"/>
      <c r="AH3" s="575"/>
      <c r="AI3" s="575"/>
      <c r="AJ3" s="575"/>
    </row>
    <row r="4" spans="1:50" s="583" customFormat="1">
      <c r="A4" s="580"/>
      <c r="B4" s="899" t="s">
        <v>78</v>
      </c>
      <c r="C4" s="899"/>
      <c r="D4" s="899"/>
      <c r="E4" s="899"/>
      <c r="F4" s="899"/>
      <c r="G4" s="899"/>
      <c r="H4" s="899"/>
      <c r="I4" s="899"/>
      <c r="J4" s="899"/>
      <c r="K4" s="899"/>
      <c r="L4" s="899"/>
      <c r="M4" s="899"/>
      <c r="N4" s="899"/>
      <c r="O4" s="899"/>
      <c r="P4" s="581"/>
      <c r="Q4" s="581"/>
      <c r="R4" s="906" t="s">
        <v>1581</v>
      </c>
      <c r="S4" s="908"/>
      <c r="T4" s="906" t="s">
        <v>79</v>
      </c>
      <c r="U4" s="907"/>
      <c r="V4" s="907"/>
      <c r="W4" s="907"/>
      <c r="X4" s="907"/>
      <c r="Y4" s="908"/>
      <c r="Z4" s="582" t="s">
        <v>295</v>
      </c>
      <c r="AA4" s="900" t="s">
        <v>198</v>
      </c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2"/>
      <c r="AM4" s="903" t="s">
        <v>1096</v>
      </c>
      <c r="AN4" s="904"/>
      <c r="AO4" s="904"/>
      <c r="AP4" s="904"/>
      <c r="AQ4" s="904"/>
      <c r="AR4" s="905"/>
      <c r="AS4" s="878" t="s">
        <v>1097</v>
      </c>
      <c r="AT4" s="878"/>
      <c r="AU4" s="878"/>
      <c r="AV4" s="878"/>
      <c r="AW4" s="878"/>
      <c r="AX4" s="878"/>
    </row>
    <row r="5" spans="1:50" s="586" customFormat="1" ht="69">
      <c r="A5" s="580" t="s">
        <v>561</v>
      </c>
      <c r="B5" s="580" t="s">
        <v>80</v>
      </c>
      <c r="C5" s="580" t="s">
        <v>4</v>
      </c>
      <c r="D5" s="580" t="s">
        <v>81</v>
      </c>
      <c r="E5" s="545" t="s">
        <v>88</v>
      </c>
      <c r="F5" s="545" t="s">
        <v>7</v>
      </c>
      <c r="G5" s="545" t="s">
        <v>8</v>
      </c>
      <c r="H5" s="545" t="s">
        <v>9</v>
      </c>
      <c r="I5" s="545" t="s">
        <v>10</v>
      </c>
      <c r="J5" s="421" t="s">
        <v>11</v>
      </c>
      <c r="K5" s="421" t="s">
        <v>707</v>
      </c>
      <c r="L5" s="421" t="s">
        <v>708</v>
      </c>
      <c r="M5" s="421" t="s">
        <v>709</v>
      </c>
      <c r="N5" s="421" t="s">
        <v>12</v>
      </c>
      <c r="O5" s="421" t="s">
        <v>710</v>
      </c>
      <c r="P5" s="421" t="s">
        <v>711</v>
      </c>
      <c r="Q5" s="421" t="s">
        <v>712</v>
      </c>
      <c r="R5" s="421" t="s">
        <v>713</v>
      </c>
      <c r="S5" s="421" t="s">
        <v>714</v>
      </c>
      <c r="T5" s="545" t="s">
        <v>13</v>
      </c>
      <c r="U5" s="545" t="s">
        <v>14</v>
      </c>
      <c r="V5" s="545" t="s">
        <v>15</v>
      </c>
      <c r="W5" s="545" t="s">
        <v>214</v>
      </c>
      <c r="X5" s="545" t="s">
        <v>502</v>
      </c>
      <c r="Y5" s="420" t="s">
        <v>75</v>
      </c>
      <c r="Z5" s="584"/>
      <c r="AA5" s="585" t="s">
        <v>1016</v>
      </c>
      <c r="AB5" s="585" t="s">
        <v>1017</v>
      </c>
      <c r="AC5" s="585" t="s">
        <v>1018</v>
      </c>
      <c r="AD5" s="585" t="s">
        <v>1019</v>
      </c>
      <c r="AE5" s="585" t="s">
        <v>1020</v>
      </c>
      <c r="AF5" s="585" t="s">
        <v>1021</v>
      </c>
      <c r="AG5" s="585" t="s">
        <v>1022</v>
      </c>
      <c r="AH5" s="585" t="s">
        <v>1023</v>
      </c>
      <c r="AI5" s="585" t="s">
        <v>1024</v>
      </c>
      <c r="AJ5" s="585" t="s">
        <v>1025</v>
      </c>
      <c r="AK5" s="585" t="s">
        <v>1579</v>
      </c>
      <c r="AL5" s="585" t="s">
        <v>1580</v>
      </c>
      <c r="AM5" s="421" t="s">
        <v>13</v>
      </c>
      <c r="AN5" s="421" t="s">
        <v>14</v>
      </c>
      <c r="AO5" s="421" t="s">
        <v>15</v>
      </c>
      <c r="AP5" s="421" t="s">
        <v>214</v>
      </c>
      <c r="AQ5" s="421" t="s">
        <v>502</v>
      </c>
      <c r="AR5" s="421" t="s">
        <v>75</v>
      </c>
      <c r="AS5" s="421" t="s">
        <v>13</v>
      </c>
      <c r="AT5" s="421" t="s">
        <v>14</v>
      </c>
      <c r="AU5" s="421" t="s">
        <v>15</v>
      </c>
      <c r="AV5" s="421" t="s">
        <v>214</v>
      </c>
      <c r="AW5" s="421" t="s">
        <v>502</v>
      </c>
      <c r="AX5" s="421" t="s">
        <v>75</v>
      </c>
    </row>
    <row r="6" spans="1:50" s="586" customFormat="1">
      <c r="A6" s="580"/>
      <c r="B6" s="580"/>
      <c r="C6" s="580"/>
      <c r="D6" s="580"/>
      <c r="E6" s="580"/>
      <c r="F6" s="545"/>
      <c r="G6" s="545"/>
      <c r="H6" s="545"/>
      <c r="I6" s="545"/>
      <c r="J6" s="587"/>
      <c r="K6" s="421"/>
      <c r="L6" s="580"/>
      <c r="M6" s="580"/>
      <c r="N6" s="587"/>
      <c r="O6" s="545"/>
      <c r="P6" s="545"/>
      <c r="Q6" s="545"/>
      <c r="R6" s="545"/>
      <c r="S6" s="580"/>
      <c r="T6" s="580"/>
      <c r="U6" s="580"/>
      <c r="V6" s="545"/>
      <c r="W6" s="545"/>
      <c r="X6" s="545"/>
      <c r="Y6" s="580"/>
      <c r="Z6" s="584"/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7"/>
      <c r="AL6" s="587"/>
      <c r="AM6" s="587"/>
      <c r="AN6" s="587"/>
      <c r="AO6" s="587"/>
      <c r="AP6" s="587"/>
      <c r="AQ6" s="587"/>
      <c r="AR6" s="587"/>
      <c r="AS6" s="587"/>
      <c r="AT6" s="587"/>
      <c r="AU6" s="587"/>
      <c r="AV6" s="587"/>
      <c r="AW6" s="587"/>
      <c r="AX6" s="587"/>
    </row>
    <row r="7" spans="1:50" s="586" customFormat="1" ht="32.1" customHeight="1">
      <c r="A7" s="421" t="s">
        <v>316</v>
      </c>
      <c r="B7" s="589">
        <f>'תקציב הנדסה 2023 '!D74</f>
        <v>452393075</v>
      </c>
      <c r="C7" s="589">
        <f>'תקציב הנדסה 2023 '!E74</f>
        <v>446899791</v>
      </c>
      <c r="D7" s="589">
        <f>'תקציב הנדסה 2023 '!F74</f>
        <v>5493284</v>
      </c>
      <c r="E7" s="589">
        <f>'תקציב הנדסה 2023 '!G74</f>
        <v>191206071</v>
      </c>
      <c r="F7" s="589">
        <f>'תקציב הנדסה 2023 '!H74</f>
        <v>163008137</v>
      </c>
      <c r="G7" s="589">
        <f>'תקציב הנדסה 2023 '!I74</f>
        <v>3411354</v>
      </c>
      <c r="H7" s="589">
        <f>'תקציב הנדסה 2023 '!J74</f>
        <v>10060371</v>
      </c>
      <c r="I7" s="589">
        <f>'תקציב הנדסה 2023 '!K74</f>
        <v>13471725</v>
      </c>
      <c r="J7" s="589">
        <f>'תקציב הנדסה 2023 '!L74</f>
        <v>176479862</v>
      </c>
      <c r="K7" s="589">
        <f>'תקציב הנדסה 2023 '!M74</f>
        <v>5503493</v>
      </c>
      <c r="L7" s="589">
        <f>'תקציב הנדסה 2023 '!N74</f>
        <v>24560000</v>
      </c>
      <c r="M7" s="589">
        <f>'תקציב הנדסה 2023 '!O74</f>
        <v>245849720</v>
      </c>
      <c r="N7" s="589">
        <f>'תקציב הנדסה 2023 '!P74</f>
        <v>14726209</v>
      </c>
      <c r="O7" s="589">
        <f>'תקציב הנדסה 2023 '!Q74</f>
        <v>560000</v>
      </c>
      <c r="P7" s="589">
        <f>'תקציב הנדסה 2023 '!R74</f>
        <v>0</v>
      </c>
      <c r="Q7" s="589">
        <f>'תקציב הנדסה 2023 '!S74</f>
        <v>560000</v>
      </c>
      <c r="R7" s="589">
        <f>'תקציב הנדסה 2023 '!T74</f>
        <v>9782716</v>
      </c>
      <c r="S7" s="589">
        <f>'תקציב הנדסה 2023 '!U74</f>
        <v>14777284</v>
      </c>
      <c r="T7" s="589">
        <f>'תקציב הנדסה 2023 '!V74</f>
        <v>14973956</v>
      </c>
      <c r="U7" s="589">
        <f>'תקציב הנדסה 2023 '!W74</f>
        <v>0</v>
      </c>
      <c r="V7" s="589">
        <f>'תקציב הנדסה 2023 '!X74</f>
        <v>0</v>
      </c>
      <c r="W7" s="589">
        <f>'תקציב הנדסה 2023 '!Y74</f>
        <v>0</v>
      </c>
      <c r="X7" s="589">
        <f>'תקציב הנדסה 2023 '!Z74</f>
        <v>0</v>
      </c>
      <c r="Y7" s="589">
        <f>'תקציב הנדסה 2023 '!AA74</f>
        <v>-196672</v>
      </c>
      <c r="Z7" s="589">
        <f>'תקציב הנדסה 2023 '!A74</f>
        <v>68</v>
      </c>
      <c r="AA7" s="590">
        <f>'תקציב הנדסה 2023 '!AD74</f>
        <v>260000</v>
      </c>
      <c r="AB7" s="590">
        <f>'תקציב הנדסה 2023 '!AE74</f>
        <v>990000</v>
      </c>
      <c r="AC7" s="590">
        <f>'תקציב הנדסה 2023 '!AF74</f>
        <v>1140000</v>
      </c>
      <c r="AD7" s="590">
        <f>'תקציב הנדסה 2023 '!AG74</f>
        <v>0</v>
      </c>
      <c r="AE7" s="590">
        <f>'תקציב הנדסה 2023 '!AH74</f>
        <v>920000</v>
      </c>
      <c r="AF7" s="590">
        <f>'תקציב הנדסה 2023 '!AI74</f>
        <v>-500000</v>
      </c>
      <c r="AG7" s="590">
        <f>'תקציב הנדסה 2023 '!AJ74</f>
        <v>-82716</v>
      </c>
      <c r="AH7" s="590">
        <f>'תקציב הנדסה 2023 '!AK74</f>
        <v>2300000</v>
      </c>
      <c r="AI7" s="590">
        <f>'תקציב הנדסה 2023 '!AL74</f>
        <v>0</v>
      </c>
      <c r="AJ7" s="590">
        <f>'תקציב הנדסה 2023 '!AM74</f>
        <v>1340000</v>
      </c>
      <c r="AK7" s="590">
        <f>'תקציב הנדסה 2023 '!AN74</f>
        <v>6367284</v>
      </c>
      <c r="AL7" s="590">
        <f>'תקציב הנדסה 2023 '!AO74</f>
        <v>8410000</v>
      </c>
      <c r="AM7" s="590">
        <f>'תקציב הנדסה 2023 '!AP74</f>
        <v>6563956</v>
      </c>
      <c r="AN7" s="590">
        <f>'תקציב הנדסה 2023 '!AQ74</f>
        <v>0</v>
      </c>
      <c r="AO7" s="590">
        <f>'תקציב הנדסה 2023 '!AR74</f>
        <v>0</v>
      </c>
      <c r="AP7" s="590">
        <f>'תקציב הנדסה 2023 '!AS74</f>
        <v>0</v>
      </c>
      <c r="AQ7" s="590">
        <f>'תקציב הנדסה 2023 '!AT74</f>
        <v>0</v>
      </c>
      <c r="AR7" s="590">
        <f>'תקציב הנדסה 2023 '!AU74</f>
        <v>-196672</v>
      </c>
      <c r="AS7" s="590">
        <f>'תקציב הנדסה 2023 '!AV74</f>
        <v>1340000</v>
      </c>
      <c r="AT7" s="590">
        <f>'תקציב הנדסה 2023 '!AW74</f>
        <v>0</v>
      </c>
      <c r="AU7" s="590">
        <f>'תקציב הנדסה 2023 '!AX74</f>
        <v>0</v>
      </c>
      <c r="AV7" s="590">
        <f>'תקציב הנדסה 2023 '!AY74</f>
        <v>0</v>
      </c>
      <c r="AW7" s="590">
        <f>'תקציב הנדסה 2023 '!AZ74</f>
        <v>0</v>
      </c>
      <c r="AX7" s="590">
        <f>'תקציב הנדסה 2023 '!BA74</f>
        <v>0</v>
      </c>
    </row>
    <row r="8" spans="1:50" s="575" customFormat="1" ht="32.1" customHeight="1">
      <c r="A8" s="421" t="s">
        <v>171</v>
      </c>
      <c r="B8" s="590">
        <f>'תקציב החברה לפיתוח 2023 '!D124</f>
        <v>3576267028</v>
      </c>
      <c r="C8" s="590">
        <f>'תקציב החברה לפיתוח 2023 '!E124</f>
        <v>3311894339</v>
      </c>
      <c r="D8" s="590">
        <f>'תקציב החברה לפיתוח 2023 '!F124</f>
        <v>264372689</v>
      </c>
      <c r="E8" s="590">
        <f>'תקציב החברה לפיתוח 2023 '!G124</f>
        <v>1595139611</v>
      </c>
      <c r="F8" s="590">
        <f>'תקציב החברה לפיתוח 2023 '!H124</f>
        <v>1320333529</v>
      </c>
      <c r="G8" s="590">
        <f>'תקציב החברה לפיתוח 2023 '!I124</f>
        <v>7701092</v>
      </c>
      <c r="H8" s="590">
        <f>'תקציב החברה לפיתוח 2023 '!J124</f>
        <v>38242600.210000001</v>
      </c>
      <c r="I8" s="590">
        <f>'תקציב החברה לפיתוח 2023 '!K124</f>
        <v>45943692.210000001</v>
      </c>
      <c r="J8" s="590">
        <f>'תקציב החברה לפיתוח 2023 '!L124</f>
        <v>1366277221.21</v>
      </c>
      <c r="K8" s="590">
        <f>'תקציב החברה לפיתוח 2023 '!M124</f>
        <v>325067412.78999996</v>
      </c>
      <c r="L8" s="590">
        <f>'תקציב החברה לפיתוח 2023 '!N124</f>
        <v>363016816</v>
      </c>
      <c r="M8" s="590">
        <f>'תקציב החברה לפיתוח 2023 '!O124</f>
        <v>1521905578</v>
      </c>
      <c r="N8" s="590">
        <f>'תקציב החברה לפיתוח 2023 '!P124</f>
        <v>228862389.78999999</v>
      </c>
      <c r="O8" s="590">
        <f>'תקציב החברה לפיתוח 2023 '!Q124</f>
        <v>84055023</v>
      </c>
      <c r="P8" s="590">
        <f>'תקציב החברה לפיתוח 2023 '!R124</f>
        <v>26150000</v>
      </c>
      <c r="Q8" s="590">
        <f>'תקציב החברה לפיתוח 2023 '!S124</f>
        <v>110205023</v>
      </c>
      <c r="R8" s="590">
        <f>'תקציב החברה לפיתוח 2023 '!T124</f>
        <v>14000000</v>
      </c>
      <c r="S8" s="590">
        <f>'תקציב החברה לפיתוח 2023 '!U124</f>
        <v>349016816</v>
      </c>
      <c r="T8" s="590">
        <f>'תקציב החברה לפיתוח 2023 '!V124</f>
        <v>244086638</v>
      </c>
      <c r="U8" s="590">
        <f>'תקציב החברה לפיתוח 2023 '!W124</f>
        <v>25030000</v>
      </c>
      <c r="V8" s="590">
        <f>'תקציב החברה לפיתוח 2023 '!X124</f>
        <v>0</v>
      </c>
      <c r="W8" s="590">
        <f>'תקציב החברה לפיתוח 2023 '!Y124</f>
        <v>866000</v>
      </c>
      <c r="X8" s="590">
        <f>'תקציב החברה לפיתוח 2023 '!Z124</f>
        <v>0</v>
      </c>
      <c r="Y8" s="590">
        <f>'תקציב החברה לפיתוח 2023 '!AA124</f>
        <v>79034178</v>
      </c>
      <c r="Z8" s="590">
        <f>'תקציב החברה לפיתוח 2023 '!A124</f>
        <v>114</v>
      </c>
      <c r="AA8" s="590">
        <f>'תקציב החברה לפיתוח 2023 '!AD124</f>
        <v>0</v>
      </c>
      <c r="AB8" s="590">
        <f>'תקציב החברה לפיתוח 2023 '!AE124</f>
        <v>20000000</v>
      </c>
      <c r="AC8" s="590">
        <f>'תקציב החברה לפיתוח 2023 '!AF124</f>
        <v>0</v>
      </c>
      <c r="AD8" s="590">
        <f>'תקציב החברה לפיתוח 2023 '!AG124</f>
        <v>74840048</v>
      </c>
      <c r="AE8" s="590">
        <f>'תקציב החברה לפיתוח 2023 '!AH124</f>
        <v>35679793</v>
      </c>
      <c r="AF8" s="590">
        <f>'תקציב החברה לפיתוח 2023 '!AI124</f>
        <v>2486334</v>
      </c>
      <c r="AG8" s="590">
        <f>'תקציב החברה לפיתוח 2023 '!AJ124</f>
        <v>56713137</v>
      </c>
      <c r="AH8" s="590">
        <f>'תקציב החברה לפיתוח 2023 '!AK124</f>
        <v>25702702</v>
      </c>
      <c r="AI8" s="590">
        <f>'תקציב החברה לפיתוח 2023 '!AL124</f>
        <v>0</v>
      </c>
      <c r="AJ8" s="590">
        <f>'תקציב החברה לפיתוח 2023 '!AM124</f>
        <v>97330155</v>
      </c>
      <c r="AK8" s="590">
        <f>'תקציב החברה לפיתוח 2023 '!AN124</f>
        <v>312752169</v>
      </c>
      <c r="AL8" s="590">
        <f>'תקציב החברה לפיתוח 2023 '!AO124</f>
        <v>36264647</v>
      </c>
      <c r="AM8" s="590">
        <f>'תקציב החברה לפיתוח 2023 '!AP124</f>
        <v>244290827</v>
      </c>
      <c r="AN8" s="590">
        <f>'תקציב החברה לפיתוח 2023 '!AQ124</f>
        <v>25030000</v>
      </c>
      <c r="AO8" s="590">
        <f>'תקציב החברה לפיתוח 2023 '!AR124</f>
        <v>0</v>
      </c>
      <c r="AP8" s="590">
        <f>'תקציב החברה לפיתוח 2023 '!AS124</f>
        <v>866000</v>
      </c>
      <c r="AQ8" s="590">
        <f>'תקציב החברה לפיתוח 2023 '!AT124</f>
        <v>0</v>
      </c>
      <c r="AR8" s="590">
        <f>'תקציב החברה לפיתוח 2023 '!AU124</f>
        <v>42565342</v>
      </c>
      <c r="AS8" s="590">
        <f>'תקציב החברה לפיתוח 2023 '!AV124</f>
        <v>85034773</v>
      </c>
      <c r="AT8" s="590">
        <f>'תקציב החברה לפיתוח 2023 '!AW124</f>
        <v>0</v>
      </c>
      <c r="AU8" s="590">
        <f>'תקציב החברה לפיתוח 2023 '!AX124</f>
        <v>0</v>
      </c>
      <c r="AV8" s="590">
        <f>'תקציב החברה לפיתוח 2023 '!AY124</f>
        <v>0</v>
      </c>
      <c r="AW8" s="590">
        <f>'תקציב החברה לפיתוח 2023 '!AZ124</f>
        <v>0</v>
      </c>
      <c r="AX8" s="590">
        <f>'תקציב החברה לפיתוח 2023 '!BA124</f>
        <v>12295382</v>
      </c>
    </row>
    <row r="9" spans="1:50" s="575" customFormat="1" ht="32.1" customHeight="1">
      <c r="A9" s="421" t="s">
        <v>648</v>
      </c>
      <c r="B9" s="590">
        <f>'תקציב מינהל תפעול 2023 '!D111</f>
        <v>764460976</v>
      </c>
      <c r="C9" s="590">
        <f>'תקציב מינהל תפעול 2023 '!E111</f>
        <v>742170430</v>
      </c>
      <c r="D9" s="590">
        <f>'תקציב מינהל תפעול 2023 '!F111</f>
        <v>22290546</v>
      </c>
      <c r="E9" s="590">
        <f>'תקציב מינהל תפעול 2023 '!G111</f>
        <v>545765720</v>
      </c>
      <c r="F9" s="590">
        <f>'תקציב מינהל תפעול 2023 '!H111</f>
        <v>451317336.09000009</v>
      </c>
      <c r="G9" s="590">
        <f>'תקציב מינהל תפעול 2023 '!I111</f>
        <v>8974344</v>
      </c>
      <c r="H9" s="590">
        <f>'תקציב מינהל תפעול 2023 '!J111</f>
        <v>58078463.219999999</v>
      </c>
      <c r="I9" s="590">
        <f>'תקציב מינהל תפעול 2023 '!K111</f>
        <v>67052807.219999991</v>
      </c>
      <c r="J9" s="590">
        <f>'תקציב מינהל תפעול 2023 '!L111</f>
        <v>518370143.30999988</v>
      </c>
      <c r="K9" s="590">
        <f>'תקציב מינהל תפעול 2023 '!M111</f>
        <v>42431129.690000005</v>
      </c>
      <c r="L9" s="590">
        <f>'תקציב מינהל תפעול 2023 '!N111</f>
        <v>78816000</v>
      </c>
      <c r="M9" s="590">
        <f>'תקציב מינהל תפעול 2023 '!O111</f>
        <v>124843703</v>
      </c>
      <c r="N9" s="590">
        <f>'תקציב מינהל תפעול 2023 '!P111</f>
        <v>27395576.689999998</v>
      </c>
      <c r="O9" s="590">
        <f>'תקציב מינהל תפעול 2023 '!Q111</f>
        <v>10450000</v>
      </c>
      <c r="P9" s="590">
        <f>'תקציב מינהל תפעול 2023 '!R111</f>
        <v>7800553</v>
      </c>
      <c r="Q9" s="590">
        <f>'תקציב מינהל תפעול 2023 '!S111</f>
        <v>18250553</v>
      </c>
      <c r="R9" s="590">
        <f>'תקציב מינהל תפעול 2023 '!T111</f>
        <v>3215000</v>
      </c>
      <c r="S9" s="590">
        <f>'תקציב מינהל תפעול 2023 '!U111</f>
        <v>75601000</v>
      </c>
      <c r="T9" s="590">
        <f>'תקציב מינהל תפעול 2023 '!V111</f>
        <v>-900000</v>
      </c>
      <c r="U9" s="590">
        <f>'תקציב מינהל תפעול 2023 '!W111</f>
        <v>60879061</v>
      </c>
      <c r="V9" s="590">
        <f>'תקציב מינהל תפעול 2023 '!X111</f>
        <v>0</v>
      </c>
      <c r="W9" s="590">
        <f>'תקציב מינהל תפעול 2023 '!Y111</f>
        <v>0</v>
      </c>
      <c r="X9" s="590">
        <f>'תקציב מינהל תפעול 2023 '!Z111</f>
        <v>0</v>
      </c>
      <c r="Y9" s="590">
        <f>'תקציב מינהל תפעול 2023 '!AA111</f>
        <v>15621939</v>
      </c>
      <c r="Z9" s="590">
        <f>'תקציב מינהל תפעול 2023 '!A111</f>
        <v>105</v>
      </c>
      <c r="AA9" s="590">
        <f>'תקציב מינהל תפעול 2023 '!AD111</f>
        <v>8671000</v>
      </c>
      <c r="AB9" s="590">
        <f>'תקציב מינהל תפעול 2023 '!AE111</f>
        <v>7150000</v>
      </c>
      <c r="AC9" s="590">
        <f>'תקציב מינהל תפעול 2023 '!AF111</f>
        <v>13890000</v>
      </c>
      <c r="AD9" s="590">
        <f>'תקציב מינהל תפעול 2023 '!AG111</f>
        <v>2000000</v>
      </c>
      <c r="AE9" s="590">
        <f>'תקציב מינהל תפעול 2023 '!AH111</f>
        <v>17130000</v>
      </c>
      <c r="AF9" s="590">
        <f>'תקציב מינהל תפעול 2023 '!AI111</f>
        <v>1900000</v>
      </c>
      <c r="AG9" s="590">
        <f>'תקציב מינהל תפעול 2023 '!AJ111</f>
        <v>5470000</v>
      </c>
      <c r="AH9" s="590">
        <f>'תקציב מינהל תפעול 2023 '!AK111</f>
        <v>4240000</v>
      </c>
      <c r="AI9" s="590">
        <f>'תקציב מינהל תפעול 2023 '!AL111</f>
        <v>500000</v>
      </c>
      <c r="AJ9" s="590">
        <f>'תקציב מינהל תפעול 2023 '!AM111</f>
        <v>700000</v>
      </c>
      <c r="AK9" s="590">
        <f>'תקציב מינהל תפעול 2023 '!AN111</f>
        <v>61651000</v>
      </c>
      <c r="AL9" s="590">
        <f>'תקציב מינהל תפעול 2023 '!AO111</f>
        <v>13950000</v>
      </c>
      <c r="AM9" s="590">
        <f>'תקציב מינהל תפעול 2023 '!AP111</f>
        <v>-500000</v>
      </c>
      <c r="AN9" s="590">
        <f>'תקציב מינהל תפעול 2023 '!AQ111</f>
        <v>50320000</v>
      </c>
      <c r="AO9" s="590">
        <f>'תקציב מינהל תפעול 2023 '!AR111</f>
        <v>0</v>
      </c>
      <c r="AP9" s="590">
        <f>'תקציב מינהל תפעול 2023 '!AS111</f>
        <v>0</v>
      </c>
      <c r="AQ9" s="590">
        <f>'תקציב מינהל תפעול 2023 '!AT111</f>
        <v>0</v>
      </c>
      <c r="AR9" s="590">
        <f>'תקציב מינהל תפעול 2023 '!AU111</f>
        <v>11831000</v>
      </c>
      <c r="AS9" s="590">
        <f>'תקציב מינהל תפעול 2023 '!AV111</f>
        <v>0</v>
      </c>
      <c r="AT9" s="590">
        <f>'תקציב מינהל תפעול 2023 '!AW111</f>
        <v>700000</v>
      </c>
      <c r="AU9" s="590">
        <f>'תקציב מינהל תפעול 2023 '!AX111</f>
        <v>0</v>
      </c>
      <c r="AV9" s="590">
        <f>'תקציב מינהל תפעול 2023 '!AY111</f>
        <v>0</v>
      </c>
      <c r="AW9" s="590">
        <f>'תקציב מינהל תפעול 2023 '!AZ111</f>
        <v>0</v>
      </c>
      <c r="AX9" s="590">
        <f>'תקציב מינהל תפעול 2023 '!BA111</f>
        <v>0</v>
      </c>
    </row>
    <row r="10" spans="1:50" s="575" customFormat="1" ht="32.1" customHeight="1">
      <c r="A10" s="591" t="s">
        <v>872</v>
      </c>
      <c r="B10" s="590">
        <f>'תקציב מינהל חינוך 2023 '!D24</f>
        <v>46089720</v>
      </c>
      <c r="C10" s="590">
        <f>'תקציב מינהל חינוך 2023 '!E24</f>
        <v>45477720</v>
      </c>
      <c r="D10" s="590">
        <f>'תקציב מינהל חינוך 2023 '!F24</f>
        <v>612000</v>
      </c>
      <c r="E10" s="590">
        <f>'תקציב מינהל חינוך 2023 '!G24</f>
        <v>18947720</v>
      </c>
      <c r="F10" s="590">
        <f>'תקציב מינהל חינוך 2023 '!H24</f>
        <v>12464526.189999999</v>
      </c>
      <c r="G10" s="590">
        <f>'תקציב מינהל חינוך 2023 '!I24</f>
        <v>0</v>
      </c>
      <c r="H10" s="590">
        <f>'תקציב מינהל חינוך 2023 '!J24</f>
        <v>2819019.6500000004</v>
      </c>
      <c r="I10" s="590">
        <f>'תקציב מינהל חינוך 2023 '!K24</f>
        <v>2819019.6500000004</v>
      </c>
      <c r="J10" s="590">
        <f>'תקציב מינהל חינוך 2023 '!L24</f>
        <v>15283545.84</v>
      </c>
      <c r="K10" s="590">
        <f>'תקציב מינהל חינוך 2023 '!M24</f>
        <v>2991337.1599999997</v>
      </c>
      <c r="L10" s="590">
        <f>'תקציב מינהל חינוך 2023 '!N24</f>
        <v>3600000</v>
      </c>
      <c r="M10" s="590">
        <f>'תקציב מינהל חינוך 2023 '!O24</f>
        <v>24214837</v>
      </c>
      <c r="N10" s="590">
        <f>'תקציב מינהל חינוך 2023 '!P24</f>
        <v>3664174.1599999997</v>
      </c>
      <c r="O10" s="590">
        <f>'תקציב מינהל חינוך 2023 '!Q24</f>
        <v>210000</v>
      </c>
      <c r="P10" s="590">
        <f>'תקציב מינהל חינוך 2023 '!R24</f>
        <v>0</v>
      </c>
      <c r="Q10" s="590">
        <f>'תקציב מינהל חינוך 2023 '!S24</f>
        <v>210000</v>
      </c>
      <c r="R10" s="590">
        <f>'תקציב מינהל חינוך 2023 '!T24</f>
        <v>882837</v>
      </c>
      <c r="S10" s="590">
        <f>'תקציב מינהל חינוך 2023 '!U24</f>
        <v>2717163</v>
      </c>
      <c r="T10" s="590">
        <f>'תקציב מינהל חינוך 2023 '!V24</f>
        <v>0</v>
      </c>
      <c r="U10" s="590">
        <f>'תקציב מינהל חינוך 2023 '!W24</f>
        <v>2562000</v>
      </c>
      <c r="V10" s="590">
        <f>'תקציב מינהל חינוך 2023 '!X24</f>
        <v>0</v>
      </c>
      <c r="W10" s="590">
        <f>'תקציב מינהל חינוך 2023 '!Y24</f>
        <v>0</v>
      </c>
      <c r="X10" s="590">
        <f>'תקציב מינהל חינוך 2023 '!Z24</f>
        <v>0</v>
      </c>
      <c r="Y10" s="590">
        <f>'תקציב מינהל חינוך 2023 '!AA24</f>
        <v>155163</v>
      </c>
      <c r="Z10" s="590">
        <f>'תקציב מינהל חינוך 2023 '!A24</f>
        <v>18</v>
      </c>
      <c r="AA10" s="590">
        <f>'תקציב מינהל חינוך 2023 '!AD24</f>
        <v>0</v>
      </c>
      <c r="AB10" s="590">
        <f>'תקציב מינהל חינוך 2023 '!AE24</f>
        <v>40000</v>
      </c>
      <c r="AC10" s="590">
        <f>'תקציב מינהל חינוך 2023 '!AF24</f>
        <v>0</v>
      </c>
      <c r="AD10" s="590">
        <f>'תקציב מינהל חינוך 2023 '!AG24</f>
        <v>0</v>
      </c>
      <c r="AE10" s="590">
        <f>'תקציב מינהל חינוך 2023 '!AH24</f>
        <v>400000</v>
      </c>
      <c r="AF10" s="590">
        <f>'תקציב מינהל חינוך 2023 '!AI24</f>
        <v>822000</v>
      </c>
      <c r="AG10" s="590">
        <f>'תקציב מינהל חינוך 2023 '!AJ24</f>
        <v>300000</v>
      </c>
      <c r="AH10" s="590">
        <f>'תקציב מינהל חינוך 2023 '!AK24</f>
        <v>0</v>
      </c>
      <c r="AI10" s="590">
        <f>'תקציב מינהל חינוך 2023 '!AL24</f>
        <v>0</v>
      </c>
      <c r="AJ10" s="590">
        <f>'תקציב מינהל חינוך 2023 '!AM24</f>
        <v>-100000</v>
      </c>
      <c r="AK10" s="590">
        <f>'תקציב מינהל חינוך 2023 '!AN24</f>
        <v>1462000</v>
      </c>
      <c r="AL10" s="590">
        <f>'תקציב מינהל חינוך 2023 '!AO24</f>
        <v>1255163</v>
      </c>
      <c r="AM10" s="590">
        <f>'תקציב מינהל חינוך 2023 '!AP24</f>
        <v>0</v>
      </c>
      <c r="AN10" s="590">
        <f>'תקציב מינהל חינוך 2023 '!AQ24</f>
        <v>1562000</v>
      </c>
      <c r="AO10" s="590">
        <f>'תקציב מינהל חינוך 2023 '!AR24</f>
        <v>0</v>
      </c>
      <c r="AP10" s="590">
        <f>'תקציב מינהל חינוך 2023 '!AS24</f>
        <v>0</v>
      </c>
      <c r="AQ10" s="590">
        <f>'תקציב מינהל חינוך 2023 '!AT24</f>
        <v>0</v>
      </c>
      <c r="AR10" s="590">
        <f>'תקציב מינהל חינוך 2023 '!AU24</f>
        <v>-100000</v>
      </c>
      <c r="AS10" s="590">
        <f>'תקציב מינהל חינוך 2023 '!AV24</f>
        <v>0</v>
      </c>
      <c r="AT10" s="590">
        <f>'תקציב מינהל חינוך 2023 '!AW24</f>
        <v>0</v>
      </c>
      <c r="AU10" s="590">
        <f>'תקציב מינהל חינוך 2023 '!AX24</f>
        <v>0</v>
      </c>
      <c r="AV10" s="590">
        <f>'תקציב מינהל חינוך 2023 '!AY24</f>
        <v>0</v>
      </c>
      <c r="AW10" s="590">
        <f>'תקציב מינהל חינוך 2023 '!AZ24</f>
        <v>0</v>
      </c>
      <c r="AX10" s="590">
        <f>'תקציב מינהל חינוך 2023 '!BA24</f>
        <v>-100000</v>
      </c>
    </row>
    <row r="11" spans="1:50" s="575" customFormat="1" ht="32.1" customHeight="1">
      <c r="A11" s="591" t="s">
        <v>292</v>
      </c>
      <c r="B11" s="590">
        <f>'תקציב אגף תנוס 2023 '!D16</f>
        <v>23908365</v>
      </c>
      <c r="C11" s="590">
        <f>'תקציב אגף תנוס 2023 '!E16</f>
        <v>21311365</v>
      </c>
      <c r="D11" s="590">
        <f>'תקציב אגף תנוס 2023 '!F16</f>
        <v>2597000</v>
      </c>
      <c r="E11" s="590">
        <f>'תקציב אגף תנוס 2023 '!G16</f>
        <v>18255365</v>
      </c>
      <c r="F11" s="590">
        <f>'תקציב אגף תנוס 2023 '!H16</f>
        <v>16004642</v>
      </c>
      <c r="G11" s="590">
        <f>'תקציב אגף תנוס 2023 '!I16</f>
        <v>0</v>
      </c>
      <c r="H11" s="590">
        <f>'תקציב אגף תנוס 2023 '!J16</f>
        <v>1497947</v>
      </c>
      <c r="I11" s="590">
        <f>'תקציב אגף תנוס 2023 '!K16</f>
        <v>1497947</v>
      </c>
      <c r="J11" s="590">
        <f>'תקציב אגף תנוס 2023 '!L16</f>
        <v>17502589</v>
      </c>
      <c r="K11" s="590">
        <f>'תקציב אגף תנוס 2023 '!M16</f>
        <v>1667776</v>
      </c>
      <c r="L11" s="590">
        <f>'תקציב אגף תנוס 2023 '!N16</f>
        <v>3117000</v>
      </c>
      <c r="M11" s="590">
        <f>'תקציב אגף תנוס 2023 '!O16</f>
        <v>1621000</v>
      </c>
      <c r="N11" s="590">
        <f>'תקציב אגף תנוס 2023 '!P16</f>
        <v>752776</v>
      </c>
      <c r="O11" s="590">
        <f>'תקציב אגף תנוס 2023 '!Q16</f>
        <v>700000</v>
      </c>
      <c r="P11" s="590">
        <f>'תקציב אגף תנוס 2023 '!R16</f>
        <v>215000</v>
      </c>
      <c r="Q11" s="590">
        <f>'תקציב אגף תנוס 2023 '!S16</f>
        <v>915000</v>
      </c>
      <c r="R11" s="590">
        <f>'תקציב אגף תנוס 2023 '!T16</f>
        <v>0</v>
      </c>
      <c r="S11" s="590">
        <f>'תקציב אגף תנוס 2023 '!U16</f>
        <v>3117000</v>
      </c>
      <c r="T11" s="590">
        <f>'תקציב אגף תנוס 2023 '!V16</f>
        <v>0</v>
      </c>
      <c r="U11" s="590">
        <f>'תקציב אגף תנוס 2023 '!W16</f>
        <v>3117000</v>
      </c>
      <c r="V11" s="590">
        <f>'תקציב אגף תנוס 2023 '!X16</f>
        <v>0</v>
      </c>
      <c r="W11" s="590">
        <f>'תקציב אגף תנוס 2023 '!Y16</f>
        <v>0</v>
      </c>
      <c r="X11" s="590">
        <f>'תקציב אגף תנוס 2023 '!Z16</f>
        <v>0</v>
      </c>
      <c r="Y11" s="590">
        <f>'תקציב אגף תנוס 2023 '!AA16</f>
        <v>0</v>
      </c>
      <c r="Z11" s="590">
        <f>'תקציב אגף תנוס 2023 '!A16</f>
        <v>10</v>
      </c>
      <c r="AA11" s="590">
        <f>'תקציב אגף תנוס 2023 '!AD16</f>
        <v>0</v>
      </c>
      <c r="AB11" s="590">
        <f>'תקציב אגף תנוס 2023 '!AE16</f>
        <v>727000</v>
      </c>
      <c r="AC11" s="590">
        <f>'תקציב אגף תנוס 2023 '!AF16</f>
        <v>233000</v>
      </c>
      <c r="AD11" s="590">
        <f>'תקציב אגף תנוס 2023 '!AG16</f>
        <v>600000</v>
      </c>
      <c r="AE11" s="590">
        <f>'תקציב אגף תנוס 2023 '!AH16</f>
        <v>275000</v>
      </c>
      <c r="AF11" s="590">
        <f>'תקציב אגף תנוס 2023 '!AI16</f>
        <v>0</v>
      </c>
      <c r="AG11" s="590">
        <f>'תקציב אגף תנוס 2023 '!AJ16</f>
        <v>400000</v>
      </c>
      <c r="AH11" s="590">
        <f>'תקציב אגף תנוס 2023 '!AK16</f>
        <v>442000</v>
      </c>
      <c r="AI11" s="590">
        <f>'תקציב אגף תנוס 2023 '!AL16</f>
        <v>0</v>
      </c>
      <c r="AJ11" s="590">
        <f>'תקציב אגף תנוס 2023 '!AM16</f>
        <v>170000</v>
      </c>
      <c r="AK11" s="590">
        <f>'תקציב אגף תנוס 2023 '!AN16</f>
        <v>2847000</v>
      </c>
      <c r="AL11" s="590">
        <f>'תקציב אגף תנוס 2023 '!AO16</f>
        <v>270000</v>
      </c>
      <c r="AM11" s="590">
        <f>'תקציב אגף תנוס 2023 '!AP16</f>
        <v>0</v>
      </c>
      <c r="AN11" s="590">
        <f>'תקציב אגף תנוס 2023 '!AQ16</f>
        <v>2847000</v>
      </c>
      <c r="AO11" s="590">
        <f>'תקציב אגף תנוס 2023 '!AR16</f>
        <v>0</v>
      </c>
      <c r="AP11" s="590">
        <f>'תקציב אגף תנוס 2023 '!AS16</f>
        <v>0</v>
      </c>
      <c r="AQ11" s="590">
        <f>'תקציב אגף תנוס 2023 '!AT16</f>
        <v>0</v>
      </c>
      <c r="AR11" s="590">
        <f>'תקציב אגף תנוס 2023 '!AU16</f>
        <v>0</v>
      </c>
      <c r="AS11" s="590">
        <f>'תקציב אגף תנוס 2023 '!AV16</f>
        <v>0</v>
      </c>
      <c r="AT11" s="590">
        <f>'תקציב אגף תנוס 2023 '!AW16</f>
        <v>170000</v>
      </c>
      <c r="AU11" s="590">
        <f>'תקציב אגף תנוס 2023 '!AX16</f>
        <v>0</v>
      </c>
      <c r="AV11" s="590">
        <f>'תקציב אגף תנוס 2023 '!AY16</f>
        <v>0</v>
      </c>
      <c r="AW11" s="590">
        <f>'תקציב אגף תנוס 2023 '!AZ16</f>
        <v>0</v>
      </c>
      <c r="AX11" s="590">
        <f>'תקציב אגף תנוס 2023 '!BA16</f>
        <v>0</v>
      </c>
    </row>
    <row r="12" spans="1:50" s="575" customFormat="1" ht="32.1" customHeight="1">
      <c r="A12" s="421" t="s">
        <v>83</v>
      </c>
      <c r="B12" s="590">
        <f>'תקציב החברה לתירות 2023 '!D8</f>
        <v>9063000</v>
      </c>
      <c r="C12" s="590">
        <f>'תקציב החברה לתירות 2023 '!E8</f>
        <v>10013000</v>
      </c>
      <c r="D12" s="590">
        <f>'תקציב החברה לתירות 2023 '!F8</f>
        <v>-950000</v>
      </c>
      <c r="E12" s="590">
        <f>'תקציב החברה לתירות 2023 '!G8</f>
        <v>4021068</v>
      </c>
      <c r="F12" s="590">
        <f>'תקציב החברה לתירות 2023 '!H8</f>
        <v>3809740</v>
      </c>
      <c r="G12" s="590">
        <f>'תקציב החברה לתירות 2023 '!I8</f>
        <v>0</v>
      </c>
      <c r="H12" s="590">
        <f>'תקציב החברה לתירות 2023 '!J8</f>
        <v>0</v>
      </c>
      <c r="I12" s="590">
        <f>'תקציב החברה לתירות 2023 '!K8</f>
        <v>0</v>
      </c>
      <c r="J12" s="590">
        <f>'תקציב החברה לתירות 2023 '!L8</f>
        <v>3809740</v>
      </c>
      <c r="K12" s="590">
        <f>'תקציב החברה לתירות 2023 '!M8</f>
        <v>211328</v>
      </c>
      <c r="L12" s="590">
        <f>'תקציב החברה לתירות 2023 '!N8</f>
        <v>1600000</v>
      </c>
      <c r="M12" s="590">
        <f>'תקציב החברה לתירות 2023 '!O8</f>
        <v>3441932</v>
      </c>
      <c r="N12" s="590">
        <f>'תקציב החברה לתירות 2023 '!P8</f>
        <v>211328</v>
      </c>
      <c r="O12" s="590">
        <f>'תקציב החברה לתירות 2023 '!Q8</f>
        <v>0</v>
      </c>
      <c r="P12" s="590">
        <f>'תקציב החברה לתירות 2023 '!R8</f>
        <v>0</v>
      </c>
      <c r="Q12" s="590">
        <f>'תקציב החברה לתירות 2023 '!S8</f>
        <v>0</v>
      </c>
      <c r="R12" s="590">
        <f>'תקציב החברה לתירות 2023 '!T8</f>
        <v>0</v>
      </c>
      <c r="S12" s="590">
        <f>'תקציב החברה לתירות 2023 '!U8</f>
        <v>1600000</v>
      </c>
      <c r="T12" s="590">
        <f>'תקציב החברה לתירות 2023 '!V8</f>
        <v>859101</v>
      </c>
      <c r="U12" s="590">
        <f>'תקציב החברה לתירות 2023 '!W8</f>
        <v>0</v>
      </c>
      <c r="V12" s="590">
        <f>'תקציב החברה לתירות 2023 '!X8</f>
        <v>0</v>
      </c>
      <c r="W12" s="590">
        <f>'תקציב החברה לתירות 2023 '!Y8</f>
        <v>0</v>
      </c>
      <c r="X12" s="590">
        <f>'תקציב החברה לתירות 2023 '!Z8</f>
        <v>0</v>
      </c>
      <c r="Y12" s="590">
        <f>'תקציב החברה לתירות 2023 '!AA8</f>
        <v>740899</v>
      </c>
      <c r="Z12" s="590">
        <f>'תקציב החברה לתירות 2023 '!A8</f>
        <v>2</v>
      </c>
      <c r="AA12" s="590">
        <f>'תקציב החברה לתירות 2023 '!AD8</f>
        <v>0</v>
      </c>
      <c r="AB12" s="590">
        <f>'תקציב החברה לתירות 2023 '!AE8</f>
        <v>0</v>
      </c>
      <c r="AC12" s="590">
        <f>'תקציב החברה לתירות 2023 '!AF8</f>
        <v>859101</v>
      </c>
      <c r="AD12" s="590">
        <f>'תקציב החברה לתירות 2023 '!AG8</f>
        <v>0</v>
      </c>
      <c r="AE12" s="590">
        <f>'תקציב החברה לתירות 2023 '!AH8</f>
        <v>0</v>
      </c>
      <c r="AF12" s="590">
        <f>'תקציב החברה לתירות 2023 '!AI8</f>
        <v>377113</v>
      </c>
      <c r="AG12" s="590">
        <f>'תקציב החברה לתירות 2023 '!AJ8</f>
        <v>0</v>
      </c>
      <c r="AH12" s="590">
        <f>'תקציב החברה לתירות 2023 '!AK8</f>
        <v>0</v>
      </c>
      <c r="AI12" s="590">
        <f>'תקציב החברה לתירות 2023 '!AL8</f>
        <v>0</v>
      </c>
      <c r="AJ12" s="590">
        <f>'תקציב החברה לתירות 2023 '!AM8</f>
        <v>0</v>
      </c>
      <c r="AK12" s="590">
        <f>'תקציב החברה לתירות 2023 '!AN8</f>
        <v>1236214</v>
      </c>
      <c r="AL12" s="590">
        <f>'תקציב החברה לתירות 2023 '!AO8</f>
        <v>363786</v>
      </c>
      <c r="AM12" s="590">
        <f>'תקציב החברה לתירות 2023 '!AP8</f>
        <v>859101</v>
      </c>
      <c r="AN12" s="590">
        <f>'תקציב החברה לתירות 2023 '!AQ8</f>
        <v>0</v>
      </c>
      <c r="AO12" s="590">
        <f>'תקציב החברה לתירות 2023 '!AR8</f>
        <v>0</v>
      </c>
      <c r="AP12" s="590">
        <f>'תקציב החברה לתירות 2023 '!AS8</f>
        <v>0</v>
      </c>
      <c r="AQ12" s="590">
        <f>'תקציב החברה לתירות 2023 '!AT8</f>
        <v>0</v>
      </c>
      <c r="AR12" s="590">
        <f>'תקציב החברה לתירות 2023 '!AU8</f>
        <v>377113</v>
      </c>
      <c r="AS12" s="590">
        <f>'תקציב החברה לתירות 2023 '!AV8</f>
        <v>0</v>
      </c>
      <c r="AT12" s="590">
        <f>'תקציב החברה לתירות 2023 '!AW8</f>
        <v>0</v>
      </c>
      <c r="AU12" s="590">
        <f>'תקציב החברה לתירות 2023 '!AX8</f>
        <v>0</v>
      </c>
      <c r="AV12" s="590">
        <f>'תקציב החברה לתירות 2023 '!AY8</f>
        <v>0</v>
      </c>
      <c r="AW12" s="590">
        <f>'תקציב החברה לתירות 2023 '!AZ8</f>
        <v>0</v>
      </c>
      <c r="AX12" s="590">
        <f>'תקציב החברה לתירות 2023 '!BA8</f>
        <v>0</v>
      </c>
    </row>
    <row r="13" spans="1:50" s="575" customFormat="1" ht="32.1" customHeight="1">
      <c r="A13" s="421" t="s">
        <v>356</v>
      </c>
      <c r="B13" s="590">
        <f>'תקציב אגף המיחשוב 2023 '!D18</f>
        <v>76788000</v>
      </c>
      <c r="C13" s="590">
        <f>'תקציב אגף המיחשוב 2023 '!E18</f>
        <v>74318000</v>
      </c>
      <c r="D13" s="590">
        <f>'תקציב אגף המיחשוב 2023 '!F18</f>
        <v>2470000</v>
      </c>
      <c r="E13" s="590">
        <f>'תקציב אגף המיחשוב 2023 '!G18</f>
        <v>53591000</v>
      </c>
      <c r="F13" s="590">
        <f>'תקציב אגף המיחשוב 2023 '!H18</f>
        <v>40336972</v>
      </c>
      <c r="G13" s="590">
        <f>'תקציב אגף המיחשוב 2023 '!I18</f>
        <v>30900</v>
      </c>
      <c r="H13" s="590">
        <f>'תקציב אגף המיחשוב 2023 '!J18</f>
        <v>10165219</v>
      </c>
      <c r="I13" s="590">
        <f>'תקציב אגף המיחשוב 2023 '!K18</f>
        <v>10196119</v>
      </c>
      <c r="J13" s="590">
        <f>'תקציב אגף המיחשוב 2023 '!L18</f>
        <v>50533091</v>
      </c>
      <c r="K13" s="590">
        <f>'תקציב אגף המיחשוב 2023 '!M18</f>
        <v>6287909</v>
      </c>
      <c r="L13" s="590">
        <f>'תקציב אגף המיחשוב 2023 '!N18</f>
        <v>14386000</v>
      </c>
      <c r="M13" s="590">
        <f>'תקציב אגף המיחשוב 2023 '!O18</f>
        <v>5581000</v>
      </c>
      <c r="N13" s="590">
        <f>'תקציב אגף המיחשוב 2023 '!P18</f>
        <v>3057909</v>
      </c>
      <c r="O13" s="590">
        <f>'תקציב אגף המיחשוב 2023 '!Q18</f>
        <v>2450000</v>
      </c>
      <c r="P13" s="590">
        <f>'תקציב אגף המיחשוב 2023 '!R18</f>
        <v>1000000</v>
      </c>
      <c r="Q13" s="590">
        <f>'תקציב אגף המיחשוב 2023 '!S18</f>
        <v>3450000</v>
      </c>
      <c r="R13" s="590">
        <f>'תקציב אגף המיחשוב 2023 '!T18</f>
        <v>220000</v>
      </c>
      <c r="S13" s="590">
        <f>'תקציב אגף המיחשוב 2023 '!U18</f>
        <v>14166000</v>
      </c>
      <c r="T13" s="590">
        <f>'תקציב אגף המיחשוב 2023 '!V18</f>
        <v>0</v>
      </c>
      <c r="U13" s="590">
        <f>'תקציב אגף המיחשוב 2023 '!W18</f>
        <v>13166000</v>
      </c>
      <c r="V13" s="590">
        <f>'תקציב אגף המיחשוב 2023 '!X18</f>
        <v>0</v>
      </c>
      <c r="W13" s="590">
        <f>'תקציב אגף המיחשוב 2023 '!Y18</f>
        <v>0</v>
      </c>
      <c r="X13" s="590">
        <f>'תקציב אגף המיחשוב 2023 '!Z18</f>
        <v>0</v>
      </c>
      <c r="Y13" s="590">
        <f>'תקציב אגף המיחשוב 2023 '!AA18</f>
        <v>1000000</v>
      </c>
      <c r="Z13" s="590">
        <f>'תקציב אגף המיחשוב 2023 '!A18</f>
        <v>12</v>
      </c>
      <c r="AA13" s="590">
        <f>'תקציב אגף המיחשוב 2023 '!AD18</f>
        <v>100000</v>
      </c>
      <c r="AB13" s="590">
        <f>'תקציב אגף המיחשוב 2023 '!AE18</f>
        <v>3700000</v>
      </c>
      <c r="AC13" s="590">
        <f>'תקציב אגף המיחשוב 2023 '!AF18</f>
        <v>460000</v>
      </c>
      <c r="AD13" s="590">
        <f>'תקציב אגף המיחשוב 2023 '!AG18</f>
        <v>0</v>
      </c>
      <c r="AE13" s="590">
        <f>'תקציב אגף המיחשוב 2023 '!AH18</f>
        <v>0</v>
      </c>
      <c r="AF13" s="590">
        <f>'תקציב אגף המיחשוב 2023 '!AI18</f>
        <v>6400000</v>
      </c>
      <c r="AG13" s="590">
        <f>'תקציב אגף המיחשוב 2023 '!AJ18</f>
        <v>500000</v>
      </c>
      <c r="AH13" s="590">
        <f>'תקציב אגף המיחשוב 2023 '!AK18</f>
        <v>0</v>
      </c>
      <c r="AI13" s="590">
        <f>'תקציב אגף המיחשוב 2023 '!AL18</f>
        <v>0</v>
      </c>
      <c r="AJ13" s="590">
        <f>'תקציב אגף המיחשוב 2023 '!AM18</f>
        <v>1000000</v>
      </c>
      <c r="AK13" s="590">
        <f>'תקציב אגף המיחשוב 2023 '!AN18</f>
        <v>12160000</v>
      </c>
      <c r="AL13" s="590">
        <f>'תקציב אגף המיחשוב 2023 '!AO18</f>
        <v>2006000</v>
      </c>
      <c r="AM13" s="590">
        <f>'תקציב אגף המיחשוב 2023 '!AP18</f>
        <v>0</v>
      </c>
      <c r="AN13" s="590">
        <f>'תקציב אגף המיחשוב 2023 '!AQ18</f>
        <v>11160000</v>
      </c>
      <c r="AO13" s="590">
        <f>'תקציב אגף המיחשוב 2023 '!AR18</f>
        <v>0</v>
      </c>
      <c r="AP13" s="590">
        <f>'תקציב אגף המיחשוב 2023 '!AS18</f>
        <v>0</v>
      </c>
      <c r="AQ13" s="590">
        <f>'תקציב אגף המיחשוב 2023 '!AT18</f>
        <v>0</v>
      </c>
      <c r="AR13" s="590">
        <f>'תקציב אגף המיחשוב 2023 '!AU18</f>
        <v>1000000</v>
      </c>
      <c r="AS13" s="590">
        <f>'תקציב אגף המיחשוב 2023 '!AV18</f>
        <v>0</v>
      </c>
      <c r="AT13" s="590">
        <f>'תקציב אגף המיחשוב 2023 '!AW18</f>
        <v>0</v>
      </c>
      <c r="AU13" s="590">
        <f>'תקציב אגף המיחשוב 2023 '!AX18</f>
        <v>0</v>
      </c>
      <c r="AV13" s="590">
        <f>'תקציב אגף המיחשוב 2023 '!AY18</f>
        <v>0</v>
      </c>
      <c r="AW13" s="590">
        <f>'תקציב אגף המיחשוב 2023 '!AZ18</f>
        <v>0</v>
      </c>
      <c r="AX13" s="590">
        <f>'תקציב אגף המיחשוב 2023 '!BA18</f>
        <v>1000000</v>
      </c>
    </row>
    <row r="14" spans="1:50" s="575" customFormat="1" ht="32.1" customHeight="1">
      <c r="A14" s="421" t="s">
        <v>355</v>
      </c>
      <c r="B14" s="590">
        <f>'תקציב אגף נכסים וביטוח 2023'!D18</f>
        <v>121909000</v>
      </c>
      <c r="C14" s="590">
        <f>'תקציב אגף נכסים וביטוח 2023'!E18</f>
        <v>121909000</v>
      </c>
      <c r="D14" s="590">
        <f>'תקציב אגף נכסים וביטוח 2023'!F18</f>
        <v>0</v>
      </c>
      <c r="E14" s="590">
        <f>'תקציב אגף נכסים וביטוח 2023'!G18</f>
        <v>57501825</v>
      </c>
      <c r="F14" s="590">
        <f>'תקציב אגף נכסים וביטוח 2023'!H18</f>
        <v>41310164</v>
      </c>
      <c r="G14" s="590">
        <f>'תקציב אגף נכסים וביטוח 2023'!I18</f>
        <v>280567</v>
      </c>
      <c r="H14" s="590">
        <f>'תקציב אגף נכסים וביטוח 2023'!J18</f>
        <v>589240</v>
      </c>
      <c r="I14" s="590">
        <f>'תקציב אגף נכסים וביטוח 2023'!K18</f>
        <v>869807</v>
      </c>
      <c r="J14" s="590">
        <f>'תקציב אגף נכסים וביטוח 2023'!L18</f>
        <v>42179971</v>
      </c>
      <c r="K14" s="590">
        <f>'תקציב אגף נכסים וביטוח 2023'!M18</f>
        <v>3551854</v>
      </c>
      <c r="L14" s="590">
        <f>'תקציב אגף נכסים וביטוח 2023'!N18</f>
        <v>13060000</v>
      </c>
      <c r="M14" s="590">
        <f>'תקציב אגף נכסים וביטוח 2023'!O18</f>
        <v>63117175</v>
      </c>
      <c r="N14" s="590">
        <f>'תקציב אגף נכסים וביטוח 2023'!P18</f>
        <v>15321854</v>
      </c>
      <c r="O14" s="590">
        <f>'תקציב אגף נכסים וביטוח 2023'!Q18</f>
        <v>990000</v>
      </c>
      <c r="P14" s="590">
        <f>'תקציב אגף נכסים וביטוח 2023'!R18</f>
        <v>0</v>
      </c>
      <c r="Q14" s="590">
        <f>'תקציב אגף נכסים וביטוח 2023'!S18</f>
        <v>990000</v>
      </c>
      <c r="R14" s="590">
        <f>'תקציב אגף נכסים וביטוח 2023'!T18</f>
        <v>12760000</v>
      </c>
      <c r="S14" s="590">
        <f>'תקציב אגף נכסים וביטוח 2023'!U18</f>
        <v>300000</v>
      </c>
      <c r="T14" s="590">
        <f>'תקציב אגף נכסים וביטוח 2023'!V18</f>
        <v>300000</v>
      </c>
      <c r="U14" s="590">
        <f>'תקציב אגף נכסים וביטוח 2023'!W18</f>
        <v>0</v>
      </c>
      <c r="V14" s="590">
        <f>'תקציב אגף נכסים וביטוח 2023'!X18</f>
        <v>0</v>
      </c>
      <c r="W14" s="590">
        <f>'תקציב אגף נכסים וביטוח 2023'!Y18</f>
        <v>0</v>
      </c>
      <c r="X14" s="590">
        <f>'תקציב אגף נכסים וביטוח 2023'!Z18</f>
        <v>0</v>
      </c>
      <c r="Y14" s="590">
        <f>'תקציב אגף נכסים וביטוח 2023'!AA18</f>
        <v>0</v>
      </c>
      <c r="Z14" s="590">
        <f>'תקציב אגף נכסים וביטוח 2023'!A18</f>
        <v>12</v>
      </c>
      <c r="AA14" s="590">
        <f>'תקציב אגף נכסים וביטוח 2023'!AD18</f>
        <v>0</v>
      </c>
      <c r="AB14" s="590">
        <f>'תקציב אגף נכסים וביטוח 2023'!AE18</f>
        <v>0</v>
      </c>
      <c r="AC14" s="590">
        <f>'תקציב אגף נכסים וביטוח 2023'!AF18</f>
        <v>0</v>
      </c>
      <c r="AD14" s="590">
        <f>'תקציב אגף נכסים וביטוח 2023'!AG18</f>
        <v>0</v>
      </c>
      <c r="AE14" s="590">
        <f>'תקציב אגף נכסים וביטוח 2023'!AH18</f>
        <v>0</v>
      </c>
      <c r="AF14" s="590">
        <f>'תקציב אגף נכסים וביטוח 2023'!AI18</f>
        <v>0</v>
      </c>
      <c r="AG14" s="590">
        <f>'תקציב אגף נכסים וביטוח 2023'!AJ18</f>
        <v>0</v>
      </c>
      <c r="AH14" s="590">
        <f>'תקציב אגף נכסים וביטוח 2023'!AK18</f>
        <v>0</v>
      </c>
      <c r="AI14" s="590">
        <f>'תקציב אגף נכסים וביטוח 2023'!AL18</f>
        <v>0</v>
      </c>
      <c r="AJ14" s="590">
        <f>'תקציב אגף נכסים וביטוח 2023'!AM18</f>
        <v>0</v>
      </c>
      <c r="AK14" s="590">
        <f>'תקציב אגף נכסים וביטוח 2023'!AN18</f>
        <v>0</v>
      </c>
      <c r="AL14" s="590">
        <f>'תקציב אגף נכסים וביטוח 2023'!AO18</f>
        <v>300000</v>
      </c>
      <c r="AM14" s="590">
        <f>'תקציב אגף נכסים וביטוח 2023'!AP18</f>
        <v>0</v>
      </c>
      <c r="AN14" s="590">
        <f>'תקציב אגף נכסים וביטוח 2023'!AQ18</f>
        <v>0</v>
      </c>
      <c r="AO14" s="590">
        <f>'תקציב אגף נכסים וביטוח 2023'!AR18</f>
        <v>0</v>
      </c>
      <c r="AP14" s="590">
        <f>'תקציב אגף נכסים וביטוח 2023'!AS18</f>
        <v>0</v>
      </c>
      <c r="AQ14" s="590">
        <f>'תקציב אגף נכסים וביטוח 2023'!AT18</f>
        <v>0</v>
      </c>
      <c r="AR14" s="590">
        <f>'תקציב אגף נכסים וביטוח 2023'!AU18</f>
        <v>0</v>
      </c>
      <c r="AS14" s="590">
        <f>'תקציב אגף נכסים וביטוח 2023'!AV18</f>
        <v>0</v>
      </c>
      <c r="AT14" s="590">
        <f>'תקציב אגף נכסים וביטוח 2023'!AW18</f>
        <v>0</v>
      </c>
      <c r="AU14" s="590">
        <f>'תקציב אגף נכסים וביטוח 2023'!AX18</f>
        <v>0</v>
      </c>
      <c r="AV14" s="590">
        <f>'תקציב אגף נכסים וביטוח 2023'!AY18</f>
        <v>0</v>
      </c>
      <c r="AW14" s="590">
        <f>'תקציב אגף נכסים וביטוח 2023'!AZ18</f>
        <v>0</v>
      </c>
      <c r="AX14" s="590">
        <f>'תקציב אגף נכסים וביטוח 2023'!BA18</f>
        <v>0</v>
      </c>
    </row>
    <row r="15" spans="1:50" s="575" customFormat="1" ht="32.1" customHeight="1">
      <c r="A15" s="591" t="s">
        <v>202</v>
      </c>
      <c r="B15" s="590">
        <f>'תקציב מינהל כללי 2023 '!D31</f>
        <v>143306603</v>
      </c>
      <c r="C15" s="590">
        <f>'תקציב מינהל כללי 2023 '!E31</f>
        <v>134948663</v>
      </c>
      <c r="D15" s="590">
        <f>'תקציב מינהל כללי 2023 '!F31</f>
        <v>8357940</v>
      </c>
      <c r="E15" s="590">
        <f>'תקציב מינהל כללי 2023 '!G31</f>
        <v>111061525</v>
      </c>
      <c r="F15" s="590">
        <f>'תקציב מינהל כללי 2023 '!H31</f>
        <v>93797840</v>
      </c>
      <c r="G15" s="590">
        <f>'תקציב מינהל כללי 2023 '!I31</f>
        <v>0</v>
      </c>
      <c r="H15" s="590">
        <f>'תקציב מינהל כללי 2023 '!J31</f>
        <v>3133597</v>
      </c>
      <c r="I15" s="590">
        <f>'תקציב מינהל כללי 2023 '!K31</f>
        <v>3133597</v>
      </c>
      <c r="J15" s="590">
        <f>'תקציב מינהל כללי 2023 '!L31</f>
        <v>96931437</v>
      </c>
      <c r="K15" s="590">
        <f>'תקציב מינהל כללי 2023 '!M31</f>
        <v>10385028</v>
      </c>
      <c r="L15" s="590">
        <f>'תקציב מינהל כללי 2023 '!N31</f>
        <v>9270000</v>
      </c>
      <c r="M15" s="590">
        <f>'תקציב מינהל כללי 2023 '!O31</f>
        <v>26720138</v>
      </c>
      <c r="N15" s="590">
        <f>'תקציב מינהל כללי 2023 '!P31</f>
        <v>14130088</v>
      </c>
      <c r="O15" s="590">
        <f>'תקציב מינהל כללי 2023 '!Q31</f>
        <v>450000</v>
      </c>
      <c r="P15" s="590">
        <f>'תקציב מינהל כללי 2023 '!R31</f>
        <v>200000</v>
      </c>
      <c r="Q15" s="590">
        <f>'תקציב מינהל כללי 2023 '!S31</f>
        <v>650000</v>
      </c>
      <c r="R15" s="590">
        <f>'תקציב מינהל כללי 2023 '!T31</f>
        <v>4395060</v>
      </c>
      <c r="S15" s="590">
        <f>'תקציב מינהל כללי 2023 '!U31</f>
        <v>4874940</v>
      </c>
      <c r="T15" s="590">
        <f>'תקציב מינהל כללי 2023 '!V31</f>
        <v>-417695</v>
      </c>
      <c r="U15" s="590">
        <f>'תקציב מינהל כללי 2023 '!W31</f>
        <v>5245939</v>
      </c>
      <c r="V15" s="590">
        <f>'תקציב מינהל כללי 2023 '!X31</f>
        <v>0</v>
      </c>
      <c r="W15" s="590">
        <f>'תקציב מינהל כללי 2023 '!Y31</f>
        <v>0</v>
      </c>
      <c r="X15" s="590">
        <f>'תקציב מינהל כללי 2023 '!Z31</f>
        <v>0</v>
      </c>
      <c r="Y15" s="590">
        <f>'תקציב מינהל כללי 2023 '!AA31</f>
        <v>46696</v>
      </c>
      <c r="Z15" s="590">
        <f>'תקציב מינהל כללי 2023 '!A31</f>
        <v>19</v>
      </c>
      <c r="AA15" s="590">
        <f>'תקציב מינהל כללי 2023 '!AD31</f>
        <v>0</v>
      </c>
      <c r="AB15" s="590">
        <f>'תקציב מינהל כללי 2023 '!AE31</f>
        <v>0</v>
      </c>
      <c r="AC15" s="590">
        <f>'תקציב מינהל כללי 2023 '!AF31</f>
        <v>1250000</v>
      </c>
      <c r="AD15" s="590">
        <f>'תקציב מינהל כללי 2023 '!AG31</f>
        <v>0</v>
      </c>
      <c r="AE15" s="590">
        <f>'תקציב מינהל כללי 2023 '!AH31</f>
        <v>432305</v>
      </c>
      <c r="AF15" s="590">
        <f>'תקציב מינהל כללי 2023 '!AI31</f>
        <v>900000</v>
      </c>
      <c r="AG15" s="590">
        <f>'תקציב מינהל כללי 2023 '!AJ31</f>
        <v>0</v>
      </c>
      <c r="AH15" s="590">
        <f>'תקציב מינהל כללי 2023 '!AK31</f>
        <v>500000</v>
      </c>
      <c r="AI15" s="590">
        <f>'תקציב מינהל כללי 2023 '!AL31</f>
        <v>200000</v>
      </c>
      <c r="AJ15" s="590">
        <f>'תקציב מינהל כללי 2023 '!AM31</f>
        <v>972000</v>
      </c>
      <c r="AK15" s="590">
        <f>'תקציב מינהל כללי 2023 '!AN31</f>
        <v>4254305</v>
      </c>
      <c r="AL15" s="590">
        <f>'תקציב מינהל כללי 2023 '!AO31</f>
        <v>620635</v>
      </c>
      <c r="AM15" s="590">
        <f>'תקציב מינהל כללי 2023 '!AP31</f>
        <v>-417695</v>
      </c>
      <c r="AN15" s="590">
        <f>'תקציב מינהל כללי 2023 '!AQ31</f>
        <v>4725304</v>
      </c>
      <c r="AO15" s="590">
        <f>'תקציב מינהל כללי 2023 '!AR31</f>
        <v>0</v>
      </c>
      <c r="AP15" s="590">
        <f>'תקציב מינהל כללי 2023 '!AS31</f>
        <v>0</v>
      </c>
      <c r="AQ15" s="590">
        <f>'תקציב מינהל כללי 2023 '!AT31</f>
        <v>0</v>
      </c>
      <c r="AR15" s="590">
        <f>'תקציב מינהל כללי 2023 '!AU31</f>
        <v>-53304</v>
      </c>
      <c r="AS15" s="590">
        <f>'תקציב מינהל כללי 2023 '!AV31</f>
        <v>0</v>
      </c>
      <c r="AT15" s="590">
        <f>'תקציב מינהל כללי 2023 '!AW31</f>
        <v>972000</v>
      </c>
      <c r="AU15" s="590">
        <f>'תקציב מינהל כללי 2023 '!AX31</f>
        <v>0</v>
      </c>
      <c r="AV15" s="590">
        <f>'תקציב מינהל כללי 2023 '!AY31</f>
        <v>0</v>
      </c>
      <c r="AW15" s="590">
        <f>'תקציב מינהל כללי 2023 '!AZ31</f>
        <v>0</v>
      </c>
      <c r="AX15" s="590">
        <f>'תקציב מינהל כללי 2023 '!BA31</f>
        <v>0</v>
      </c>
    </row>
    <row r="16" spans="1:50" s="575" customFormat="1" ht="32.1" customHeight="1">
      <c r="A16" s="591" t="s">
        <v>167</v>
      </c>
      <c r="B16" s="590">
        <f t="shared" ref="B16:AX16" si="0">SUM(B7:B15)</f>
        <v>5214185767</v>
      </c>
      <c r="C16" s="590">
        <f t="shared" si="0"/>
        <v>4908942308</v>
      </c>
      <c r="D16" s="590">
        <f t="shared" si="0"/>
        <v>305243459</v>
      </c>
      <c r="E16" s="590">
        <f t="shared" si="0"/>
        <v>2595489905</v>
      </c>
      <c r="F16" s="590">
        <f t="shared" si="0"/>
        <v>2142382886.2800002</v>
      </c>
      <c r="G16" s="590">
        <f t="shared" si="0"/>
        <v>20398257</v>
      </c>
      <c r="H16" s="590">
        <f t="shared" si="0"/>
        <v>124586457.08000001</v>
      </c>
      <c r="I16" s="590">
        <f t="shared" si="0"/>
        <v>144984714.07999998</v>
      </c>
      <c r="J16" s="590">
        <f t="shared" si="0"/>
        <v>2287367600.3599997</v>
      </c>
      <c r="K16" s="590">
        <f t="shared" si="0"/>
        <v>398097267.63999999</v>
      </c>
      <c r="L16" s="590">
        <f t="shared" si="0"/>
        <v>511425816</v>
      </c>
      <c r="M16" s="590">
        <f t="shared" si="0"/>
        <v>2017295083</v>
      </c>
      <c r="N16" s="590">
        <f t="shared" si="0"/>
        <v>308122304.64000005</v>
      </c>
      <c r="O16" s="590">
        <f t="shared" si="0"/>
        <v>99865023</v>
      </c>
      <c r="P16" s="590">
        <f t="shared" si="0"/>
        <v>35365553</v>
      </c>
      <c r="Q16" s="590">
        <f t="shared" si="0"/>
        <v>135230576</v>
      </c>
      <c r="R16" s="590">
        <f t="shared" si="0"/>
        <v>45255613</v>
      </c>
      <c r="S16" s="590">
        <f t="shared" si="0"/>
        <v>466170203</v>
      </c>
      <c r="T16" s="590">
        <f t="shared" si="0"/>
        <v>258902000</v>
      </c>
      <c r="U16" s="590">
        <f t="shared" si="0"/>
        <v>110000000</v>
      </c>
      <c r="V16" s="590">
        <f t="shared" si="0"/>
        <v>0</v>
      </c>
      <c r="W16" s="590">
        <f t="shared" si="0"/>
        <v>866000</v>
      </c>
      <c r="X16" s="590">
        <f t="shared" si="0"/>
        <v>0</v>
      </c>
      <c r="Y16" s="590">
        <f t="shared" si="0"/>
        <v>96402203</v>
      </c>
      <c r="Z16" s="590">
        <f t="shared" si="0"/>
        <v>360</v>
      </c>
      <c r="AA16" s="590">
        <f t="shared" si="0"/>
        <v>9031000</v>
      </c>
      <c r="AB16" s="590">
        <f>SUM(AB7:AB15)</f>
        <v>32607000</v>
      </c>
      <c r="AC16" s="590">
        <f>SUM(AC7:AC15)</f>
        <v>17832101</v>
      </c>
      <c r="AD16" s="590">
        <f t="shared" si="0"/>
        <v>77440048</v>
      </c>
      <c r="AE16" s="590">
        <f t="shared" ref="AE16:AJ16" si="1">SUM(AE7:AE15)</f>
        <v>54837098</v>
      </c>
      <c r="AF16" s="590">
        <f t="shared" si="1"/>
        <v>12385447</v>
      </c>
      <c r="AG16" s="590">
        <f t="shared" si="1"/>
        <v>63300421</v>
      </c>
      <c r="AH16" s="590">
        <f t="shared" si="1"/>
        <v>33184702</v>
      </c>
      <c r="AI16" s="590">
        <f t="shared" si="1"/>
        <v>700000</v>
      </c>
      <c r="AJ16" s="590">
        <f t="shared" si="1"/>
        <v>101412155</v>
      </c>
      <c r="AK16" s="590">
        <f t="shared" si="0"/>
        <v>402729972</v>
      </c>
      <c r="AL16" s="590">
        <f t="shared" si="0"/>
        <v>63440231</v>
      </c>
      <c r="AM16" s="590">
        <f t="shared" si="0"/>
        <v>250796189</v>
      </c>
      <c r="AN16" s="590">
        <f t="shared" si="0"/>
        <v>95644304</v>
      </c>
      <c r="AO16" s="590">
        <f t="shared" si="0"/>
        <v>0</v>
      </c>
      <c r="AP16" s="590">
        <f t="shared" si="0"/>
        <v>866000</v>
      </c>
      <c r="AQ16" s="590">
        <f t="shared" si="0"/>
        <v>0</v>
      </c>
      <c r="AR16" s="590">
        <f t="shared" si="0"/>
        <v>55423479</v>
      </c>
      <c r="AS16" s="590">
        <f t="shared" si="0"/>
        <v>86374773</v>
      </c>
      <c r="AT16" s="590">
        <f t="shared" si="0"/>
        <v>1842000</v>
      </c>
      <c r="AU16" s="590">
        <f t="shared" si="0"/>
        <v>0</v>
      </c>
      <c r="AV16" s="590">
        <f t="shared" si="0"/>
        <v>0</v>
      </c>
      <c r="AW16" s="590">
        <f t="shared" si="0"/>
        <v>0</v>
      </c>
      <c r="AX16" s="590">
        <f t="shared" si="0"/>
        <v>13195382</v>
      </c>
    </row>
    <row r="17" spans="1:50" s="575" customFormat="1" hidden="1">
      <c r="A17" s="592"/>
      <c r="B17" s="593">
        <f>SUM(C16:D16)</f>
        <v>5214185767</v>
      </c>
      <c r="C17" s="594"/>
      <c r="D17" s="594"/>
      <c r="E17" s="594"/>
      <c r="F17" s="594"/>
      <c r="G17" s="594"/>
      <c r="H17" s="594"/>
      <c r="I17" s="593">
        <f>SUM(G16:H16)</f>
        <v>144984714.08000001</v>
      </c>
      <c r="J17" s="593">
        <f>I16+F16</f>
        <v>2287367600.3600001</v>
      </c>
      <c r="K17" s="593">
        <f>N16+Q16-R16</f>
        <v>398097267.64000005</v>
      </c>
      <c r="L17" s="594"/>
      <c r="M17" s="594"/>
      <c r="N17" s="593">
        <f>E16-J16</f>
        <v>308122304.64000034</v>
      </c>
      <c r="O17" s="594"/>
      <c r="P17" s="594"/>
      <c r="Q17" s="593">
        <f>SUM(O16:P16)</f>
        <v>135230576</v>
      </c>
      <c r="R17" s="593">
        <f>N16+Q16-K16</f>
        <v>45255613.00000006</v>
      </c>
      <c r="S17" s="593">
        <f>L16-R16</f>
        <v>466170203</v>
      </c>
      <c r="T17" s="594">
        <f>SUM(T16:Y16)</f>
        <v>466170203</v>
      </c>
      <c r="U17" s="594"/>
      <c r="V17" s="594"/>
      <c r="W17" s="594"/>
      <c r="X17" s="594"/>
      <c r="Y17" s="594"/>
    </row>
    <row r="18" spans="1:50" s="575" customFormat="1" hidden="1">
      <c r="A18" s="592"/>
      <c r="B18" s="590">
        <f>SUM(J16:M16)</f>
        <v>5214185767</v>
      </c>
      <c r="C18" s="594"/>
      <c r="D18" s="594"/>
      <c r="E18" s="594"/>
      <c r="F18" s="594"/>
      <c r="G18" s="594"/>
      <c r="H18" s="594"/>
      <c r="I18" s="590">
        <f>I16-I17</f>
        <v>0</v>
      </c>
      <c r="J18" s="590">
        <f>J16-J17</f>
        <v>0</v>
      </c>
      <c r="K18" s="594"/>
      <c r="L18" s="594"/>
      <c r="M18" s="594"/>
      <c r="N18" s="590">
        <f>N16-N17</f>
        <v>0</v>
      </c>
      <c r="O18" s="594"/>
      <c r="P18" s="594"/>
      <c r="Q18" s="590">
        <f>Q16-Q17</f>
        <v>0</v>
      </c>
      <c r="R18" s="590">
        <f>R16-R17</f>
        <v>-5.9604644775390625E-8</v>
      </c>
      <c r="S18" s="590">
        <f>S16-S17</f>
        <v>0</v>
      </c>
      <c r="T18" s="590">
        <f>S17-T17</f>
        <v>0</v>
      </c>
      <c r="U18" s="594"/>
      <c r="V18" s="594"/>
      <c r="W18" s="594"/>
      <c r="X18" s="594"/>
      <c r="Y18" s="594"/>
    </row>
    <row r="19" spans="1:50" s="575" customFormat="1" hidden="1">
      <c r="A19" s="592"/>
      <c r="B19" s="594"/>
      <c r="C19" s="594"/>
      <c r="D19" s="594"/>
      <c r="E19" s="594"/>
      <c r="F19" s="594"/>
      <c r="G19" s="594"/>
      <c r="H19" s="594"/>
      <c r="I19" s="594"/>
      <c r="J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</row>
    <row r="20" spans="1:50" hidden="1">
      <c r="J20" s="594"/>
      <c r="K20" s="594"/>
      <c r="M20" s="597"/>
      <c r="N20" s="598"/>
      <c r="O20" s="597"/>
      <c r="P20" s="599"/>
      <c r="Q20" s="599"/>
      <c r="R20" s="598"/>
      <c r="S20" s="600" t="s">
        <v>84</v>
      </c>
      <c r="T20" s="600" t="s">
        <v>74</v>
      </c>
      <c r="U20" s="600" t="s">
        <v>85</v>
      </c>
      <c r="V20" s="600" t="s">
        <v>15</v>
      </c>
      <c r="W20" s="600" t="s">
        <v>214</v>
      </c>
      <c r="X20" s="600" t="s">
        <v>502</v>
      </c>
      <c r="Y20" s="600" t="s">
        <v>75</v>
      </c>
    </row>
    <row r="21" spans="1:50" s="610" customFormat="1" hidden="1">
      <c r="A21" s="602"/>
      <c r="B21" s="603"/>
      <c r="C21" s="603"/>
      <c r="D21" s="603"/>
      <c r="E21" s="603"/>
      <c r="F21" s="603"/>
      <c r="G21" s="603"/>
      <c r="H21" s="603"/>
      <c r="I21" s="603"/>
      <c r="J21" s="604"/>
      <c r="K21" s="603"/>
      <c r="L21" s="603"/>
      <c r="M21" s="605" t="s">
        <v>86</v>
      </c>
      <c r="N21" s="606"/>
      <c r="O21" s="605" t="s">
        <v>86</v>
      </c>
      <c r="P21" s="607"/>
      <c r="Q21" s="607"/>
      <c r="R21" s="608"/>
      <c r="S21" s="609">
        <f>SUM(T21:Y21)</f>
        <v>466170203</v>
      </c>
      <c r="T21" s="609">
        <f>'[2]תקציב 2023 קרנות הרשות'!C20*1000</f>
        <v>258902000</v>
      </c>
      <c r="U21" s="609">
        <f>'[2]תקציב 2023 קרנות הרשות'!D20*1000</f>
        <v>110000000</v>
      </c>
      <c r="V21" s="609">
        <f>'[2]תקציב 2023  מקורות '!F10*1000</f>
        <v>0</v>
      </c>
      <c r="W21" s="609">
        <f>'[2]תקציב 2023  מקורות '!F11*1000</f>
        <v>866000</v>
      </c>
      <c r="X21" s="609">
        <f>'[2]תקציב 2023  מקורות '!F12*1000</f>
        <v>0</v>
      </c>
      <c r="Y21" s="609">
        <f>'[2]פרוט מקורות אחרים'!O13</f>
        <v>96402203</v>
      </c>
      <c r="AA21" s="604"/>
      <c r="AB21" s="604"/>
      <c r="AC21" s="604"/>
      <c r="AD21" s="604"/>
      <c r="AE21" s="604"/>
      <c r="AF21" s="604"/>
      <c r="AG21" s="604"/>
      <c r="AH21" s="604"/>
      <c r="AI21" s="604"/>
      <c r="AJ21" s="604"/>
    </row>
    <row r="22" spans="1:50" hidden="1">
      <c r="M22" s="600" t="s">
        <v>87</v>
      </c>
      <c r="N22" s="611"/>
      <c r="O22" s="600" t="s">
        <v>87</v>
      </c>
      <c r="P22" s="612"/>
      <c r="Q22" s="612"/>
      <c r="R22" s="613"/>
      <c r="S22" s="614">
        <f t="shared" ref="S22:Y22" si="2">S21-S16</f>
        <v>0</v>
      </c>
      <c r="T22" s="614">
        <f t="shared" si="2"/>
        <v>0</v>
      </c>
      <c r="U22" s="614">
        <f t="shared" si="2"/>
        <v>0</v>
      </c>
      <c r="V22" s="614">
        <f t="shared" si="2"/>
        <v>0</v>
      </c>
      <c r="W22" s="614">
        <f>W21-W16</f>
        <v>0</v>
      </c>
      <c r="X22" s="614">
        <f t="shared" si="2"/>
        <v>0</v>
      </c>
      <c r="Y22" s="614">
        <f t="shared" si="2"/>
        <v>0</v>
      </c>
    </row>
    <row r="23" spans="1:50">
      <c r="M23" s="615"/>
      <c r="O23" s="615"/>
      <c r="P23" s="615"/>
      <c r="Q23" s="615"/>
      <c r="R23" s="616"/>
      <c r="S23" s="616"/>
      <c r="T23" s="616"/>
      <c r="U23" s="616"/>
      <c r="V23" s="616"/>
      <c r="W23" s="616"/>
      <c r="X23" s="616"/>
      <c r="Y23" s="616"/>
    </row>
    <row r="24" spans="1:50" hidden="1"/>
    <row r="25" spans="1:50" hidden="1">
      <c r="X25" s="617"/>
      <c r="Y25" s="617"/>
      <c r="AA25" s="590">
        <f>260000</f>
        <v>260000</v>
      </c>
      <c r="AB25" s="590">
        <v>1000000</v>
      </c>
      <c r="AC25" s="590">
        <v>13530500</v>
      </c>
      <c r="AD25" s="590">
        <v>2600000</v>
      </c>
      <c r="AE25" s="590">
        <v>920000</v>
      </c>
      <c r="AF25" s="590">
        <v>4122000</v>
      </c>
      <c r="AG25" s="590">
        <v>5420000</v>
      </c>
      <c r="AH25" s="590">
        <v>4432000</v>
      </c>
      <c r="AI25" s="590">
        <v>500000</v>
      </c>
      <c r="AJ25" s="590"/>
      <c r="AK25" s="590">
        <f>SUM(AM25:AR25)</f>
        <v>0</v>
      </c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90"/>
      <c r="AX25" s="590"/>
    </row>
    <row r="26" spans="1:50" hidden="1">
      <c r="X26" s="617"/>
      <c r="Y26" s="617"/>
      <c r="AA26" s="590"/>
      <c r="AB26" s="590"/>
      <c r="AC26" s="590"/>
      <c r="AD26" s="590">
        <v>14864134</v>
      </c>
      <c r="AE26" s="590">
        <v>3605000</v>
      </c>
      <c r="AF26" s="590">
        <v>377113</v>
      </c>
      <c r="AG26" s="590">
        <v>-82716</v>
      </c>
      <c r="AH26" s="590">
        <v>50000</v>
      </c>
      <c r="AI26" s="590">
        <v>200000</v>
      </c>
      <c r="AJ26" s="590"/>
      <c r="AK26" s="590">
        <f>SUM(AM26:AR26)</f>
        <v>0</v>
      </c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90"/>
      <c r="AX26" s="590"/>
    </row>
    <row r="27" spans="1:50" hidden="1">
      <c r="Y27" s="617"/>
      <c r="AA27" s="590">
        <f>158000+33000</f>
        <v>191000</v>
      </c>
      <c r="AB27" s="590">
        <v>2200000</v>
      </c>
      <c r="AC27" s="590">
        <v>5284601</v>
      </c>
      <c r="AD27" s="590">
        <v>55525914</v>
      </c>
      <c r="AE27" s="590">
        <v>13800000</v>
      </c>
      <c r="AF27" s="590">
        <v>-1000000</v>
      </c>
      <c r="AG27" s="590">
        <v>150000</v>
      </c>
      <c r="AH27" s="590">
        <v>22402702</v>
      </c>
      <c r="AI27" s="590"/>
      <c r="AJ27" s="590"/>
      <c r="AK27" s="590">
        <f t="shared" ref="AK27:AK33" si="3">SUM(AM27:AR27)</f>
        <v>0</v>
      </c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90"/>
      <c r="AX27" s="590"/>
    </row>
    <row r="28" spans="1:50" hidden="1">
      <c r="Y28" s="618"/>
      <c r="AA28" s="619">
        <f>1500000+130000+100000</f>
        <v>1730000</v>
      </c>
      <c r="AB28" s="590">
        <v>4700000</v>
      </c>
      <c r="AC28" s="590">
        <v>-983000</v>
      </c>
      <c r="AD28" s="590">
        <v>4450000</v>
      </c>
      <c r="AE28" s="590">
        <v>35779793</v>
      </c>
      <c r="AF28" s="590">
        <v>8886334</v>
      </c>
      <c r="AG28" s="590">
        <v>30013137</v>
      </c>
      <c r="AH28" s="590">
        <v>500000</v>
      </c>
      <c r="AI28" s="590"/>
      <c r="AJ28" s="590"/>
      <c r="AK28" s="619">
        <f>SUM(AM28:AR28)</f>
        <v>0</v>
      </c>
      <c r="AL28" s="619"/>
      <c r="AM28" s="619"/>
      <c r="AN28" s="619"/>
      <c r="AO28" s="619"/>
      <c r="AP28" s="619"/>
      <c r="AQ28" s="619"/>
      <c r="AR28" s="619"/>
      <c r="AS28" s="619"/>
      <c r="AT28" s="619"/>
      <c r="AU28" s="619"/>
      <c r="AV28" s="619"/>
      <c r="AW28" s="619"/>
      <c r="AX28" s="619"/>
    </row>
    <row r="29" spans="1:50" hidden="1">
      <c r="Y29" s="618"/>
      <c r="AA29" s="619">
        <v>550000</v>
      </c>
      <c r="AB29" s="590">
        <v>20907000</v>
      </c>
      <c r="AC29" s="590"/>
      <c r="AD29" s="590"/>
      <c r="AE29" s="590">
        <v>400000</v>
      </c>
      <c r="AF29" s="590"/>
      <c r="AG29" s="590">
        <v>26700000</v>
      </c>
      <c r="AH29" s="590">
        <v>400000</v>
      </c>
      <c r="AI29" s="590"/>
      <c r="AJ29" s="590"/>
      <c r="AK29" s="619">
        <f t="shared" si="3"/>
        <v>0</v>
      </c>
      <c r="AL29" s="619"/>
      <c r="AM29" s="619"/>
      <c r="AN29" s="619"/>
      <c r="AO29" s="619"/>
      <c r="AP29" s="619"/>
      <c r="AQ29" s="619"/>
      <c r="AR29" s="619"/>
      <c r="AS29" s="619"/>
      <c r="AT29" s="619"/>
      <c r="AU29" s="619"/>
      <c r="AV29" s="619"/>
      <c r="AW29" s="619"/>
      <c r="AX29" s="619"/>
    </row>
    <row r="30" spans="1:50" hidden="1">
      <c r="Y30" s="617"/>
      <c r="Z30" s="620"/>
      <c r="AA30" s="590">
        <v>2100000</v>
      </c>
      <c r="AB30" s="590">
        <v>500000</v>
      </c>
      <c r="AC30" s="590"/>
      <c r="AD30" s="590"/>
      <c r="AE30" s="590">
        <v>332305</v>
      </c>
      <c r="AF30" s="590"/>
      <c r="AG30" s="590"/>
      <c r="AH30" s="590">
        <v>600000</v>
      </c>
      <c r="AI30" s="590"/>
      <c r="AJ30" s="590"/>
      <c r="AK30" s="590">
        <f>SUM(AM30:AR30)</f>
        <v>0</v>
      </c>
      <c r="AL30" s="590"/>
      <c r="AM30" s="590"/>
      <c r="AN30" s="590"/>
      <c r="AO30" s="590"/>
      <c r="AP30" s="590"/>
      <c r="AQ30" s="590"/>
      <c r="AR30" s="590"/>
      <c r="AS30" s="590"/>
      <c r="AT30" s="590"/>
      <c r="AU30" s="590"/>
      <c r="AV30" s="590"/>
      <c r="AW30" s="590"/>
      <c r="AX30" s="590"/>
    </row>
    <row r="31" spans="1:50" hidden="1">
      <c r="Y31" s="617"/>
      <c r="Z31" s="620"/>
      <c r="AA31" s="590">
        <v>100000</v>
      </c>
      <c r="AB31" s="590">
        <v>500000</v>
      </c>
      <c r="AC31" s="588"/>
      <c r="AD31" s="588"/>
      <c r="AE31" s="588"/>
      <c r="AF31" s="588"/>
      <c r="AG31" s="590">
        <v>500000</v>
      </c>
      <c r="AH31" s="590">
        <v>4800000</v>
      </c>
      <c r="AI31" s="590"/>
      <c r="AJ31" s="590"/>
      <c r="AK31" s="590">
        <f>SUM(AM31:AR31)</f>
        <v>0</v>
      </c>
      <c r="AL31" s="590"/>
      <c r="AM31" s="590"/>
      <c r="AN31" s="590"/>
      <c r="AO31" s="590"/>
      <c r="AP31" s="590"/>
      <c r="AQ31" s="590"/>
      <c r="AR31" s="590"/>
      <c r="AS31" s="590"/>
      <c r="AT31" s="590"/>
      <c r="AU31" s="590"/>
      <c r="AV31" s="590"/>
      <c r="AW31" s="590"/>
      <c r="AX31" s="590"/>
    </row>
    <row r="32" spans="1:50" hidden="1">
      <c r="Y32" s="617"/>
      <c r="Z32" s="620"/>
      <c r="AA32" s="590"/>
      <c r="AB32" s="590">
        <v>2450000</v>
      </c>
      <c r="AC32" s="588"/>
      <c r="AD32" s="588"/>
      <c r="AE32" s="588"/>
      <c r="AF32" s="588"/>
      <c r="AG32" s="590">
        <v>600000</v>
      </c>
      <c r="AH32" s="590"/>
      <c r="AI32" s="590"/>
      <c r="AJ32" s="590"/>
      <c r="AK32" s="590"/>
      <c r="AL32" s="590"/>
      <c r="AM32" s="590"/>
      <c r="AN32" s="590"/>
      <c r="AO32" s="590"/>
      <c r="AP32" s="590"/>
      <c r="AQ32" s="590"/>
      <c r="AR32" s="590"/>
      <c r="AS32" s="590"/>
      <c r="AT32" s="590"/>
      <c r="AU32" s="590"/>
      <c r="AV32" s="590"/>
      <c r="AW32" s="590"/>
      <c r="AX32" s="590"/>
    </row>
    <row r="33" spans="24:50" hidden="1">
      <c r="X33" s="601"/>
      <c r="Y33" s="617"/>
      <c r="Z33" s="620"/>
      <c r="AA33" s="590">
        <v>4100000</v>
      </c>
      <c r="AB33" s="590">
        <v>350000</v>
      </c>
      <c r="AC33" s="588"/>
      <c r="AD33" s="588"/>
      <c r="AE33" s="588"/>
      <c r="AF33" s="588"/>
      <c r="AG33" s="588"/>
      <c r="AH33" s="588"/>
      <c r="AI33" s="588"/>
      <c r="AJ33" s="588"/>
      <c r="AK33" s="590">
        <f t="shared" si="3"/>
        <v>0</v>
      </c>
      <c r="AL33" s="590"/>
      <c r="AM33" s="590"/>
      <c r="AN33" s="590"/>
      <c r="AO33" s="590"/>
      <c r="AP33" s="590"/>
      <c r="AQ33" s="590"/>
      <c r="AR33" s="590"/>
      <c r="AS33" s="590"/>
      <c r="AT33" s="590"/>
      <c r="AU33" s="590"/>
      <c r="AV33" s="590"/>
      <c r="AW33" s="590"/>
      <c r="AX33" s="590"/>
    </row>
    <row r="34" spans="24:50" hidden="1">
      <c r="X34" s="601"/>
      <c r="Y34" s="617"/>
      <c r="Z34" s="620"/>
      <c r="AA34" s="590">
        <f t="shared" ref="AA34:AX34" si="4">SUM(AA25:AA33)</f>
        <v>9031000</v>
      </c>
      <c r="AB34" s="590">
        <f t="shared" si="4"/>
        <v>32607000</v>
      </c>
      <c r="AC34" s="590">
        <f t="shared" si="4"/>
        <v>17832101</v>
      </c>
      <c r="AD34" s="590">
        <f t="shared" si="4"/>
        <v>77440048</v>
      </c>
      <c r="AE34" s="590">
        <f t="shared" si="4"/>
        <v>54837098</v>
      </c>
      <c r="AF34" s="590">
        <f t="shared" si="4"/>
        <v>12385447</v>
      </c>
      <c r="AG34" s="590">
        <f t="shared" si="4"/>
        <v>63300421</v>
      </c>
      <c r="AH34" s="590">
        <f t="shared" si="4"/>
        <v>33184702</v>
      </c>
      <c r="AI34" s="590">
        <f t="shared" si="4"/>
        <v>700000</v>
      </c>
      <c r="AJ34" s="590">
        <f t="shared" si="4"/>
        <v>0</v>
      </c>
      <c r="AK34" s="590">
        <f t="shared" si="4"/>
        <v>0</v>
      </c>
      <c r="AL34" s="590">
        <f t="shared" si="4"/>
        <v>0</v>
      </c>
      <c r="AM34" s="590">
        <f t="shared" si="4"/>
        <v>0</v>
      </c>
      <c r="AN34" s="590">
        <f t="shared" si="4"/>
        <v>0</v>
      </c>
      <c r="AO34" s="590">
        <f t="shared" si="4"/>
        <v>0</v>
      </c>
      <c r="AP34" s="590">
        <f t="shared" si="4"/>
        <v>0</v>
      </c>
      <c r="AQ34" s="590">
        <f t="shared" si="4"/>
        <v>0</v>
      </c>
      <c r="AR34" s="590">
        <f t="shared" si="4"/>
        <v>0</v>
      </c>
      <c r="AS34" s="590">
        <f t="shared" si="4"/>
        <v>0</v>
      </c>
      <c r="AT34" s="590">
        <f t="shared" si="4"/>
        <v>0</v>
      </c>
      <c r="AU34" s="590">
        <f t="shared" si="4"/>
        <v>0</v>
      </c>
      <c r="AV34" s="590">
        <f t="shared" si="4"/>
        <v>0</v>
      </c>
      <c r="AW34" s="590">
        <f t="shared" si="4"/>
        <v>0</v>
      </c>
      <c r="AX34" s="590">
        <f t="shared" si="4"/>
        <v>0</v>
      </c>
    </row>
    <row r="35" spans="24:50" hidden="1"/>
    <row r="36" spans="24:50" hidden="1">
      <c r="AA36" s="594"/>
      <c r="AB36" s="590">
        <f t="shared" ref="AB36:AJ36" si="5">AB16-AB34</f>
        <v>0</v>
      </c>
      <c r="AC36" s="590">
        <f t="shared" si="5"/>
        <v>0</v>
      </c>
      <c r="AD36" s="590">
        <f t="shared" si="5"/>
        <v>0</v>
      </c>
      <c r="AE36" s="590">
        <f t="shared" si="5"/>
        <v>0</v>
      </c>
      <c r="AF36" s="590">
        <f t="shared" si="5"/>
        <v>0</v>
      </c>
      <c r="AG36" s="590">
        <f t="shared" si="5"/>
        <v>0</v>
      </c>
      <c r="AH36" s="590">
        <f t="shared" si="5"/>
        <v>0</v>
      </c>
      <c r="AI36" s="590">
        <f t="shared" si="5"/>
        <v>0</v>
      </c>
      <c r="AJ36" s="590">
        <f t="shared" si="5"/>
        <v>101412155</v>
      </c>
      <c r="AK36" s="590">
        <f>SUM(AM36:AR36)</f>
        <v>402729972</v>
      </c>
      <c r="AL36" s="594"/>
      <c r="AM36" s="590">
        <f t="shared" ref="AM36:AX36" si="6">AM16-AM34</f>
        <v>250796189</v>
      </c>
      <c r="AN36" s="590">
        <f t="shared" si="6"/>
        <v>95644304</v>
      </c>
      <c r="AO36" s="590">
        <f t="shared" si="6"/>
        <v>0</v>
      </c>
      <c r="AP36" s="590">
        <f t="shared" si="6"/>
        <v>866000</v>
      </c>
      <c r="AQ36" s="590">
        <f t="shared" si="6"/>
        <v>0</v>
      </c>
      <c r="AR36" s="590">
        <f t="shared" si="6"/>
        <v>55423479</v>
      </c>
      <c r="AS36" s="590">
        <f t="shared" si="6"/>
        <v>86374773</v>
      </c>
      <c r="AT36" s="590">
        <f t="shared" si="6"/>
        <v>1842000</v>
      </c>
      <c r="AU36" s="590">
        <f t="shared" si="6"/>
        <v>0</v>
      </c>
      <c r="AV36" s="590">
        <f t="shared" si="6"/>
        <v>0</v>
      </c>
      <c r="AW36" s="590">
        <f t="shared" si="6"/>
        <v>0</v>
      </c>
      <c r="AX36" s="590">
        <f t="shared" si="6"/>
        <v>13195382</v>
      </c>
    </row>
    <row r="37" spans="24:50" hidden="1"/>
  </sheetData>
  <sheetProtection formatCells="0" formatColumns="0" formatRows="0" insertColumns="0" insertRows="0" insertHyperlinks="0" deleteColumns="0" deleteRows="0" sort="0" autoFilter="0" pivotTables="0"/>
  <mergeCells count="7">
    <mergeCell ref="AS4:AX4"/>
    <mergeCell ref="B4:M4"/>
    <mergeCell ref="N4:O4"/>
    <mergeCell ref="AA4:AL4"/>
    <mergeCell ref="AM4:AR4"/>
    <mergeCell ref="T4:Y4"/>
    <mergeCell ref="R4:S4"/>
  </mergeCells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8"/>
  <sheetViews>
    <sheetView showZeros="0" rightToLeft="1" zoomScaleNormal="100" workbookViewId="0">
      <pane xSplit="4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424" customWidth="1"/>
    <col min="2" max="2" width="5.6640625" style="424" customWidth="1"/>
    <col min="3" max="3" width="30.109375" style="440" customWidth="1"/>
    <col min="4" max="5" width="10.6640625" style="423" hidden="1" customWidth="1"/>
    <col min="6" max="6" width="8.6640625" style="423" hidden="1" customWidth="1"/>
    <col min="7" max="8" width="11.109375" style="423" hidden="1" customWidth="1"/>
    <col min="9" max="10" width="10.44140625" style="423" hidden="1" customWidth="1"/>
    <col min="11" max="11" width="11.109375" style="423" hidden="1" customWidth="1"/>
    <col min="12" max="12" width="10.6640625" style="423" hidden="1" customWidth="1"/>
    <col min="13" max="13" width="8.6640625" style="423" hidden="1" customWidth="1"/>
    <col min="14" max="14" width="9.6640625" style="423" hidden="1" customWidth="1"/>
    <col min="15" max="15" width="10.6640625" style="423" hidden="1" customWidth="1"/>
    <col min="16" max="19" width="10.44140625" style="423" hidden="1" customWidth="1"/>
    <col min="20" max="20" width="10" style="423" customWidth="1"/>
    <col min="21" max="21" width="10.5546875" style="424" customWidth="1"/>
    <col min="22" max="22" width="10.44140625" style="424" customWidth="1"/>
    <col min="23" max="23" width="10.6640625" style="424" customWidth="1"/>
    <col min="24" max="24" width="6.44140625" style="424" hidden="1" customWidth="1"/>
    <col min="25" max="25" width="10.6640625" style="424" customWidth="1"/>
    <col min="26" max="26" width="9.5546875" style="424" hidden="1" customWidth="1"/>
    <col min="27" max="27" width="10.6640625" style="424" customWidth="1"/>
    <col min="28" max="28" width="34.6640625" style="440" hidden="1" customWidth="1"/>
    <col min="29" max="29" width="8.88671875" style="424" hidden="1" customWidth="1"/>
    <col min="30" max="39" width="10.6640625" style="272" hidden="1" customWidth="1"/>
    <col min="40" max="43" width="10.6640625" style="272" customWidth="1"/>
    <col min="44" max="44" width="10.6640625" style="272" hidden="1" customWidth="1"/>
    <col min="45" max="45" width="10.6640625" style="272" customWidth="1"/>
    <col min="46" max="46" width="10.6640625" style="422" hidden="1" customWidth="1"/>
    <col min="47" max="47" width="10.6640625" style="422" customWidth="1"/>
    <col min="48" max="51" width="10.6640625" style="272" hidden="1" customWidth="1"/>
    <col min="52" max="53" width="10.6640625" style="422" hidden="1" customWidth="1"/>
    <col min="54" max="54" width="15" style="422" customWidth="1"/>
    <col min="55" max="16384" width="8.88671875" style="424"/>
  </cols>
  <sheetData>
    <row r="1" spans="1:54" s="434" customFormat="1" ht="18">
      <c r="A1" s="432"/>
      <c r="B1" s="432"/>
      <c r="C1" s="433"/>
      <c r="J1" s="423"/>
      <c r="K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6"/>
      <c r="X1" s="436"/>
      <c r="Y1" s="436"/>
      <c r="Z1" s="436"/>
      <c r="AA1" s="436"/>
      <c r="AB1" s="436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422"/>
      <c r="AU1" s="422"/>
      <c r="AV1" s="272"/>
      <c r="AW1" s="272"/>
      <c r="AX1" s="272"/>
      <c r="AY1" s="272"/>
      <c r="AZ1" s="422"/>
      <c r="BA1" s="422"/>
      <c r="BB1" s="422"/>
    </row>
    <row r="2" spans="1:54" ht="18">
      <c r="A2" s="154" t="s">
        <v>1255</v>
      </c>
      <c r="B2" s="432"/>
      <c r="C2" s="437"/>
      <c r="D2" s="434"/>
      <c r="E2" s="434"/>
      <c r="F2" s="434"/>
      <c r="K2" s="432"/>
      <c r="M2" s="439"/>
      <c r="N2" s="439"/>
      <c r="O2" s="439"/>
      <c r="P2" s="439"/>
      <c r="Q2" s="439"/>
      <c r="R2" s="439"/>
      <c r="S2" s="439"/>
      <c r="T2" s="439"/>
      <c r="U2" s="436"/>
      <c r="V2" s="436"/>
      <c r="W2" s="436"/>
      <c r="X2" s="436"/>
      <c r="Y2" s="436"/>
      <c r="Z2" s="436"/>
      <c r="AA2" s="436"/>
      <c r="AB2" s="424"/>
    </row>
    <row r="3" spans="1:54" ht="18">
      <c r="A3" s="154"/>
      <c r="B3" s="432"/>
      <c r="C3" s="437"/>
      <c r="D3" s="434"/>
      <c r="E3" s="434"/>
      <c r="F3" s="434"/>
      <c r="K3" s="432"/>
      <c r="M3" s="439"/>
      <c r="N3" s="439"/>
      <c r="O3" s="439"/>
      <c r="P3" s="439"/>
      <c r="Q3" s="439"/>
      <c r="R3" s="439"/>
      <c r="S3" s="439"/>
      <c r="T3" s="439"/>
      <c r="U3" s="436"/>
      <c r="V3" s="436"/>
      <c r="W3" s="436"/>
      <c r="X3" s="436"/>
      <c r="Y3" s="436"/>
      <c r="Z3" s="436"/>
      <c r="AA3" s="436"/>
      <c r="AB3" s="424"/>
    </row>
    <row r="4" spans="1:54" ht="16.2" customHeight="1">
      <c r="D4" s="441"/>
      <c r="E4" s="442"/>
      <c r="F4" s="442"/>
      <c r="G4" s="656"/>
      <c r="H4" s="442"/>
      <c r="I4" s="442"/>
      <c r="J4" s="442"/>
      <c r="K4" s="442"/>
      <c r="L4" s="441"/>
      <c r="M4" s="621"/>
      <c r="N4" s="441"/>
      <c r="O4" s="441"/>
      <c r="P4" s="441"/>
      <c r="Q4" s="441"/>
      <c r="R4" s="441"/>
      <c r="S4" s="441"/>
      <c r="T4" s="914" t="s">
        <v>1581</v>
      </c>
      <c r="U4" s="915"/>
      <c r="V4" s="909" t="s">
        <v>79</v>
      </c>
      <c r="W4" s="910"/>
      <c r="X4" s="910"/>
      <c r="Y4" s="910"/>
      <c r="Z4" s="910"/>
      <c r="AA4" s="911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3" t="s">
        <v>1096</v>
      </c>
      <c r="AQ4" s="913"/>
      <c r="AR4" s="913"/>
      <c r="AS4" s="913"/>
      <c r="AT4" s="913"/>
      <c r="AU4" s="913"/>
      <c r="AV4" s="878" t="s">
        <v>1097</v>
      </c>
      <c r="AW4" s="878"/>
      <c r="AX4" s="878"/>
      <c r="AY4" s="878"/>
      <c r="AZ4" s="878"/>
      <c r="BA4" s="878"/>
    </row>
    <row r="5" spans="1:54" s="422" customFormat="1" ht="69">
      <c r="A5" s="421" t="s">
        <v>0</v>
      </c>
      <c r="B5" s="421" t="s">
        <v>1</v>
      </c>
      <c r="C5" s="421" t="s">
        <v>2</v>
      </c>
      <c r="D5" s="421" t="s">
        <v>80</v>
      </c>
      <c r="E5" s="421" t="s">
        <v>4</v>
      </c>
      <c r="F5" s="421" t="s">
        <v>5</v>
      </c>
      <c r="G5" s="421" t="s">
        <v>6</v>
      </c>
      <c r="H5" s="421" t="s">
        <v>7</v>
      </c>
      <c r="I5" s="421" t="s">
        <v>9</v>
      </c>
      <c r="J5" s="421" t="s">
        <v>125</v>
      </c>
      <c r="K5" s="421" t="s">
        <v>10</v>
      </c>
      <c r="L5" s="421" t="s">
        <v>11</v>
      </c>
      <c r="M5" s="421" t="s">
        <v>707</v>
      </c>
      <c r="N5" s="421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421" t="s">
        <v>13</v>
      </c>
      <c r="W5" s="421" t="s">
        <v>14</v>
      </c>
      <c r="X5" s="421" t="s">
        <v>15</v>
      </c>
      <c r="Y5" s="421" t="s">
        <v>214</v>
      </c>
      <c r="Z5" s="421" t="s">
        <v>502</v>
      </c>
      <c r="AA5" s="421" t="s">
        <v>75</v>
      </c>
      <c r="AB5" s="420" t="s">
        <v>242</v>
      </c>
      <c r="AC5" s="421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4" s="452" customFormat="1" ht="30" customHeight="1">
      <c r="A6" s="448">
        <v>1</v>
      </c>
      <c r="B6" s="448">
        <v>179</v>
      </c>
      <c r="C6" s="448" t="s">
        <v>28</v>
      </c>
      <c r="D6" s="449">
        <f>3200250+50000-50000-50000</f>
        <v>3150250</v>
      </c>
      <c r="E6" s="449">
        <v>3200250</v>
      </c>
      <c r="F6" s="449">
        <f t="shared" ref="F6:F69" si="0">D6-E6</f>
        <v>-50000</v>
      </c>
      <c r="G6" s="449">
        <v>3100250</v>
      </c>
      <c r="H6" s="449">
        <v>3032521</v>
      </c>
      <c r="I6" s="449">
        <v>0</v>
      </c>
      <c r="J6" s="449">
        <v>45075</v>
      </c>
      <c r="K6" s="449">
        <f>SUM(I6:J6)</f>
        <v>45075</v>
      </c>
      <c r="L6" s="449">
        <f t="shared" ref="L6:L69" si="1">H6+K6</f>
        <v>3077596</v>
      </c>
      <c r="M6" s="449">
        <f>P6+S6</f>
        <v>72654</v>
      </c>
      <c r="N6" s="449">
        <f>100000-50000-50000</f>
        <v>0</v>
      </c>
      <c r="O6" s="449">
        <f t="shared" ref="O6:O51" si="2">D6-L6-M6-N6</f>
        <v>0</v>
      </c>
      <c r="P6" s="449">
        <f t="shared" ref="P6:P60" si="3">G6-L6</f>
        <v>22654</v>
      </c>
      <c r="Q6" s="451">
        <v>50000</v>
      </c>
      <c r="R6" s="449"/>
      <c r="S6" s="449">
        <f t="shared" ref="S6:S51" si="4">SUM(Q6:R6)</f>
        <v>50000</v>
      </c>
      <c r="T6" s="449">
        <f t="shared" ref="T6:T60" si="5">P6-M6+S6</f>
        <v>0</v>
      </c>
      <c r="U6" s="449">
        <f t="shared" ref="U6:U69" si="6">N6-T6</f>
        <v>0</v>
      </c>
      <c r="V6" s="449">
        <f t="shared" ref="V6:V51" si="7">U6-AA6-W6-Z6</f>
        <v>0</v>
      </c>
      <c r="W6" s="449"/>
      <c r="X6" s="449"/>
      <c r="Y6" s="449"/>
      <c r="Z6" s="449"/>
      <c r="AA6" s="448"/>
      <c r="AB6" s="448" t="s">
        <v>875</v>
      </c>
      <c r="AC6" s="448">
        <v>732000</v>
      </c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>
        <f>SUM(AD6:AM6)</f>
        <v>0</v>
      </c>
      <c r="AO6" s="449">
        <f t="shared" ref="AO6:AO69" si="8">U6-AN6</f>
        <v>0</v>
      </c>
      <c r="AP6" s="449">
        <f>AN6-AQ6-AU6</f>
        <v>0</v>
      </c>
      <c r="AQ6" s="449"/>
      <c r="AR6" s="449"/>
      <c r="AS6" s="449"/>
      <c r="AT6" s="449"/>
      <c r="AU6" s="449"/>
      <c r="AV6" s="449">
        <f>AM6-AW6-BA6</f>
        <v>0</v>
      </c>
      <c r="AW6" s="449"/>
      <c r="AX6" s="449"/>
      <c r="AY6" s="449"/>
      <c r="AZ6" s="449"/>
      <c r="BA6" s="449"/>
      <c r="BB6" s="422"/>
    </row>
    <row r="7" spans="1:54" s="452" customFormat="1" ht="30" customHeight="1">
      <c r="A7" s="448">
        <f>A6+1</f>
        <v>2</v>
      </c>
      <c r="B7" s="448">
        <v>507</v>
      </c>
      <c r="C7" s="448" t="s">
        <v>38</v>
      </c>
      <c r="D7" s="449">
        <f>2315000-350000</f>
        <v>1965000</v>
      </c>
      <c r="E7" s="449">
        <v>2315000</v>
      </c>
      <c r="F7" s="449">
        <f t="shared" si="0"/>
        <v>-350000</v>
      </c>
      <c r="G7" s="449">
        <v>1965000</v>
      </c>
      <c r="H7" s="449">
        <v>1684688</v>
      </c>
      <c r="I7" s="449">
        <v>0</v>
      </c>
      <c r="J7" s="449">
        <v>172270</v>
      </c>
      <c r="K7" s="449">
        <f t="shared" ref="K7:K70" si="9">SUM(I7:J7)</f>
        <v>172270</v>
      </c>
      <c r="L7" s="449">
        <f t="shared" si="1"/>
        <v>1856958</v>
      </c>
      <c r="M7" s="449">
        <f>P7+S7</f>
        <v>108042</v>
      </c>
      <c r="N7" s="449">
        <f>350000-350000</f>
        <v>0</v>
      </c>
      <c r="O7" s="449">
        <f t="shared" si="2"/>
        <v>0</v>
      </c>
      <c r="P7" s="449">
        <f t="shared" si="3"/>
        <v>108042</v>
      </c>
      <c r="Q7" s="449"/>
      <c r="R7" s="449"/>
      <c r="S7" s="449">
        <f t="shared" si="4"/>
        <v>0</v>
      </c>
      <c r="T7" s="449">
        <f t="shared" si="5"/>
        <v>0</v>
      </c>
      <c r="U7" s="449">
        <f t="shared" si="6"/>
        <v>0</v>
      </c>
      <c r="V7" s="449">
        <f t="shared" si="7"/>
        <v>0</v>
      </c>
      <c r="W7" s="449"/>
      <c r="X7" s="449"/>
      <c r="Y7" s="449"/>
      <c r="Z7" s="449"/>
      <c r="AA7" s="448"/>
      <c r="AB7" s="448" t="s">
        <v>380</v>
      </c>
      <c r="AC7" s="448">
        <v>742000</v>
      </c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>
        <f t="shared" ref="AN7:AN48" si="10">SUM(AD7:AM7)</f>
        <v>0</v>
      </c>
      <c r="AO7" s="449">
        <f t="shared" si="8"/>
        <v>0</v>
      </c>
      <c r="AP7" s="449">
        <f t="shared" ref="AP7:AP70" si="11">AN7-AQ7-AU7</f>
        <v>0</v>
      </c>
      <c r="AQ7" s="449"/>
      <c r="AR7" s="449"/>
      <c r="AS7" s="449"/>
      <c r="AT7" s="449"/>
      <c r="AU7" s="449"/>
      <c r="AV7" s="449">
        <f t="shared" ref="AV7:AV70" si="12">AM7-AW7-BA7</f>
        <v>0</v>
      </c>
      <c r="AW7" s="449"/>
      <c r="AX7" s="449"/>
      <c r="AY7" s="449"/>
      <c r="AZ7" s="449"/>
      <c r="BA7" s="449"/>
      <c r="BB7" s="422"/>
    </row>
    <row r="8" spans="1:54" s="452" customFormat="1" ht="30" customHeight="1">
      <c r="A8" s="448">
        <f>A7+1</f>
        <v>3</v>
      </c>
      <c r="B8" s="448">
        <v>592</v>
      </c>
      <c r="C8" s="448" t="s">
        <v>22</v>
      </c>
      <c r="D8" s="449">
        <v>54893000</v>
      </c>
      <c r="E8" s="449">
        <v>54893000</v>
      </c>
      <c r="F8" s="449">
        <f t="shared" si="0"/>
        <v>0</v>
      </c>
      <c r="G8" s="449">
        <v>21420000</v>
      </c>
      <c r="H8" s="449">
        <v>19882849</v>
      </c>
      <c r="I8" s="449">
        <v>0</v>
      </c>
      <c r="J8" s="449">
        <v>1479</v>
      </c>
      <c r="K8" s="449">
        <f t="shared" si="9"/>
        <v>1479</v>
      </c>
      <c r="L8" s="449">
        <f t="shared" si="1"/>
        <v>19884328</v>
      </c>
      <c r="M8" s="449">
        <f>P8+S8-1535000</f>
        <v>672</v>
      </c>
      <c r="N8" s="449">
        <f>2000000-65000</f>
        <v>1935000</v>
      </c>
      <c r="O8" s="449">
        <f t="shared" si="2"/>
        <v>33073000</v>
      </c>
      <c r="P8" s="449">
        <f t="shared" si="3"/>
        <v>1535672</v>
      </c>
      <c r="Q8" s="449"/>
      <c r="R8" s="449"/>
      <c r="S8" s="449">
        <f t="shared" si="4"/>
        <v>0</v>
      </c>
      <c r="T8" s="449">
        <f>P8-M8+S8</f>
        <v>1535000</v>
      </c>
      <c r="U8" s="449">
        <f t="shared" si="6"/>
        <v>400000</v>
      </c>
      <c r="V8" s="449">
        <f t="shared" si="7"/>
        <v>400000</v>
      </c>
      <c r="W8" s="449"/>
      <c r="X8" s="449"/>
      <c r="Y8" s="449"/>
      <c r="Z8" s="449"/>
      <c r="AA8" s="448"/>
      <c r="AB8" s="448" t="s">
        <v>818</v>
      </c>
      <c r="AC8" s="448">
        <v>742000</v>
      </c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>
        <f t="shared" si="10"/>
        <v>0</v>
      </c>
      <c r="AO8" s="449">
        <f t="shared" si="8"/>
        <v>400000</v>
      </c>
      <c r="AP8" s="449">
        <f t="shared" si="11"/>
        <v>0</v>
      </c>
      <c r="AQ8" s="449"/>
      <c r="AR8" s="449"/>
      <c r="AS8" s="449"/>
      <c r="AT8" s="449"/>
      <c r="AU8" s="449"/>
      <c r="AV8" s="449">
        <f t="shared" si="12"/>
        <v>0</v>
      </c>
      <c r="AW8" s="449"/>
      <c r="AX8" s="449"/>
      <c r="AY8" s="449"/>
      <c r="AZ8" s="449"/>
      <c r="BA8" s="449"/>
      <c r="BB8" s="422"/>
    </row>
    <row r="9" spans="1:54" s="452" customFormat="1" ht="30" customHeight="1">
      <c r="A9" s="448">
        <f t="shared" ref="A9:A70" si="13">A8+1</f>
        <v>4</v>
      </c>
      <c r="B9" s="448">
        <v>608</v>
      </c>
      <c r="C9" s="448" t="s">
        <v>29</v>
      </c>
      <c r="D9" s="449">
        <v>8300000</v>
      </c>
      <c r="E9" s="449">
        <v>8300000</v>
      </c>
      <c r="F9" s="449">
        <f t="shared" si="0"/>
        <v>0</v>
      </c>
      <c r="G9" s="449">
        <v>6700000</v>
      </c>
      <c r="H9" s="449">
        <v>5964431</v>
      </c>
      <c r="I9" s="449">
        <v>0</v>
      </c>
      <c r="J9" s="449">
        <v>527601</v>
      </c>
      <c r="K9" s="449">
        <f t="shared" si="9"/>
        <v>527601</v>
      </c>
      <c r="L9" s="449">
        <f t="shared" si="1"/>
        <v>6492032</v>
      </c>
      <c r="M9" s="449">
        <f t="shared" ref="M9:M17" si="14">P9+S9</f>
        <v>207968</v>
      </c>
      <c r="N9" s="449">
        <f>1000000-200000</f>
        <v>800000</v>
      </c>
      <c r="O9" s="449">
        <f t="shared" si="2"/>
        <v>800000</v>
      </c>
      <c r="P9" s="449">
        <f t="shared" si="3"/>
        <v>207968</v>
      </c>
      <c r="Q9" s="449"/>
      <c r="R9" s="449"/>
      <c r="S9" s="449">
        <f t="shared" si="4"/>
        <v>0</v>
      </c>
      <c r="T9" s="449">
        <f t="shared" si="5"/>
        <v>0</v>
      </c>
      <c r="U9" s="449">
        <f t="shared" si="6"/>
        <v>800000</v>
      </c>
      <c r="V9" s="449">
        <f t="shared" si="7"/>
        <v>800000</v>
      </c>
      <c r="W9" s="449"/>
      <c r="X9" s="449"/>
      <c r="Y9" s="449"/>
      <c r="Z9" s="449"/>
      <c r="AA9" s="448"/>
      <c r="AB9" s="448" t="s">
        <v>243</v>
      </c>
      <c r="AC9" s="448">
        <v>745000</v>
      </c>
      <c r="AD9" s="449"/>
      <c r="AE9" s="449"/>
      <c r="AF9" s="449">
        <v>750000</v>
      </c>
      <c r="AG9" s="449"/>
      <c r="AH9" s="449">
        <v>50000</v>
      </c>
      <c r="AI9" s="449"/>
      <c r="AJ9" s="449"/>
      <c r="AK9" s="449"/>
      <c r="AL9" s="449"/>
      <c r="AM9" s="449"/>
      <c r="AN9" s="449">
        <f t="shared" si="10"/>
        <v>800000</v>
      </c>
      <c r="AO9" s="449">
        <f t="shared" si="8"/>
        <v>0</v>
      </c>
      <c r="AP9" s="449">
        <f t="shared" si="11"/>
        <v>800000</v>
      </c>
      <c r="AQ9" s="449"/>
      <c r="AR9" s="449"/>
      <c r="AS9" s="449"/>
      <c r="AT9" s="449"/>
      <c r="AU9" s="449"/>
      <c r="AV9" s="449">
        <f t="shared" si="12"/>
        <v>0</v>
      </c>
      <c r="AW9" s="449"/>
      <c r="AX9" s="449"/>
      <c r="AY9" s="449"/>
      <c r="AZ9" s="449"/>
      <c r="BA9" s="449"/>
      <c r="BB9" s="422"/>
    </row>
    <row r="10" spans="1:54" s="456" customFormat="1" ht="30" customHeight="1">
      <c r="A10" s="448">
        <f t="shared" si="13"/>
        <v>5</v>
      </c>
      <c r="B10" s="448">
        <v>626</v>
      </c>
      <c r="C10" s="448" t="s">
        <v>419</v>
      </c>
      <c r="D10" s="449">
        <f>34775000+3500000-3500000</f>
        <v>34775000</v>
      </c>
      <c r="E10" s="449">
        <v>34775000</v>
      </c>
      <c r="F10" s="449">
        <f t="shared" si="0"/>
        <v>0</v>
      </c>
      <c r="G10" s="449">
        <v>17275000</v>
      </c>
      <c r="H10" s="449">
        <v>14032584</v>
      </c>
      <c r="I10" s="449">
        <v>107406</v>
      </c>
      <c r="J10" s="449">
        <v>3122957</v>
      </c>
      <c r="K10" s="449">
        <f t="shared" si="9"/>
        <v>3230363</v>
      </c>
      <c r="L10" s="449">
        <f t="shared" si="1"/>
        <v>17262947</v>
      </c>
      <c r="M10" s="449">
        <f t="shared" si="14"/>
        <v>12053</v>
      </c>
      <c r="N10" s="449">
        <f>21000000-11000000-4000000</f>
        <v>6000000</v>
      </c>
      <c r="O10" s="449">
        <f t="shared" si="2"/>
        <v>11500000</v>
      </c>
      <c r="P10" s="449">
        <f t="shared" si="3"/>
        <v>12053</v>
      </c>
      <c r="Q10" s="449"/>
      <c r="R10" s="449"/>
      <c r="S10" s="449">
        <f t="shared" si="4"/>
        <v>0</v>
      </c>
      <c r="T10" s="449">
        <f t="shared" si="5"/>
        <v>0</v>
      </c>
      <c r="U10" s="449">
        <f t="shared" si="6"/>
        <v>6000000</v>
      </c>
      <c r="V10" s="449">
        <f t="shared" si="7"/>
        <v>6000000</v>
      </c>
      <c r="W10" s="449"/>
      <c r="X10" s="449"/>
      <c r="Y10" s="449"/>
      <c r="Z10" s="449"/>
      <c r="AA10" s="449"/>
      <c r="AB10" s="448" t="s">
        <v>876</v>
      </c>
      <c r="AC10" s="448">
        <v>732000</v>
      </c>
      <c r="AD10" s="449"/>
      <c r="AE10" s="449"/>
      <c r="AF10" s="449">
        <v>1600000</v>
      </c>
      <c r="AG10" s="449"/>
      <c r="AH10" s="449"/>
      <c r="AI10" s="449"/>
      <c r="AJ10" s="449"/>
      <c r="AK10" s="449"/>
      <c r="AL10" s="449"/>
      <c r="AM10" s="449">
        <v>1000000</v>
      </c>
      <c r="AN10" s="449">
        <f t="shared" si="10"/>
        <v>2600000</v>
      </c>
      <c r="AO10" s="449">
        <f t="shared" si="8"/>
        <v>3400000</v>
      </c>
      <c r="AP10" s="449">
        <f t="shared" si="11"/>
        <v>2600000</v>
      </c>
      <c r="AQ10" s="449"/>
      <c r="AR10" s="449"/>
      <c r="AS10" s="449"/>
      <c r="AT10" s="449"/>
      <c r="AU10" s="449"/>
      <c r="AV10" s="449">
        <f t="shared" si="12"/>
        <v>1000000</v>
      </c>
      <c r="AW10" s="449"/>
      <c r="AX10" s="449"/>
      <c r="AY10" s="449"/>
      <c r="AZ10" s="449"/>
      <c r="BA10" s="449"/>
      <c r="BB10" s="422"/>
    </row>
    <row r="11" spans="1:54" s="452" customFormat="1" ht="30" customHeight="1">
      <c r="A11" s="448">
        <f t="shared" si="13"/>
        <v>6</v>
      </c>
      <c r="B11" s="448">
        <v>638</v>
      </c>
      <c r="C11" s="448" t="s">
        <v>360</v>
      </c>
      <c r="D11" s="449">
        <v>4436000</v>
      </c>
      <c r="E11" s="449">
        <v>4436000</v>
      </c>
      <c r="F11" s="449">
        <f t="shared" si="0"/>
        <v>0</v>
      </c>
      <c r="G11" s="449">
        <v>4436000</v>
      </c>
      <c r="H11" s="449">
        <v>4045897</v>
      </c>
      <c r="I11" s="449">
        <v>0</v>
      </c>
      <c r="J11" s="449">
        <v>228584</v>
      </c>
      <c r="K11" s="449">
        <f t="shared" si="9"/>
        <v>228584</v>
      </c>
      <c r="L11" s="449">
        <f t="shared" si="1"/>
        <v>4274481</v>
      </c>
      <c r="M11" s="449">
        <f t="shared" si="14"/>
        <v>161519</v>
      </c>
      <c r="N11" s="449"/>
      <c r="O11" s="450">
        <f t="shared" si="2"/>
        <v>0</v>
      </c>
      <c r="P11" s="450">
        <f t="shared" si="3"/>
        <v>161519</v>
      </c>
      <c r="Q11" s="450"/>
      <c r="R11" s="450"/>
      <c r="S11" s="450">
        <f t="shared" si="4"/>
        <v>0</v>
      </c>
      <c r="T11" s="450">
        <f t="shared" si="5"/>
        <v>0</v>
      </c>
      <c r="U11" s="449">
        <f t="shared" si="6"/>
        <v>0</v>
      </c>
      <c r="V11" s="449">
        <f t="shared" si="7"/>
        <v>0</v>
      </c>
      <c r="W11" s="449"/>
      <c r="X11" s="449"/>
      <c r="Y11" s="449"/>
      <c r="Z11" s="449"/>
      <c r="AA11" s="448"/>
      <c r="AB11" s="448" t="s">
        <v>784</v>
      </c>
      <c r="AC11" s="448">
        <v>742000</v>
      </c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>
        <f t="shared" si="10"/>
        <v>0</v>
      </c>
      <c r="AO11" s="449">
        <f t="shared" si="8"/>
        <v>0</v>
      </c>
      <c r="AP11" s="449">
        <f t="shared" si="11"/>
        <v>0</v>
      </c>
      <c r="AQ11" s="449"/>
      <c r="AR11" s="449"/>
      <c r="AS11" s="449"/>
      <c r="AT11" s="449"/>
      <c r="AU11" s="449"/>
      <c r="AV11" s="449">
        <f t="shared" si="12"/>
        <v>0</v>
      </c>
      <c r="AW11" s="449"/>
      <c r="AX11" s="449"/>
      <c r="AY11" s="449"/>
      <c r="AZ11" s="449"/>
      <c r="BA11" s="449"/>
      <c r="BB11" s="422"/>
    </row>
    <row r="12" spans="1:54" s="452" customFormat="1" ht="30" customHeight="1">
      <c r="A12" s="448">
        <f t="shared" si="13"/>
        <v>7</v>
      </c>
      <c r="B12" s="448">
        <v>1018</v>
      </c>
      <c r="C12" s="448" t="s">
        <v>23</v>
      </c>
      <c r="D12" s="449">
        <v>31900000</v>
      </c>
      <c r="E12" s="449">
        <v>31900000</v>
      </c>
      <c r="F12" s="449">
        <f t="shared" si="0"/>
        <v>0</v>
      </c>
      <c r="G12" s="449">
        <v>3150000</v>
      </c>
      <c r="H12" s="449">
        <v>3059671</v>
      </c>
      <c r="I12" s="449">
        <v>84193</v>
      </c>
      <c r="J12" s="449">
        <v>0</v>
      </c>
      <c r="K12" s="449">
        <f t="shared" si="9"/>
        <v>84193</v>
      </c>
      <c r="L12" s="449">
        <f t="shared" si="1"/>
        <v>3143864</v>
      </c>
      <c r="M12" s="449">
        <f t="shared" si="14"/>
        <v>6136</v>
      </c>
      <c r="N12" s="449"/>
      <c r="O12" s="449">
        <f t="shared" si="2"/>
        <v>28750000</v>
      </c>
      <c r="P12" s="449">
        <f t="shared" si="3"/>
        <v>6136</v>
      </c>
      <c r="Q12" s="449"/>
      <c r="R12" s="449"/>
      <c r="S12" s="449">
        <f t="shared" si="4"/>
        <v>0</v>
      </c>
      <c r="T12" s="449">
        <f t="shared" si="5"/>
        <v>0</v>
      </c>
      <c r="U12" s="449">
        <f t="shared" si="6"/>
        <v>0</v>
      </c>
      <c r="V12" s="449">
        <f t="shared" si="7"/>
        <v>0</v>
      </c>
      <c r="W12" s="449"/>
      <c r="X12" s="449"/>
      <c r="Y12" s="449"/>
      <c r="Z12" s="449"/>
      <c r="AA12" s="448"/>
      <c r="AB12" s="448" t="s">
        <v>724</v>
      </c>
      <c r="AC12" s="448">
        <v>742000</v>
      </c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>
        <f t="shared" si="10"/>
        <v>0</v>
      </c>
      <c r="AO12" s="449">
        <f t="shared" si="8"/>
        <v>0</v>
      </c>
      <c r="AP12" s="449">
        <f t="shared" si="11"/>
        <v>0</v>
      </c>
      <c r="AQ12" s="449"/>
      <c r="AR12" s="449"/>
      <c r="AS12" s="449"/>
      <c r="AT12" s="449"/>
      <c r="AU12" s="449"/>
      <c r="AV12" s="449">
        <f t="shared" si="12"/>
        <v>0</v>
      </c>
      <c r="AW12" s="449"/>
      <c r="AX12" s="449"/>
      <c r="AY12" s="449"/>
      <c r="AZ12" s="449"/>
      <c r="BA12" s="449"/>
      <c r="BB12" s="422"/>
    </row>
    <row r="13" spans="1:54" s="452" customFormat="1" ht="30" customHeight="1">
      <c r="A13" s="448">
        <f t="shared" si="13"/>
        <v>8</v>
      </c>
      <c r="B13" s="448">
        <v>1100</v>
      </c>
      <c r="C13" s="448" t="s">
        <v>17</v>
      </c>
      <c r="D13" s="449">
        <f>7000000-350000</f>
        <v>6650000</v>
      </c>
      <c r="E13" s="449">
        <v>7000000</v>
      </c>
      <c r="F13" s="449">
        <f t="shared" si="0"/>
        <v>-350000</v>
      </c>
      <c r="G13" s="449">
        <v>6650000</v>
      </c>
      <c r="H13" s="449">
        <v>6618731</v>
      </c>
      <c r="I13" s="449">
        <v>0</v>
      </c>
      <c r="J13" s="449">
        <v>15411</v>
      </c>
      <c r="K13" s="449">
        <f t="shared" si="9"/>
        <v>15411</v>
      </c>
      <c r="L13" s="449">
        <f t="shared" si="1"/>
        <v>6634142</v>
      </c>
      <c r="M13" s="449">
        <f t="shared" si="14"/>
        <v>15858</v>
      </c>
      <c r="N13" s="459"/>
      <c r="O13" s="449">
        <f t="shared" si="2"/>
        <v>0</v>
      </c>
      <c r="P13" s="449">
        <f t="shared" si="3"/>
        <v>15858</v>
      </c>
      <c r="Q13" s="449"/>
      <c r="R13" s="449"/>
      <c r="S13" s="449">
        <f t="shared" si="4"/>
        <v>0</v>
      </c>
      <c r="T13" s="449">
        <f t="shared" si="5"/>
        <v>0</v>
      </c>
      <c r="U13" s="459"/>
      <c r="V13" s="449">
        <f t="shared" si="7"/>
        <v>0</v>
      </c>
      <c r="W13" s="449"/>
      <c r="X13" s="449"/>
      <c r="Y13" s="449"/>
      <c r="Z13" s="449"/>
      <c r="AA13" s="448"/>
      <c r="AB13" s="448" t="s">
        <v>819</v>
      </c>
      <c r="AC13" s="448">
        <v>732000</v>
      </c>
      <c r="AD13" s="449"/>
      <c r="AE13" s="449"/>
      <c r="AF13" s="449"/>
      <c r="AG13" s="449"/>
      <c r="AH13" s="449"/>
      <c r="AI13" s="449"/>
      <c r="AJ13" s="449"/>
      <c r="AK13" s="449"/>
      <c r="AL13" s="449"/>
      <c r="AM13" s="449"/>
      <c r="AN13" s="449">
        <f t="shared" si="10"/>
        <v>0</v>
      </c>
      <c r="AO13" s="449">
        <f t="shared" si="8"/>
        <v>0</v>
      </c>
      <c r="AP13" s="449">
        <f t="shared" si="11"/>
        <v>0</v>
      </c>
      <c r="AQ13" s="449"/>
      <c r="AR13" s="449"/>
      <c r="AS13" s="449"/>
      <c r="AT13" s="449"/>
      <c r="AU13" s="449"/>
      <c r="AV13" s="449">
        <f t="shared" si="12"/>
        <v>0</v>
      </c>
      <c r="AW13" s="449"/>
      <c r="AX13" s="449"/>
      <c r="AY13" s="449"/>
      <c r="AZ13" s="449"/>
      <c r="BA13" s="449"/>
      <c r="BB13" s="422"/>
    </row>
    <row r="14" spans="1:54" s="456" customFormat="1" ht="30" customHeight="1">
      <c r="A14" s="448">
        <f t="shared" si="13"/>
        <v>9</v>
      </c>
      <c r="B14" s="448">
        <v>1129</v>
      </c>
      <c r="C14" s="448" t="s">
        <v>30</v>
      </c>
      <c r="D14" s="449">
        <f>7000000+3000000-2708229-291771</f>
        <v>7000000</v>
      </c>
      <c r="E14" s="449">
        <v>7000000</v>
      </c>
      <c r="F14" s="449">
        <f t="shared" si="0"/>
        <v>0</v>
      </c>
      <c r="G14" s="449">
        <v>6791771</v>
      </c>
      <c r="H14" s="449">
        <v>5976386</v>
      </c>
      <c r="I14" s="449">
        <v>0</v>
      </c>
      <c r="J14" s="449">
        <v>788942</v>
      </c>
      <c r="K14" s="449">
        <f t="shared" si="9"/>
        <v>788942</v>
      </c>
      <c r="L14" s="449">
        <f t="shared" si="1"/>
        <v>6765328</v>
      </c>
      <c r="M14" s="449">
        <f t="shared" si="14"/>
        <v>26443</v>
      </c>
      <c r="N14" s="449">
        <f>500000-400000</f>
        <v>100000</v>
      </c>
      <c r="O14" s="449">
        <f t="shared" si="2"/>
        <v>108229</v>
      </c>
      <c r="P14" s="449">
        <f t="shared" si="3"/>
        <v>26443</v>
      </c>
      <c r="Q14" s="449"/>
      <c r="R14" s="449"/>
      <c r="S14" s="449">
        <f t="shared" si="4"/>
        <v>0</v>
      </c>
      <c r="T14" s="449">
        <f t="shared" si="5"/>
        <v>0</v>
      </c>
      <c r="U14" s="449">
        <f t="shared" si="6"/>
        <v>100000</v>
      </c>
      <c r="V14" s="449">
        <f t="shared" si="7"/>
        <v>100000</v>
      </c>
      <c r="W14" s="449"/>
      <c r="X14" s="449"/>
      <c r="Y14" s="449"/>
      <c r="Z14" s="449"/>
      <c r="AA14" s="448"/>
      <c r="AB14" s="448" t="s">
        <v>318</v>
      </c>
      <c r="AC14" s="448">
        <v>742000</v>
      </c>
      <c r="AD14" s="449"/>
      <c r="AE14" s="449"/>
      <c r="AF14" s="449"/>
      <c r="AG14" s="449"/>
      <c r="AH14" s="449">
        <v>100000</v>
      </c>
      <c r="AI14" s="449"/>
      <c r="AJ14" s="449"/>
      <c r="AK14" s="449"/>
      <c r="AL14" s="449"/>
      <c r="AM14" s="449"/>
      <c r="AN14" s="449">
        <f t="shared" si="10"/>
        <v>100000</v>
      </c>
      <c r="AO14" s="449">
        <f t="shared" si="8"/>
        <v>0</v>
      </c>
      <c r="AP14" s="449">
        <f t="shared" si="11"/>
        <v>100000</v>
      </c>
      <c r="AQ14" s="449"/>
      <c r="AR14" s="449"/>
      <c r="AS14" s="449"/>
      <c r="AT14" s="449"/>
      <c r="AU14" s="449"/>
      <c r="AV14" s="449">
        <f t="shared" si="12"/>
        <v>0</v>
      </c>
      <c r="AW14" s="449"/>
      <c r="AX14" s="449"/>
      <c r="AY14" s="449"/>
      <c r="AZ14" s="449"/>
      <c r="BA14" s="449"/>
      <c r="BB14" s="422"/>
    </row>
    <row r="15" spans="1:54" s="452" customFormat="1" ht="30" customHeight="1">
      <c r="A15" s="448">
        <f t="shared" si="13"/>
        <v>10</v>
      </c>
      <c r="B15" s="448">
        <v>1220</v>
      </c>
      <c r="C15" s="448" t="s">
        <v>32</v>
      </c>
      <c r="D15" s="449">
        <v>7260000</v>
      </c>
      <c r="E15" s="449">
        <v>7260000</v>
      </c>
      <c r="F15" s="449">
        <f t="shared" si="0"/>
        <v>0</v>
      </c>
      <c r="G15" s="449">
        <v>6260000</v>
      </c>
      <c r="H15" s="449">
        <v>5783224</v>
      </c>
      <c r="I15" s="449">
        <v>0</v>
      </c>
      <c r="J15" s="449">
        <v>375025</v>
      </c>
      <c r="K15" s="449">
        <f t="shared" si="9"/>
        <v>375025</v>
      </c>
      <c r="L15" s="449">
        <f t="shared" si="1"/>
        <v>6158249</v>
      </c>
      <c r="M15" s="449">
        <f t="shared" si="14"/>
        <v>101751</v>
      </c>
      <c r="N15" s="449">
        <f>1000000-500000</f>
        <v>500000</v>
      </c>
      <c r="O15" s="449">
        <f t="shared" si="2"/>
        <v>500000</v>
      </c>
      <c r="P15" s="449">
        <f t="shared" si="3"/>
        <v>101751</v>
      </c>
      <c r="Q15" s="449"/>
      <c r="R15" s="449"/>
      <c r="S15" s="449">
        <f t="shared" si="4"/>
        <v>0</v>
      </c>
      <c r="T15" s="449">
        <f t="shared" si="5"/>
        <v>0</v>
      </c>
      <c r="U15" s="449">
        <f t="shared" si="6"/>
        <v>500000</v>
      </c>
      <c r="V15" s="449">
        <f t="shared" si="7"/>
        <v>500000</v>
      </c>
      <c r="W15" s="449"/>
      <c r="X15" s="449"/>
      <c r="Y15" s="449"/>
      <c r="Z15" s="449"/>
      <c r="AA15" s="448"/>
      <c r="AB15" s="448" t="s">
        <v>725</v>
      </c>
      <c r="AC15" s="448">
        <v>732000</v>
      </c>
      <c r="AD15" s="449"/>
      <c r="AE15" s="449"/>
      <c r="AF15" s="449">
        <f>500+149500</f>
        <v>150000</v>
      </c>
      <c r="AG15" s="449"/>
      <c r="AH15" s="449">
        <v>100000</v>
      </c>
      <c r="AI15" s="449"/>
      <c r="AJ15" s="449"/>
      <c r="AK15" s="449">
        <v>250000</v>
      </c>
      <c r="AL15" s="449"/>
      <c r="AM15" s="449"/>
      <c r="AN15" s="449">
        <f t="shared" si="10"/>
        <v>500000</v>
      </c>
      <c r="AO15" s="449">
        <f t="shared" si="8"/>
        <v>0</v>
      </c>
      <c r="AP15" s="449">
        <f t="shared" si="11"/>
        <v>500000</v>
      </c>
      <c r="AQ15" s="449"/>
      <c r="AR15" s="449"/>
      <c r="AS15" s="449"/>
      <c r="AT15" s="449"/>
      <c r="AU15" s="449"/>
      <c r="AV15" s="449">
        <f t="shared" si="12"/>
        <v>0</v>
      </c>
      <c r="AW15" s="449"/>
      <c r="AX15" s="449"/>
      <c r="AY15" s="449"/>
      <c r="AZ15" s="449"/>
      <c r="BA15" s="449"/>
      <c r="BB15" s="422"/>
    </row>
    <row r="16" spans="1:54" s="456" customFormat="1" ht="30" customHeight="1">
      <c r="A16" s="448">
        <f t="shared" si="13"/>
        <v>11</v>
      </c>
      <c r="B16" s="448">
        <v>1366</v>
      </c>
      <c r="C16" s="448" t="s">
        <v>34</v>
      </c>
      <c r="D16" s="449">
        <v>1500000</v>
      </c>
      <c r="E16" s="449">
        <v>1500000</v>
      </c>
      <c r="F16" s="449">
        <f t="shared" si="0"/>
        <v>0</v>
      </c>
      <c r="G16" s="449">
        <v>1076000</v>
      </c>
      <c r="H16" s="449">
        <v>818127</v>
      </c>
      <c r="I16" s="449">
        <v>0</v>
      </c>
      <c r="J16" s="449">
        <v>159951</v>
      </c>
      <c r="K16" s="449">
        <f t="shared" si="9"/>
        <v>159951</v>
      </c>
      <c r="L16" s="449">
        <f t="shared" si="1"/>
        <v>978078</v>
      </c>
      <c r="M16" s="449">
        <f t="shared" si="14"/>
        <v>97922</v>
      </c>
      <c r="N16" s="449">
        <f>400000-100000</f>
        <v>300000</v>
      </c>
      <c r="O16" s="449">
        <f t="shared" si="2"/>
        <v>124000</v>
      </c>
      <c r="P16" s="449">
        <f t="shared" si="3"/>
        <v>97922</v>
      </c>
      <c r="Q16" s="449"/>
      <c r="R16" s="449"/>
      <c r="S16" s="449">
        <f t="shared" si="4"/>
        <v>0</v>
      </c>
      <c r="T16" s="449">
        <f t="shared" si="5"/>
        <v>0</v>
      </c>
      <c r="U16" s="449">
        <f t="shared" si="6"/>
        <v>300000</v>
      </c>
      <c r="V16" s="449">
        <f t="shared" si="7"/>
        <v>300000</v>
      </c>
      <c r="W16" s="449"/>
      <c r="X16" s="449"/>
      <c r="Y16" s="449"/>
      <c r="Z16" s="449"/>
      <c r="AA16" s="448"/>
      <c r="AB16" s="448" t="s">
        <v>481</v>
      </c>
      <c r="AC16" s="448">
        <v>742000</v>
      </c>
      <c r="AD16" s="449"/>
      <c r="AE16" s="449"/>
      <c r="AF16" s="449">
        <v>150000</v>
      </c>
      <c r="AG16" s="449"/>
      <c r="AH16" s="449">
        <v>50000</v>
      </c>
      <c r="AI16" s="449"/>
      <c r="AJ16" s="449"/>
      <c r="AK16" s="449">
        <v>100000</v>
      </c>
      <c r="AL16" s="449"/>
      <c r="AM16" s="449"/>
      <c r="AN16" s="449">
        <f t="shared" si="10"/>
        <v>300000</v>
      </c>
      <c r="AO16" s="449">
        <f t="shared" si="8"/>
        <v>0</v>
      </c>
      <c r="AP16" s="449">
        <f t="shared" si="11"/>
        <v>300000</v>
      </c>
      <c r="AQ16" s="449"/>
      <c r="AR16" s="449"/>
      <c r="AS16" s="449"/>
      <c r="AT16" s="449"/>
      <c r="AU16" s="449"/>
      <c r="AV16" s="449">
        <f t="shared" si="12"/>
        <v>0</v>
      </c>
      <c r="AW16" s="449"/>
      <c r="AX16" s="449"/>
      <c r="AY16" s="449"/>
      <c r="AZ16" s="449"/>
      <c r="BA16" s="449"/>
      <c r="BB16" s="422"/>
    </row>
    <row r="17" spans="1:54" s="456" customFormat="1" ht="30" customHeight="1">
      <c r="A17" s="448">
        <f t="shared" si="13"/>
        <v>12</v>
      </c>
      <c r="B17" s="448">
        <v>1406</v>
      </c>
      <c r="C17" s="448" t="s">
        <v>99</v>
      </c>
      <c r="D17" s="449">
        <f>1350000-150000+50000</f>
        <v>1250000</v>
      </c>
      <c r="E17" s="449">
        <v>1350000</v>
      </c>
      <c r="F17" s="449">
        <f t="shared" si="0"/>
        <v>-100000</v>
      </c>
      <c r="G17" s="449">
        <v>1200000</v>
      </c>
      <c r="H17" s="449">
        <v>1036453</v>
      </c>
      <c r="I17" s="449">
        <v>0</v>
      </c>
      <c r="J17" s="449">
        <v>138702</v>
      </c>
      <c r="K17" s="449">
        <f t="shared" si="9"/>
        <v>138702</v>
      </c>
      <c r="L17" s="449">
        <f t="shared" si="1"/>
        <v>1175155</v>
      </c>
      <c r="M17" s="449">
        <f t="shared" si="14"/>
        <v>74845</v>
      </c>
      <c r="N17" s="459"/>
      <c r="O17" s="449">
        <f t="shared" si="2"/>
        <v>0</v>
      </c>
      <c r="P17" s="449">
        <f t="shared" si="3"/>
        <v>24845</v>
      </c>
      <c r="Q17" s="451">
        <v>50000</v>
      </c>
      <c r="R17" s="449"/>
      <c r="S17" s="449">
        <f t="shared" si="4"/>
        <v>50000</v>
      </c>
      <c r="T17" s="449">
        <f t="shared" si="5"/>
        <v>0</v>
      </c>
      <c r="U17" s="459"/>
      <c r="V17" s="449">
        <f t="shared" si="7"/>
        <v>0</v>
      </c>
      <c r="W17" s="449"/>
      <c r="X17" s="449"/>
      <c r="Y17" s="449"/>
      <c r="Z17" s="449"/>
      <c r="AA17" s="448"/>
      <c r="AB17" s="448" t="s">
        <v>785</v>
      </c>
      <c r="AC17" s="448">
        <v>732000</v>
      </c>
      <c r="AD17" s="449"/>
      <c r="AE17" s="449"/>
      <c r="AF17" s="449"/>
      <c r="AG17" s="449"/>
      <c r="AH17" s="449"/>
      <c r="AI17" s="449"/>
      <c r="AJ17" s="449"/>
      <c r="AK17" s="449"/>
      <c r="AL17" s="449"/>
      <c r="AM17" s="449"/>
      <c r="AN17" s="449">
        <f t="shared" si="10"/>
        <v>0</v>
      </c>
      <c r="AO17" s="449">
        <f t="shared" si="8"/>
        <v>0</v>
      </c>
      <c r="AP17" s="449">
        <f t="shared" si="11"/>
        <v>0</v>
      </c>
      <c r="AQ17" s="449"/>
      <c r="AR17" s="449"/>
      <c r="AS17" s="449"/>
      <c r="AT17" s="449"/>
      <c r="AU17" s="449"/>
      <c r="AV17" s="449">
        <f t="shared" si="12"/>
        <v>0</v>
      </c>
      <c r="AW17" s="449"/>
      <c r="AX17" s="449"/>
      <c r="AY17" s="449"/>
      <c r="AZ17" s="449"/>
      <c r="BA17" s="449"/>
      <c r="BB17" s="422"/>
    </row>
    <row r="18" spans="1:54" s="456" customFormat="1" ht="30" customHeight="1">
      <c r="A18" s="448">
        <f t="shared" si="13"/>
        <v>13</v>
      </c>
      <c r="B18" s="448">
        <v>1407</v>
      </c>
      <c r="C18" s="448" t="s">
        <v>18</v>
      </c>
      <c r="D18" s="449">
        <v>5295000</v>
      </c>
      <c r="E18" s="449">
        <v>5295000</v>
      </c>
      <c r="F18" s="449">
        <f t="shared" si="0"/>
        <v>0</v>
      </c>
      <c r="G18" s="449">
        <v>4145000</v>
      </c>
      <c r="H18" s="449">
        <v>2899736</v>
      </c>
      <c r="I18" s="449">
        <v>44037</v>
      </c>
      <c r="J18" s="449">
        <v>822297</v>
      </c>
      <c r="K18" s="449">
        <f t="shared" si="9"/>
        <v>866334</v>
      </c>
      <c r="L18" s="449">
        <f t="shared" si="1"/>
        <v>3766070</v>
      </c>
      <c r="M18" s="449">
        <f>P18+S18-780000+780000</f>
        <v>378930</v>
      </c>
      <c r="N18" s="449">
        <f>1930000-780000-150000-300000</f>
        <v>700000</v>
      </c>
      <c r="O18" s="449">
        <f t="shared" si="2"/>
        <v>450000</v>
      </c>
      <c r="P18" s="449">
        <f t="shared" si="3"/>
        <v>378930</v>
      </c>
      <c r="Q18" s="449"/>
      <c r="R18" s="449"/>
      <c r="S18" s="449">
        <f t="shared" si="4"/>
        <v>0</v>
      </c>
      <c r="T18" s="449">
        <f t="shared" si="5"/>
        <v>0</v>
      </c>
      <c r="U18" s="449">
        <f t="shared" si="6"/>
        <v>700000</v>
      </c>
      <c r="V18" s="449">
        <f t="shared" si="7"/>
        <v>700000</v>
      </c>
      <c r="W18" s="449"/>
      <c r="X18" s="449"/>
      <c r="Y18" s="449"/>
      <c r="Z18" s="449"/>
      <c r="AA18" s="448"/>
      <c r="AB18" s="448" t="s">
        <v>503</v>
      </c>
      <c r="AC18" s="448">
        <v>732000</v>
      </c>
      <c r="AD18" s="449"/>
      <c r="AE18" s="449"/>
      <c r="AF18" s="449"/>
      <c r="AG18" s="449"/>
      <c r="AH18" s="449"/>
      <c r="AI18" s="449"/>
      <c r="AJ18" s="449"/>
      <c r="AK18" s="449"/>
      <c r="AL18" s="449"/>
      <c r="AM18" s="449"/>
      <c r="AN18" s="449">
        <f t="shared" si="10"/>
        <v>0</v>
      </c>
      <c r="AO18" s="449">
        <f t="shared" si="8"/>
        <v>700000</v>
      </c>
      <c r="AP18" s="449">
        <f t="shared" si="11"/>
        <v>0</v>
      </c>
      <c r="AQ18" s="449"/>
      <c r="AR18" s="449"/>
      <c r="AS18" s="449"/>
      <c r="AT18" s="449"/>
      <c r="AU18" s="449"/>
      <c r="AV18" s="449">
        <f t="shared" si="12"/>
        <v>0</v>
      </c>
      <c r="AW18" s="449"/>
      <c r="AX18" s="449"/>
      <c r="AY18" s="449"/>
      <c r="AZ18" s="449"/>
      <c r="BA18" s="449"/>
      <c r="BB18" s="422"/>
    </row>
    <row r="19" spans="1:54" s="452" customFormat="1" ht="30" customHeight="1">
      <c r="A19" s="448">
        <f t="shared" si="13"/>
        <v>14</v>
      </c>
      <c r="B19" s="448">
        <v>1409</v>
      </c>
      <c r="C19" s="455" t="s">
        <v>820</v>
      </c>
      <c r="D19" s="449">
        <v>7680000</v>
      </c>
      <c r="E19" s="449">
        <v>7680000</v>
      </c>
      <c r="F19" s="449">
        <f t="shared" si="0"/>
        <v>0</v>
      </c>
      <c r="G19" s="449">
        <v>7230000</v>
      </c>
      <c r="H19" s="449">
        <v>5099564</v>
      </c>
      <c r="I19" s="449">
        <v>1314720</v>
      </c>
      <c r="J19" s="449">
        <v>0</v>
      </c>
      <c r="K19" s="449">
        <f t="shared" si="9"/>
        <v>1314720</v>
      </c>
      <c r="L19" s="449">
        <f t="shared" si="1"/>
        <v>6414284</v>
      </c>
      <c r="M19" s="449">
        <f>P19+S19-815000</f>
        <v>716</v>
      </c>
      <c r="N19" s="449">
        <v>570000</v>
      </c>
      <c r="O19" s="449">
        <f t="shared" si="2"/>
        <v>695000</v>
      </c>
      <c r="P19" s="449">
        <f t="shared" si="3"/>
        <v>815716</v>
      </c>
      <c r="Q19" s="449"/>
      <c r="R19" s="449"/>
      <c r="S19" s="449">
        <f t="shared" si="4"/>
        <v>0</v>
      </c>
      <c r="T19" s="449">
        <f t="shared" si="5"/>
        <v>815000</v>
      </c>
      <c r="U19" s="449">
        <f t="shared" si="6"/>
        <v>-245000</v>
      </c>
      <c r="V19" s="449">
        <f t="shared" si="7"/>
        <v>-245000</v>
      </c>
      <c r="W19" s="449"/>
      <c r="X19" s="449"/>
      <c r="Y19" s="449"/>
      <c r="Z19" s="449"/>
      <c r="AA19" s="448"/>
      <c r="AB19" s="448" t="s">
        <v>504</v>
      </c>
      <c r="AC19" s="448">
        <v>732000</v>
      </c>
      <c r="AD19" s="449"/>
      <c r="AE19" s="449"/>
      <c r="AF19" s="449">
        <v>-245000</v>
      </c>
      <c r="AG19" s="449"/>
      <c r="AH19" s="449"/>
      <c r="AI19" s="449"/>
      <c r="AJ19" s="449"/>
      <c r="AK19" s="449"/>
      <c r="AL19" s="449"/>
      <c r="AM19" s="449"/>
      <c r="AN19" s="449">
        <f t="shared" si="10"/>
        <v>-245000</v>
      </c>
      <c r="AO19" s="449">
        <f t="shared" si="8"/>
        <v>0</v>
      </c>
      <c r="AP19" s="449">
        <f t="shared" si="11"/>
        <v>-245000</v>
      </c>
      <c r="AQ19" s="449"/>
      <c r="AR19" s="449"/>
      <c r="AS19" s="449"/>
      <c r="AT19" s="449"/>
      <c r="AU19" s="449"/>
      <c r="AV19" s="449">
        <f t="shared" si="12"/>
        <v>0</v>
      </c>
      <c r="AW19" s="449"/>
      <c r="AX19" s="449"/>
      <c r="AY19" s="449"/>
      <c r="AZ19" s="449"/>
      <c r="BA19" s="449"/>
      <c r="BB19" s="422"/>
    </row>
    <row r="20" spans="1:54" s="452" customFormat="1" ht="30" customHeight="1">
      <c r="A20" s="448">
        <f t="shared" si="13"/>
        <v>15</v>
      </c>
      <c r="B20" s="448">
        <v>1466</v>
      </c>
      <c r="C20" s="448" t="s">
        <v>19</v>
      </c>
      <c r="D20" s="449">
        <v>2200000</v>
      </c>
      <c r="E20" s="449">
        <v>2200000</v>
      </c>
      <c r="F20" s="449">
        <f t="shared" si="0"/>
        <v>0</v>
      </c>
      <c r="G20" s="449">
        <v>1600000</v>
      </c>
      <c r="H20" s="449">
        <v>1287086</v>
      </c>
      <c r="I20" s="449">
        <v>0</v>
      </c>
      <c r="J20" s="449">
        <v>85206</v>
      </c>
      <c r="K20" s="449">
        <f t="shared" si="9"/>
        <v>85206</v>
      </c>
      <c r="L20" s="449">
        <f t="shared" si="1"/>
        <v>1372292</v>
      </c>
      <c r="M20" s="449">
        <f>P20+S20</f>
        <v>227708</v>
      </c>
      <c r="N20" s="449">
        <f>350000-150000-100000</f>
        <v>100000</v>
      </c>
      <c r="O20" s="449">
        <f t="shared" si="2"/>
        <v>500000</v>
      </c>
      <c r="P20" s="449">
        <f t="shared" si="3"/>
        <v>227708</v>
      </c>
      <c r="Q20" s="449"/>
      <c r="R20" s="449"/>
      <c r="S20" s="449">
        <f t="shared" si="4"/>
        <v>0</v>
      </c>
      <c r="T20" s="449">
        <f t="shared" si="5"/>
        <v>0</v>
      </c>
      <c r="U20" s="449">
        <f t="shared" si="6"/>
        <v>100000</v>
      </c>
      <c r="V20" s="449">
        <f t="shared" si="7"/>
        <v>100000</v>
      </c>
      <c r="W20" s="449"/>
      <c r="X20" s="449"/>
      <c r="Y20" s="449"/>
      <c r="Z20" s="449"/>
      <c r="AA20" s="448"/>
      <c r="AB20" s="448" t="s">
        <v>726</v>
      </c>
      <c r="AC20" s="448">
        <v>732000</v>
      </c>
      <c r="AD20" s="449"/>
      <c r="AE20" s="449"/>
      <c r="AF20" s="449"/>
      <c r="AG20" s="449"/>
      <c r="AH20" s="449"/>
      <c r="AI20" s="449"/>
      <c r="AJ20" s="449"/>
      <c r="AK20" s="449"/>
      <c r="AL20" s="449"/>
      <c r="AM20" s="449"/>
      <c r="AN20" s="449">
        <f t="shared" si="10"/>
        <v>0</v>
      </c>
      <c r="AO20" s="449">
        <f t="shared" si="8"/>
        <v>100000</v>
      </c>
      <c r="AP20" s="449">
        <f t="shared" si="11"/>
        <v>0</v>
      </c>
      <c r="AQ20" s="449"/>
      <c r="AR20" s="449"/>
      <c r="AS20" s="449"/>
      <c r="AT20" s="449"/>
      <c r="AU20" s="449"/>
      <c r="AV20" s="449">
        <f t="shared" si="12"/>
        <v>0</v>
      </c>
      <c r="AW20" s="449"/>
      <c r="AX20" s="449"/>
      <c r="AY20" s="449"/>
      <c r="AZ20" s="449"/>
      <c r="BA20" s="449"/>
      <c r="BB20" s="422"/>
    </row>
    <row r="21" spans="1:54" s="452" customFormat="1" ht="30" customHeight="1">
      <c r="A21" s="448">
        <f t="shared" si="13"/>
        <v>16</v>
      </c>
      <c r="B21" s="448">
        <v>1511</v>
      </c>
      <c r="C21" s="448" t="s">
        <v>1026</v>
      </c>
      <c r="D21" s="449">
        <f>960000-860000-82716</f>
        <v>17284</v>
      </c>
      <c r="E21" s="449">
        <v>960000</v>
      </c>
      <c r="F21" s="449">
        <f t="shared" si="0"/>
        <v>-942716</v>
      </c>
      <c r="G21" s="449">
        <v>100000</v>
      </c>
      <c r="H21" s="449">
        <v>17284</v>
      </c>
      <c r="I21" s="449">
        <v>0</v>
      </c>
      <c r="J21" s="449">
        <v>0</v>
      </c>
      <c r="K21" s="449">
        <f t="shared" si="9"/>
        <v>0</v>
      </c>
      <c r="L21" s="449">
        <f t="shared" si="1"/>
        <v>17284</v>
      </c>
      <c r="M21" s="449">
        <f>P21+S21-82716</f>
        <v>0</v>
      </c>
      <c r="N21" s="449">
        <v>0</v>
      </c>
      <c r="O21" s="449">
        <f t="shared" si="2"/>
        <v>0</v>
      </c>
      <c r="P21" s="449">
        <f t="shared" si="3"/>
        <v>82716</v>
      </c>
      <c r="Q21" s="449"/>
      <c r="R21" s="449"/>
      <c r="S21" s="449">
        <f t="shared" si="4"/>
        <v>0</v>
      </c>
      <c r="T21" s="449">
        <f t="shared" si="5"/>
        <v>82716</v>
      </c>
      <c r="U21" s="449">
        <f t="shared" si="6"/>
        <v>-82716</v>
      </c>
      <c r="V21" s="449">
        <f t="shared" si="7"/>
        <v>0</v>
      </c>
      <c r="W21" s="449"/>
      <c r="X21" s="449"/>
      <c r="Y21" s="449"/>
      <c r="Z21" s="449"/>
      <c r="AA21" s="449">
        <v>-82716</v>
      </c>
      <c r="AB21" s="448" t="s">
        <v>1027</v>
      </c>
      <c r="AC21" s="448">
        <v>742000</v>
      </c>
      <c r="AD21" s="449"/>
      <c r="AE21" s="449"/>
      <c r="AF21" s="449"/>
      <c r="AG21" s="449"/>
      <c r="AH21" s="449"/>
      <c r="AI21" s="449"/>
      <c r="AJ21" s="449">
        <v>-82716</v>
      </c>
      <c r="AK21" s="449"/>
      <c r="AL21" s="449"/>
      <c r="AM21" s="449"/>
      <c r="AN21" s="449">
        <f t="shared" si="10"/>
        <v>-82716</v>
      </c>
      <c r="AO21" s="449">
        <f t="shared" si="8"/>
        <v>0</v>
      </c>
      <c r="AP21" s="449">
        <f t="shared" si="11"/>
        <v>0</v>
      </c>
      <c r="AQ21" s="449"/>
      <c r="AR21" s="449"/>
      <c r="AS21" s="449"/>
      <c r="AT21" s="449"/>
      <c r="AU21" s="449">
        <v>-82716</v>
      </c>
      <c r="AV21" s="449">
        <f t="shared" si="12"/>
        <v>0</v>
      </c>
      <c r="AW21" s="449"/>
      <c r="AX21" s="449"/>
      <c r="AY21" s="449"/>
      <c r="AZ21" s="449"/>
      <c r="BA21" s="449"/>
      <c r="BB21" s="422"/>
    </row>
    <row r="22" spans="1:54" s="452" customFormat="1" ht="30" customHeight="1">
      <c r="A22" s="448">
        <f t="shared" si="13"/>
        <v>17</v>
      </c>
      <c r="B22" s="448">
        <v>1527</v>
      </c>
      <c r="C22" s="448" t="s">
        <v>585</v>
      </c>
      <c r="D22" s="449">
        <v>3000000</v>
      </c>
      <c r="E22" s="449">
        <v>3000000</v>
      </c>
      <c r="F22" s="449">
        <f t="shared" si="0"/>
        <v>0</v>
      </c>
      <c r="G22" s="449">
        <v>1150000</v>
      </c>
      <c r="H22" s="449">
        <v>881984</v>
      </c>
      <c r="I22" s="449">
        <v>0</v>
      </c>
      <c r="J22" s="449">
        <v>0</v>
      </c>
      <c r="K22" s="449">
        <f t="shared" si="9"/>
        <v>0</v>
      </c>
      <c r="L22" s="449">
        <f t="shared" si="1"/>
        <v>881984</v>
      </c>
      <c r="M22" s="449">
        <f>P22+S22-260000</f>
        <v>8016</v>
      </c>
      <c r="N22" s="449">
        <f>760000-260000-100000</f>
        <v>400000</v>
      </c>
      <c r="O22" s="449">
        <f t="shared" si="2"/>
        <v>1710000</v>
      </c>
      <c r="P22" s="449">
        <f t="shared" si="3"/>
        <v>268016</v>
      </c>
      <c r="Q22" s="449"/>
      <c r="R22" s="449"/>
      <c r="S22" s="449">
        <f t="shared" si="4"/>
        <v>0</v>
      </c>
      <c r="T22" s="449">
        <f t="shared" si="5"/>
        <v>260000</v>
      </c>
      <c r="U22" s="449">
        <f t="shared" si="6"/>
        <v>140000</v>
      </c>
      <c r="V22" s="449">
        <f t="shared" si="7"/>
        <v>140000</v>
      </c>
      <c r="W22" s="449"/>
      <c r="X22" s="449"/>
      <c r="Y22" s="449"/>
      <c r="Z22" s="449"/>
      <c r="AA22" s="448"/>
      <c r="AB22" s="448" t="s">
        <v>867</v>
      </c>
      <c r="AC22" s="448">
        <v>732000</v>
      </c>
      <c r="AD22" s="449"/>
      <c r="AE22" s="449"/>
      <c r="AF22" s="449"/>
      <c r="AG22" s="449"/>
      <c r="AH22" s="449"/>
      <c r="AI22" s="449"/>
      <c r="AJ22" s="449"/>
      <c r="AK22" s="449"/>
      <c r="AL22" s="449"/>
      <c r="AM22" s="449"/>
      <c r="AN22" s="449">
        <f t="shared" si="10"/>
        <v>0</v>
      </c>
      <c r="AO22" s="449">
        <f t="shared" si="8"/>
        <v>140000</v>
      </c>
      <c r="AP22" s="449">
        <f t="shared" si="11"/>
        <v>0</v>
      </c>
      <c r="AQ22" s="449"/>
      <c r="AR22" s="449"/>
      <c r="AS22" s="449"/>
      <c r="AT22" s="449"/>
      <c r="AU22" s="449"/>
      <c r="AV22" s="449">
        <f t="shared" si="12"/>
        <v>0</v>
      </c>
      <c r="AW22" s="449"/>
      <c r="AX22" s="449"/>
      <c r="AY22" s="449"/>
      <c r="AZ22" s="449"/>
      <c r="BA22" s="449"/>
      <c r="BB22" s="422"/>
    </row>
    <row r="23" spans="1:54" s="452" customFormat="1" ht="30" customHeight="1">
      <c r="A23" s="448">
        <f t="shared" si="13"/>
        <v>18</v>
      </c>
      <c r="B23" s="448">
        <v>1529</v>
      </c>
      <c r="C23" s="448" t="s">
        <v>41</v>
      </c>
      <c r="D23" s="449">
        <v>700000</v>
      </c>
      <c r="E23" s="449">
        <v>700000</v>
      </c>
      <c r="F23" s="449">
        <f t="shared" si="0"/>
        <v>0</v>
      </c>
      <c r="G23" s="449">
        <v>500000</v>
      </c>
      <c r="H23" s="449">
        <v>416686</v>
      </c>
      <c r="I23" s="449">
        <v>0</v>
      </c>
      <c r="J23" s="449">
        <v>17035</v>
      </c>
      <c r="K23" s="449">
        <f t="shared" si="9"/>
        <v>17035</v>
      </c>
      <c r="L23" s="449">
        <f t="shared" si="1"/>
        <v>433721</v>
      </c>
      <c r="M23" s="449">
        <f>P23+S23-50000</f>
        <v>16279</v>
      </c>
      <c r="N23" s="449">
        <v>200000</v>
      </c>
      <c r="O23" s="449">
        <f t="shared" si="2"/>
        <v>50000</v>
      </c>
      <c r="P23" s="449">
        <f t="shared" si="3"/>
        <v>66279</v>
      </c>
      <c r="Q23" s="449"/>
      <c r="R23" s="449"/>
      <c r="S23" s="449">
        <f t="shared" si="4"/>
        <v>0</v>
      </c>
      <c r="T23" s="449">
        <f t="shared" si="5"/>
        <v>50000</v>
      </c>
      <c r="U23" s="449">
        <f t="shared" si="6"/>
        <v>150000</v>
      </c>
      <c r="V23" s="449">
        <f t="shared" si="7"/>
        <v>150000</v>
      </c>
      <c r="W23" s="449"/>
      <c r="X23" s="449"/>
      <c r="Y23" s="449"/>
      <c r="Z23" s="449"/>
      <c r="AA23" s="448"/>
      <c r="AB23" s="448" t="s">
        <v>303</v>
      </c>
      <c r="AC23" s="448">
        <v>760000</v>
      </c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>
        <f t="shared" si="10"/>
        <v>0</v>
      </c>
      <c r="AO23" s="449">
        <f t="shared" si="8"/>
        <v>150000</v>
      </c>
      <c r="AP23" s="449">
        <f t="shared" si="11"/>
        <v>0</v>
      </c>
      <c r="AQ23" s="449"/>
      <c r="AR23" s="449"/>
      <c r="AS23" s="449"/>
      <c r="AT23" s="449"/>
      <c r="AU23" s="449"/>
      <c r="AV23" s="449">
        <f t="shared" si="12"/>
        <v>0</v>
      </c>
      <c r="AW23" s="449"/>
      <c r="AX23" s="449"/>
      <c r="AY23" s="449"/>
      <c r="AZ23" s="449"/>
      <c r="BA23" s="449"/>
      <c r="BB23" s="422"/>
    </row>
    <row r="24" spans="1:54" s="452" customFormat="1" ht="30" customHeight="1">
      <c r="A24" s="448">
        <f t="shared" si="13"/>
        <v>19</v>
      </c>
      <c r="B24" s="448">
        <v>1551</v>
      </c>
      <c r="C24" s="448" t="s">
        <v>1028</v>
      </c>
      <c r="D24" s="449">
        <v>525240</v>
      </c>
      <c r="E24" s="449">
        <v>525240</v>
      </c>
      <c r="F24" s="449">
        <f t="shared" si="0"/>
        <v>0</v>
      </c>
      <c r="G24" s="449">
        <v>375240</v>
      </c>
      <c r="H24" s="449">
        <v>225965</v>
      </c>
      <c r="I24" s="449">
        <v>18729</v>
      </c>
      <c r="J24" s="449">
        <v>0</v>
      </c>
      <c r="K24" s="449">
        <f t="shared" si="9"/>
        <v>18729</v>
      </c>
      <c r="L24" s="449">
        <f t="shared" si="1"/>
        <v>244694</v>
      </c>
      <c r="M24" s="449">
        <f>P24+S24-130000</f>
        <v>546</v>
      </c>
      <c r="N24" s="449">
        <f>280000-130000</f>
        <v>150000</v>
      </c>
      <c r="O24" s="449">
        <f t="shared" si="2"/>
        <v>130000</v>
      </c>
      <c r="P24" s="449">
        <f t="shared" si="3"/>
        <v>130546</v>
      </c>
      <c r="Q24" s="449"/>
      <c r="R24" s="449"/>
      <c r="S24" s="449"/>
      <c r="T24" s="449">
        <f t="shared" si="5"/>
        <v>130000</v>
      </c>
      <c r="U24" s="449">
        <f t="shared" si="6"/>
        <v>20000</v>
      </c>
      <c r="V24" s="449">
        <f t="shared" si="7"/>
        <v>20000</v>
      </c>
      <c r="W24" s="449"/>
      <c r="X24" s="449"/>
      <c r="Y24" s="449"/>
      <c r="Z24" s="449"/>
      <c r="AA24" s="448"/>
      <c r="AB24" s="448" t="s">
        <v>483</v>
      </c>
      <c r="AC24" s="448">
        <v>732000</v>
      </c>
      <c r="AD24" s="449"/>
      <c r="AE24" s="449"/>
      <c r="AF24" s="449"/>
      <c r="AG24" s="449"/>
      <c r="AH24" s="449"/>
      <c r="AI24" s="449"/>
      <c r="AJ24" s="449"/>
      <c r="AK24" s="449"/>
      <c r="AL24" s="449"/>
      <c r="AM24" s="449"/>
      <c r="AN24" s="449">
        <f t="shared" si="10"/>
        <v>0</v>
      </c>
      <c r="AO24" s="449">
        <f t="shared" si="8"/>
        <v>20000</v>
      </c>
      <c r="AP24" s="449">
        <f t="shared" si="11"/>
        <v>0</v>
      </c>
      <c r="AQ24" s="449"/>
      <c r="AR24" s="449"/>
      <c r="AS24" s="449"/>
      <c r="AT24" s="449"/>
      <c r="AU24" s="449"/>
      <c r="AV24" s="449">
        <f t="shared" si="12"/>
        <v>0</v>
      </c>
      <c r="AW24" s="449"/>
      <c r="AX24" s="449"/>
      <c r="AY24" s="449"/>
      <c r="AZ24" s="449"/>
      <c r="BA24" s="449"/>
      <c r="BB24" s="422"/>
    </row>
    <row r="25" spans="1:54" s="456" customFormat="1" ht="30" customHeight="1">
      <c r="A25" s="448">
        <f t="shared" si="13"/>
        <v>20</v>
      </c>
      <c r="B25" s="448">
        <v>1568</v>
      </c>
      <c r="C25" s="448" t="s">
        <v>1029</v>
      </c>
      <c r="D25" s="449">
        <v>46375301</v>
      </c>
      <c r="E25" s="449">
        <v>46375301</v>
      </c>
      <c r="F25" s="449">
        <f t="shared" si="0"/>
        <v>0</v>
      </c>
      <c r="G25" s="449">
        <v>28625301</v>
      </c>
      <c r="H25" s="449">
        <v>27779038</v>
      </c>
      <c r="I25" s="449">
        <v>0</v>
      </c>
      <c r="J25" s="449">
        <v>33946</v>
      </c>
      <c r="K25" s="449">
        <f t="shared" si="9"/>
        <v>33946</v>
      </c>
      <c r="L25" s="449">
        <f t="shared" si="1"/>
        <v>27812984</v>
      </c>
      <c r="M25" s="449">
        <f>P25+S25-800000</f>
        <v>12317</v>
      </c>
      <c r="N25" s="449">
        <f>250000-250000</f>
        <v>0</v>
      </c>
      <c r="O25" s="449">
        <f t="shared" si="2"/>
        <v>18550000</v>
      </c>
      <c r="P25" s="449">
        <f t="shared" si="3"/>
        <v>812317</v>
      </c>
      <c r="Q25" s="449"/>
      <c r="R25" s="449"/>
      <c r="S25" s="449"/>
      <c r="T25" s="449">
        <f>P25-M25+S25</f>
        <v>800000</v>
      </c>
      <c r="U25" s="449">
        <f>N25-T25</f>
        <v>-800000</v>
      </c>
      <c r="V25" s="449">
        <f>U25-AA25-W25-Z25</f>
        <v>-800000</v>
      </c>
      <c r="W25" s="449"/>
      <c r="X25" s="449"/>
      <c r="Y25" s="449"/>
      <c r="Z25" s="449"/>
      <c r="AA25" s="448"/>
      <c r="AB25" s="448"/>
      <c r="AC25" s="448">
        <v>746000</v>
      </c>
      <c r="AD25" s="449"/>
      <c r="AE25" s="449"/>
      <c r="AF25" s="449">
        <v>-800000</v>
      </c>
      <c r="AG25" s="449"/>
      <c r="AH25" s="449"/>
      <c r="AI25" s="449"/>
      <c r="AJ25" s="449"/>
      <c r="AK25" s="449"/>
      <c r="AL25" s="449"/>
      <c r="AM25" s="449"/>
      <c r="AN25" s="449">
        <f t="shared" si="10"/>
        <v>-800000</v>
      </c>
      <c r="AO25" s="449">
        <f t="shared" si="8"/>
        <v>0</v>
      </c>
      <c r="AP25" s="449">
        <f t="shared" si="11"/>
        <v>-800000</v>
      </c>
      <c r="AQ25" s="449"/>
      <c r="AR25" s="449"/>
      <c r="AS25" s="449"/>
      <c r="AT25" s="449"/>
      <c r="AU25" s="449"/>
      <c r="AV25" s="449">
        <f t="shared" si="12"/>
        <v>0</v>
      </c>
      <c r="AW25" s="449"/>
      <c r="AX25" s="449"/>
      <c r="AY25" s="449"/>
      <c r="AZ25" s="449"/>
      <c r="BA25" s="449"/>
      <c r="BB25" s="422"/>
    </row>
    <row r="26" spans="1:54" s="452" customFormat="1" ht="30" customHeight="1">
      <c r="A26" s="448">
        <f t="shared" si="13"/>
        <v>21</v>
      </c>
      <c r="B26" s="448">
        <v>1576</v>
      </c>
      <c r="C26" s="448" t="s">
        <v>42</v>
      </c>
      <c r="D26" s="449">
        <v>1000000</v>
      </c>
      <c r="E26" s="449">
        <v>1000000</v>
      </c>
      <c r="F26" s="449">
        <f t="shared" si="0"/>
        <v>0</v>
      </c>
      <c r="G26" s="449">
        <v>450000</v>
      </c>
      <c r="H26" s="449">
        <v>376310</v>
      </c>
      <c r="I26" s="449">
        <v>0</v>
      </c>
      <c r="J26" s="449">
        <v>0</v>
      </c>
      <c r="K26" s="449">
        <f t="shared" si="9"/>
        <v>0</v>
      </c>
      <c r="L26" s="449">
        <f t="shared" si="1"/>
        <v>376310</v>
      </c>
      <c r="M26" s="449">
        <f>P26+S26-70000</f>
        <v>3690</v>
      </c>
      <c r="N26" s="449">
        <v>70000</v>
      </c>
      <c r="O26" s="449">
        <f t="shared" si="2"/>
        <v>550000</v>
      </c>
      <c r="P26" s="449">
        <f t="shared" si="3"/>
        <v>73690</v>
      </c>
      <c r="Q26" s="449"/>
      <c r="R26" s="449"/>
      <c r="S26" s="449">
        <f t="shared" si="4"/>
        <v>0</v>
      </c>
      <c r="T26" s="449">
        <f t="shared" si="5"/>
        <v>70000</v>
      </c>
      <c r="U26" s="449">
        <f t="shared" si="6"/>
        <v>0</v>
      </c>
      <c r="V26" s="449">
        <f t="shared" si="7"/>
        <v>0</v>
      </c>
      <c r="W26" s="449"/>
      <c r="X26" s="449"/>
      <c r="Y26" s="449"/>
      <c r="Z26" s="449"/>
      <c r="AA26" s="448"/>
      <c r="AB26" s="448" t="s">
        <v>319</v>
      </c>
      <c r="AC26" s="448">
        <v>732000</v>
      </c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>
        <f t="shared" si="10"/>
        <v>0</v>
      </c>
      <c r="AO26" s="449">
        <f t="shared" si="8"/>
        <v>0</v>
      </c>
      <c r="AP26" s="449">
        <f t="shared" si="11"/>
        <v>0</v>
      </c>
      <c r="AQ26" s="449"/>
      <c r="AR26" s="449"/>
      <c r="AS26" s="449"/>
      <c r="AT26" s="449"/>
      <c r="AU26" s="449"/>
      <c r="AV26" s="449">
        <f t="shared" si="12"/>
        <v>0</v>
      </c>
      <c r="AW26" s="449"/>
      <c r="AX26" s="449"/>
      <c r="AY26" s="449"/>
      <c r="AZ26" s="449"/>
      <c r="BA26" s="449"/>
      <c r="BB26" s="422"/>
    </row>
    <row r="27" spans="1:54" s="456" customFormat="1" ht="30" customHeight="1">
      <c r="A27" s="448">
        <f t="shared" si="13"/>
        <v>22</v>
      </c>
      <c r="B27" s="448">
        <v>1587</v>
      </c>
      <c r="C27" s="448" t="s">
        <v>89</v>
      </c>
      <c r="D27" s="449">
        <f>34200000+850000-850000</f>
        <v>34200000</v>
      </c>
      <c r="E27" s="449">
        <v>34200000</v>
      </c>
      <c r="F27" s="449">
        <f t="shared" si="0"/>
        <v>0</v>
      </c>
      <c r="G27" s="449">
        <v>12550000</v>
      </c>
      <c r="H27" s="449">
        <v>9821195</v>
      </c>
      <c r="I27" s="449">
        <v>1026063</v>
      </c>
      <c r="J27" s="449">
        <v>496356</v>
      </c>
      <c r="K27" s="449">
        <f t="shared" si="9"/>
        <v>1522419</v>
      </c>
      <c r="L27" s="449">
        <f t="shared" si="1"/>
        <v>11343614</v>
      </c>
      <c r="M27" s="449">
        <f>P27+S27</f>
        <v>1366386</v>
      </c>
      <c r="N27" s="449">
        <f>22500000-4500000-16500000+4500000-3500000</f>
        <v>2500000</v>
      </c>
      <c r="O27" s="449">
        <f t="shared" si="2"/>
        <v>18990000</v>
      </c>
      <c r="P27" s="449">
        <f t="shared" si="3"/>
        <v>1206386</v>
      </c>
      <c r="Q27" s="482">
        <v>160000</v>
      </c>
      <c r="R27" s="449"/>
      <c r="S27" s="449">
        <f t="shared" si="4"/>
        <v>160000</v>
      </c>
      <c r="T27" s="449">
        <f t="shared" si="5"/>
        <v>0</v>
      </c>
      <c r="U27" s="449">
        <f t="shared" si="6"/>
        <v>2500000</v>
      </c>
      <c r="V27" s="449">
        <f t="shared" si="7"/>
        <v>2500000</v>
      </c>
      <c r="W27" s="449"/>
      <c r="X27" s="449"/>
      <c r="Y27" s="449"/>
      <c r="Z27" s="449"/>
      <c r="AA27" s="448"/>
      <c r="AB27" s="448" t="s">
        <v>812</v>
      </c>
      <c r="AC27" s="448">
        <v>742000</v>
      </c>
      <c r="AD27" s="449"/>
      <c r="AE27" s="449">
        <v>850000</v>
      </c>
      <c r="AF27" s="449"/>
      <c r="AG27" s="449"/>
      <c r="AH27" s="449"/>
      <c r="AI27" s="449"/>
      <c r="AJ27" s="449"/>
      <c r="AK27" s="449">
        <v>1200000</v>
      </c>
      <c r="AL27" s="449"/>
      <c r="AM27" s="449"/>
      <c r="AN27" s="449">
        <f t="shared" si="10"/>
        <v>2050000</v>
      </c>
      <c r="AO27" s="449">
        <f t="shared" si="8"/>
        <v>450000</v>
      </c>
      <c r="AP27" s="449">
        <f t="shared" si="11"/>
        <v>2050000</v>
      </c>
      <c r="AQ27" s="449"/>
      <c r="AR27" s="449"/>
      <c r="AS27" s="449"/>
      <c r="AT27" s="449"/>
      <c r="AU27" s="449"/>
      <c r="AV27" s="449">
        <f t="shared" si="12"/>
        <v>0</v>
      </c>
      <c r="AW27" s="449"/>
      <c r="AX27" s="449"/>
      <c r="AY27" s="449"/>
      <c r="AZ27" s="449"/>
      <c r="BA27" s="449"/>
      <c r="BB27" s="422"/>
    </row>
    <row r="28" spans="1:54" s="452" customFormat="1" ht="30" customHeight="1">
      <c r="A28" s="448">
        <f t="shared" si="13"/>
        <v>23</v>
      </c>
      <c r="B28" s="448">
        <v>1601</v>
      </c>
      <c r="C28" s="448" t="s">
        <v>35</v>
      </c>
      <c r="D28" s="449">
        <v>700000</v>
      </c>
      <c r="E28" s="449">
        <v>700000</v>
      </c>
      <c r="F28" s="449">
        <f t="shared" si="0"/>
        <v>0</v>
      </c>
      <c r="G28" s="449">
        <v>650000</v>
      </c>
      <c r="H28" s="449">
        <v>538227</v>
      </c>
      <c r="I28" s="449">
        <v>0</v>
      </c>
      <c r="J28" s="449">
        <v>0</v>
      </c>
      <c r="K28" s="449">
        <f t="shared" si="9"/>
        <v>0</v>
      </c>
      <c r="L28" s="449">
        <f t="shared" si="1"/>
        <v>538227</v>
      </c>
      <c r="M28" s="449">
        <f>P28+S28-100000</f>
        <v>11773</v>
      </c>
      <c r="N28" s="449">
        <f>100000-50000</f>
        <v>50000</v>
      </c>
      <c r="O28" s="449">
        <f t="shared" si="2"/>
        <v>100000</v>
      </c>
      <c r="P28" s="449">
        <f t="shared" si="3"/>
        <v>111773</v>
      </c>
      <c r="Q28" s="449"/>
      <c r="R28" s="449"/>
      <c r="S28" s="449">
        <f t="shared" si="4"/>
        <v>0</v>
      </c>
      <c r="T28" s="449">
        <f t="shared" si="5"/>
        <v>100000</v>
      </c>
      <c r="U28" s="449">
        <f t="shared" si="6"/>
        <v>-50000</v>
      </c>
      <c r="V28" s="449">
        <f t="shared" si="7"/>
        <v>-50000</v>
      </c>
      <c r="W28" s="449"/>
      <c r="X28" s="449"/>
      <c r="Y28" s="449"/>
      <c r="Z28" s="449"/>
      <c r="AA28" s="448"/>
      <c r="AB28" s="448" t="s">
        <v>540</v>
      </c>
      <c r="AC28" s="448">
        <v>742000</v>
      </c>
      <c r="AD28" s="449"/>
      <c r="AE28" s="449"/>
      <c r="AF28" s="449">
        <v>-50000</v>
      </c>
      <c r="AG28" s="449"/>
      <c r="AH28" s="449"/>
      <c r="AI28" s="449"/>
      <c r="AJ28" s="449"/>
      <c r="AK28" s="449"/>
      <c r="AL28" s="449"/>
      <c r="AM28" s="449"/>
      <c r="AN28" s="449">
        <f t="shared" si="10"/>
        <v>-50000</v>
      </c>
      <c r="AO28" s="449">
        <f t="shared" si="8"/>
        <v>0</v>
      </c>
      <c r="AP28" s="449">
        <f t="shared" si="11"/>
        <v>-50000</v>
      </c>
      <c r="AQ28" s="449"/>
      <c r="AR28" s="449"/>
      <c r="AS28" s="449"/>
      <c r="AT28" s="449"/>
      <c r="AU28" s="449"/>
      <c r="AV28" s="449">
        <f t="shared" si="12"/>
        <v>0</v>
      </c>
      <c r="AW28" s="449"/>
      <c r="AX28" s="449"/>
      <c r="AY28" s="449"/>
      <c r="AZ28" s="449"/>
      <c r="BA28" s="449"/>
      <c r="BB28" s="422"/>
    </row>
    <row r="29" spans="1:54" s="452" customFormat="1" ht="30" customHeight="1">
      <c r="A29" s="448">
        <f t="shared" si="13"/>
        <v>24</v>
      </c>
      <c r="B29" s="448">
        <v>1602</v>
      </c>
      <c r="C29" s="448" t="s">
        <v>1264</v>
      </c>
      <c r="D29" s="449">
        <v>31000000</v>
      </c>
      <c r="E29" s="449">
        <v>31000000</v>
      </c>
      <c r="F29" s="449">
        <f t="shared" si="0"/>
        <v>0</v>
      </c>
      <c r="G29" s="449">
        <v>31000000</v>
      </c>
      <c r="H29" s="449">
        <v>30452036</v>
      </c>
      <c r="I29" s="449">
        <v>0</v>
      </c>
      <c r="J29" s="449">
        <v>0</v>
      </c>
      <c r="K29" s="449">
        <f t="shared" si="9"/>
        <v>0</v>
      </c>
      <c r="L29" s="449">
        <f t="shared" si="1"/>
        <v>30452036</v>
      </c>
      <c r="M29" s="449">
        <f>P29+S29</f>
        <v>547964</v>
      </c>
      <c r="N29" s="459"/>
      <c r="O29" s="449">
        <f t="shared" si="2"/>
        <v>0</v>
      </c>
      <c r="P29" s="449">
        <f t="shared" si="3"/>
        <v>547964</v>
      </c>
      <c r="Q29" s="449"/>
      <c r="R29" s="449"/>
      <c r="S29" s="449">
        <f t="shared" si="4"/>
        <v>0</v>
      </c>
      <c r="T29" s="449">
        <f t="shared" si="5"/>
        <v>0</v>
      </c>
      <c r="U29" s="449">
        <f t="shared" si="6"/>
        <v>0</v>
      </c>
      <c r="V29" s="449">
        <f t="shared" si="7"/>
        <v>113956</v>
      </c>
      <c r="W29" s="449"/>
      <c r="X29" s="449"/>
      <c r="Y29" s="449"/>
      <c r="Z29" s="449"/>
      <c r="AA29" s="449">
        <v>-113956</v>
      </c>
      <c r="AB29" s="448" t="s">
        <v>821</v>
      </c>
      <c r="AC29" s="448">
        <v>742000</v>
      </c>
      <c r="AD29" s="449"/>
      <c r="AE29" s="449"/>
      <c r="AF29" s="329"/>
      <c r="AG29" s="449"/>
      <c r="AH29" s="449"/>
      <c r="AI29" s="449"/>
      <c r="AJ29" s="449"/>
      <c r="AK29" s="449"/>
      <c r="AL29" s="449"/>
      <c r="AM29" s="449"/>
      <c r="AN29" s="449">
        <f t="shared" si="10"/>
        <v>0</v>
      </c>
      <c r="AO29" s="449">
        <f t="shared" si="8"/>
        <v>0</v>
      </c>
      <c r="AP29" s="449">
        <f t="shared" si="11"/>
        <v>113956</v>
      </c>
      <c r="AQ29" s="449"/>
      <c r="AR29" s="449"/>
      <c r="AS29" s="449"/>
      <c r="AT29" s="449"/>
      <c r="AU29" s="449">
        <v>-113956</v>
      </c>
      <c r="AV29" s="449">
        <f t="shared" si="12"/>
        <v>0</v>
      </c>
      <c r="AW29" s="449"/>
      <c r="AX29" s="449"/>
      <c r="AY29" s="449"/>
      <c r="AZ29" s="449"/>
      <c r="BA29" s="449"/>
      <c r="BB29" s="422"/>
    </row>
    <row r="30" spans="1:54" s="452" customFormat="1" ht="30" customHeight="1">
      <c r="A30" s="448">
        <f t="shared" si="13"/>
        <v>25</v>
      </c>
      <c r="B30" s="448">
        <v>1620</v>
      </c>
      <c r="C30" s="455" t="s">
        <v>1030</v>
      </c>
      <c r="D30" s="450">
        <f>1000000+1000000+200000-1100000+3100000</f>
        <v>4200000</v>
      </c>
      <c r="E30" s="449">
        <v>1000000</v>
      </c>
      <c r="F30" s="449">
        <f t="shared" si="0"/>
        <v>3200000</v>
      </c>
      <c r="G30" s="449">
        <v>100000</v>
      </c>
      <c r="H30" s="449">
        <v>0</v>
      </c>
      <c r="I30" s="449">
        <v>0</v>
      </c>
      <c r="J30" s="449">
        <v>0</v>
      </c>
      <c r="K30" s="449">
        <f t="shared" si="9"/>
        <v>0</v>
      </c>
      <c r="L30" s="449">
        <f t="shared" si="1"/>
        <v>0</v>
      </c>
      <c r="M30" s="449">
        <f>P30+S30</f>
        <v>100000</v>
      </c>
      <c r="N30" s="450">
        <f>1900000+200000-1100000</f>
        <v>1000000</v>
      </c>
      <c r="O30" s="449">
        <f t="shared" si="2"/>
        <v>3100000</v>
      </c>
      <c r="P30" s="449">
        <f t="shared" si="3"/>
        <v>100000</v>
      </c>
      <c r="Q30" s="449"/>
      <c r="R30" s="449"/>
      <c r="S30" s="449">
        <f t="shared" si="4"/>
        <v>0</v>
      </c>
      <c r="T30" s="449">
        <f t="shared" si="5"/>
        <v>0</v>
      </c>
      <c r="U30" s="449">
        <f t="shared" si="6"/>
        <v>1000000</v>
      </c>
      <c r="V30" s="449">
        <f t="shared" si="7"/>
        <v>1000000</v>
      </c>
      <c r="W30" s="449"/>
      <c r="X30" s="449"/>
      <c r="Y30" s="449"/>
      <c r="Z30" s="449"/>
      <c r="AA30" s="448"/>
      <c r="AB30" s="448" t="s">
        <v>786</v>
      </c>
      <c r="AC30" s="448">
        <v>732000</v>
      </c>
      <c r="AD30" s="449"/>
      <c r="AE30" s="449"/>
      <c r="AF30" s="449"/>
      <c r="AG30" s="449"/>
      <c r="AH30" s="449"/>
      <c r="AI30" s="449"/>
      <c r="AJ30" s="449"/>
      <c r="AK30" s="449"/>
      <c r="AL30" s="449"/>
      <c r="AM30" s="449">
        <v>100000</v>
      </c>
      <c r="AN30" s="449">
        <f t="shared" si="10"/>
        <v>100000</v>
      </c>
      <c r="AO30" s="449">
        <f t="shared" si="8"/>
        <v>900000</v>
      </c>
      <c r="AP30" s="449">
        <f t="shared" si="11"/>
        <v>100000</v>
      </c>
      <c r="AQ30" s="449"/>
      <c r="AR30" s="449"/>
      <c r="AS30" s="449"/>
      <c r="AT30" s="449"/>
      <c r="AU30" s="449"/>
      <c r="AV30" s="449">
        <f t="shared" si="12"/>
        <v>100000</v>
      </c>
      <c r="AW30" s="449"/>
      <c r="AX30" s="449"/>
      <c r="AY30" s="449"/>
      <c r="AZ30" s="449"/>
      <c r="BA30" s="449"/>
      <c r="BB30" s="422"/>
    </row>
    <row r="31" spans="1:54" s="456" customFormat="1" ht="30" customHeight="1">
      <c r="A31" s="448">
        <f t="shared" si="13"/>
        <v>26</v>
      </c>
      <c r="B31" s="448">
        <v>1660</v>
      </c>
      <c r="C31" s="448" t="s">
        <v>20</v>
      </c>
      <c r="D31" s="449">
        <v>2000000</v>
      </c>
      <c r="E31" s="449">
        <v>2000000</v>
      </c>
      <c r="F31" s="449">
        <f t="shared" si="0"/>
        <v>0</v>
      </c>
      <c r="G31" s="449">
        <v>1100000</v>
      </c>
      <c r="H31" s="449">
        <v>200398</v>
      </c>
      <c r="I31" s="449">
        <v>284310</v>
      </c>
      <c r="J31" s="449">
        <v>315018</v>
      </c>
      <c r="K31" s="449">
        <f t="shared" si="9"/>
        <v>599328</v>
      </c>
      <c r="L31" s="449">
        <f t="shared" si="1"/>
        <v>799726</v>
      </c>
      <c r="M31" s="449">
        <f>P31+S31-200000</f>
        <v>100274</v>
      </c>
      <c r="N31" s="449">
        <f>800000-400000</f>
        <v>400000</v>
      </c>
      <c r="O31" s="449">
        <f t="shared" si="2"/>
        <v>700000</v>
      </c>
      <c r="P31" s="449">
        <f t="shared" si="3"/>
        <v>300274</v>
      </c>
      <c r="Q31" s="449"/>
      <c r="R31" s="449"/>
      <c r="S31" s="449">
        <f t="shared" si="4"/>
        <v>0</v>
      </c>
      <c r="T31" s="449">
        <f t="shared" si="5"/>
        <v>200000</v>
      </c>
      <c r="U31" s="449">
        <f t="shared" si="6"/>
        <v>200000</v>
      </c>
      <c r="V31" s="449">
        <f t="shared" si="7"/>
        <v>200000</v>
      </c>
      <c r="W31" s="449"/>
      <c r="X31" s="449"/>
      <c r="Y31" s="449"/>
      <c r="Z31" s="449"/>
      <c r="AA31" s="448"/>
      <c r="AB31" s="448" t="s">
        <v>773</v>
      </c>
      <c r="AC31" s="448">
        <v>732000</v>
      </c>
      <c r="AD31" s="449"/>
      <c r="AE31" s="449"/>
      <c r="AF31" s="449"/>
      <c r="AG31" s="449"/>
      <c r="AH31" s="449"/>
      <c r="AI31" s="449"/>
      <c r="AJ31" s="449"/>
      <c r="AK31" s="449">
        <v>200000</v>
      </c>
      <c r="AL31" s="449"/>
      <c r="AM31" s="449"/>
      <c r="AN31" s="449">
        <f t="shared" si="10"/>
        <v>200000</v>
      </c>
      <c r="AO31" s="449">
        <f t="shared" si="8"/>
        <v>0</v>
      </c>
      <c r="AP31" s="449">
        <f t="shared" si="11"/>
        <v>200000</v>
      </c>
      <c r="AQ31" s="449"/>
      <c r="AR31" s="449"/>
      <c r="AS31" s="449"/>
      <c r="AT31" s="449"/>
      <c r="AU31" s="449"/>
      <c r="AV31" s="449">
        <f t="shared" si="12"/>
        <v>0</v>
      </c>
      <c r="AW31" s="449"/>
      <c r="AX31" s="449"/>
      <c r="AY31" s="449"/>
      <c r="AZ31" s="449"/>
      <c r="BA31" s="449"/>
      <c r="BB31" s="422"/>
    </row>
    <row r="32" spans="1:54" s="456" customFormat="1" ht="30" customHeight="1">
      <c r="A32" s="448">
        <f t="shared" si="13"/>
        <v>27</v>
      </c>
      <c r="B32" s="448">
        <v>1674</v>
      </c>
      <c r="C32" s="448" t="s">
        <v>1031</v>
      </c>
      <c r="D32" s="449">
        <f>1800000-165000</f>
        <v>1635000</v>
      </c>
      <c r="E32" s="449">
        <v>1800000</v>
      </c>
      <c r="F32" s="449">
        <f t="shared" si="0"/>
        <v>-165000</v>
      </c>
      <c r="G32" s="449">
        <v>1800000</v>
      </c>
      <c r="H32" s="449">
        <v>1594910</v>
      </c>
      <c r="I32" s="449">
        <v>3578</v>
      </c>
      <c r="J32" s="449">
        <v>34220</v>
      </c>
      <c r="K32" s="449">
        <f t="shared" si="9"/>
        <v>37798</v>
      </c>
      <c r="L32" s="449">
        <f t="shared" si="1"/>
        <v>1632708</v>
      </c>
      <c r="M32" s="449">
        <f>P32+S32-165000</f>
        <v>2292</v>
      </c>
      <c r="N32" s="449"/>
      <c r="O32" s="449">
        <f t="shared" si="2"/>
        <v>0</v>
      </c>
      <c r="P32" s="449">
        <f t="shared" si="3"/>
        <v>167292</v>
      </c>
      <c r="Q32" s="449"/>
      <c r="R32" s="449"/>
      <c r="S32" s="449">
        <f t="shared" si="4"/>
        <v>0</v>
      </c>
      <c r="T32" s="449">
        <f t="shared" si="5"/>
        <v>165000</v>
      </c>
      <c r="U32" s="449">
        <f t="shared" si="6"/>
        <v>-165000</v>
      </c>
      <c r="V32" s="449">
        <f t="shared" si="7"/>
        <v>-165000</v>
      </c>
      <c r="W32" s="449"/>
      <c r="X32" s="449"/>
      <c r="Y32" s="449"/>
      <c r="Z32" s="449"/>
      <c r="AA32" s="449"/>
      <c r="AB32" s="448" t="s">
        <v>1032</v>
      </c>
      <c r="AC32" s="448">
        <v>732000</v>
      </c>
      <c r="AD32" s="449"/>
      <c r="AE32" s="449"/>
      <c r="AF32" s="449">
        <v>-165000</v>
      </c>
      <c r="AG32" s="449"/>
      <c r="AH32" s="449"/>
      <c r="AI32" s="449"/>
      <c r="AJ32" s="449"/>
      <c r="AK32" s="449"/>
      <c r="AL32" s="449"/>
      <c r="AM32" s="449"/>
      <c r="AN32" s="449">
        <f t="shared" si="10"/>
        <v>-165000</v>
      </c>
      <c r="AO32" s="449">
        <f t="shared" si="8"/>
        <v>0</v>
      </c>
      <c r="AP32" s="449">
        <f t="shared" si="11"/>
        <v>-165000</v>
      </c>
      <c r="AQ32" s="449"/>
      <c r="AR32" s="449"/>
      <c r="AS32" s="449"/>
      <c r="AT32" s="449"/>
      <c r="AU32" s="449"/>
      <c r="AV32" s="449">
        <f t="shared" si="12"/>
        <v>0</v>
      </c>
      <c r="AW32" s="449"/>
      <c r="AX32" s="449"/>
      <c r="AY32" s="449"/>
      <c r="AZ32" s="449"/>
      <c r="BA32" s="449"/>
      <c r="BB32" s="422"/>
    </row>
    <row r="33" spans="1:54" s="452" customFormat="1" ht="30" customHeight="1">
      <c r="A33" s="448">
        <f t="shared" si="13"/>
        <v>28</v>
      </c>
      <c r="B33" s="448">
        <v>1692</v>
      </c>
      <c r="C33" s="448" t="s">
        <v>21</v>
      </c>
      <c r="D33" s="449">
        <v>2450000</v>
      </c>
      <c r="E33" s="449">
        <v>2450000</v>
      </c>
      <c r="F33" s="449">
        <f t="shared" si="0"/>
        <v>0</v>
      </c>
      <c r="G33" s="449">
        <v>1746509</v>
      </c>
      <c r="H33" s="449">
        <v>578671</v>
      </c>
      <c r="I33" s="449">
        <v>128716</v>
      </c>
      <c r="J33" s="449">
        <v>0</v>
      </c>
      <c r="K33" s="449">
        <f t="shared" si="9"/>
        <v>128716</v>
      </c>
      <c r="L33" s="449">
        <f t="shared" si="1"/>
        <v>707387</v>
      </c>
      <c r="M33" s="449">
        <f>P33+S33-1030000</f>
        <v>9122</v>
      </c>
      <c r="N33" s="449">
        <f>1030000+703491-703491</f>
        <v>1030000</v>
      </c>
      <c r="O33" s="449">
        <f t="shared" si="2"/>
        <v>703491</v>
      </c>
      <c r="P33" s="449">
        <f t="shared" si="3"/>
        <v>1039122</v>
      </c>
      <c r="Q33" s="449"/>
      <c r="R33" s="449"/>
      <c r="S33" s="449">
        <f t="shared" si="4"/>
        <v>0</v>
      </c>
      <c r="T33" s="449">
        <f t="shared" si="5"/>
        <v>1030000</v>
      </c>
      <c r="U33" s="449">
        <f t="shared" si="6"/>
        <v>0</v>
      </c>
      <c r="V33" s="449">
        <f t="shared" si="7"/>
        <v>0</v>
      </c>
      <c r="W33" s="449"/>
      <c r="X33" s="449"/>
      <c r="Y33" s="449"/>
      <c r="Z33" s="449"/>
      <c r="AA33" s="449"/>
      <c r="AB33" s="448" t="s">
        <v>868</v>
      </c>
      <c r="AC33" s="448">
        <v>732000</v>
      </c>
      <c r="AD33" s="449"/>
      <c r="AE33" s="449"/>
      <c r="AF33" s="449"/>
      <c r="AG33" s="449"/>
      <c r="AH33" s="449"/>
      <c r="AI33" s="449"/>
      <c r="AJ33" s="449"/>
      <c r="AK33" s="449"/>
      <c r="AL33" s="449"/>
      <c r="AM33" s="449"/>
      <c r="AN33" s="449">
        <f t="shared" si="10"/>
        <v>0</v>
      </c>
      <c r="AO33" s="449">
        <f t="shared" si="8"/>
        <v>0</v>
      </c>
      <c r="AP33" s="449">
        <f t="shared" si="11"/>
        <v>0</v>
      </c>
      <c r="AQ33" s="449"/>
      <c r="AR33" s="449"/>
      <c r="AS33" s="449"/>
      <c r="AT33" s="449"/>
      <c r="AU33" s="449"/>
      <c r="AV33" s="449">
        <f t="shared" si="12"/>
        <v>0</v>
      </c>
      <c r="AW33" s="449"/>
      <c r="AX33" s="449"/>
      <c r="AY33" s="449"/>
      <c r="AZ33" s="449"/>
      <c r="BA33" s="449"/>
      <c r="BB33" s="422"/>
    </row>
    <row r="34" spans="1:54" s="452" customFormat="1" ht="30" customHeight="1">
      <c r="A34" s="448">
        <f t="shared" si="13"/>
        <v>29</v>
      </c>
      <c r="B34" s="448">
        <v>1701</v>
      </c>
      <c r="C34" s="448" t="s">
        <v>244</v>
      </c>
      <c r="D34" s="449">
        <v>1250000</v>
      </c>
      <c r="E34" s="449">
        <v>1250000</v>
      </c>
      <c r="F34" s="449">
        <f t="shared" si="0"/>
        <v>0</v>
      </c>
      <c r="G34" s="449">
        <v>570000</v>
      </c>
      <c r="H34" s="449">
        <v>149316</v>
      </c>
      <c r="I34" s="449">
        <v>75117</v>
      </c>
      <c r="J34" s="449">
        <v>144812</v>
      </c>
      <c r="K34" s="449">
        <f t="shared" si="9"/>
        <v>219929</v>
      </c>
      <c r="L34" s="449">
        <f t="shared" si="1"/>
        <v>369245</v>
      </c>
      <c r="M34" s="449">
        <f>P34+S34-100000</f>
        <v>100755</v>
      </c>
      <c r="N34" s="449">
        <v>100000</v>
      </c>
      <c r="O34" s="449">
        <f t="shared" si="2"/>
        <v>680000</v>
      </c>
      <c r="P34" s="449">
        <f t="shared" si="3"/>
        <v>200755</v>
      </c>
      <c r="Q34" s="449"/>
      <c r="R34" s="449"/>
      <c r="S34" s="449">
        <f t="shared" si="4"/>
        <v>0</v>
      </c>
      <c r="T34" s="449">
        <f t="shared" si="5"/>
        <v>100000</v>
      </c>
      <c r="U34" s="449">
        <f t="shared" si="6"/>
        <v>0</v>
      </c>
      <c r="V34" s="449">
        <f t="shared" si="7"/>
        <v>0</v>
      </c>
      <c r="W34" s="449"/>
      <c r="X34" s="449"/>
      <c r="Y34" s="449"/>
      <c r="Z34" s="449"/>
      <c r="AA34" s="448"/>
      <c r="AB34" s="448" t="s">
        <v>485</v>
      </c>
      <c r="AC34" s="448">
        <v>732000</v>
      </c>
      <c r="AD34" s="449"/>
      <c r="AE34" s="449"/>
      <c r="AF34" s="449"/>
      <c r="AG34" s="449"/>
      <c r="AH34" s="449"/>
      <c r="AI34" s="449"/>
      <c r="AJ34" s="449"/>
      <c r="AK34" s="449"/>
      <c r="AL34" s="449"/>
      <c r="AM34" s="449"/>
      <c r="AN34" s="449">
        <f t="shared" si="10"/>
        <v>0</v>
      </c>
      <c r="AO34" s="449">
        <f t="shared" si="8"/>
        <v>0</v>
      </c>
      <c r="AP34" s="449">
        <f t="shared" si="11"/>
        <v>0</v>
      </c>
      <c r="AQ34" s="449"/>
      <c r="AR34" s="449"/>
      <c r="AS34" s="449"/>
      <c r="AT34" s="449"/>
      <c r="AU34" s="449"/>
      <c r="AV34" s="449">
        <f t="shared" si="12"/>
        <v>0</v>
      </c>
      <c r="AW34" s="449"/>
      <c r="AX34" s="449"/>
      <c r="AY34" s="449"/>
      <c r="AZ34" s="449"/>
      <c r="BA34" s="449"/>
      <c r="BB34" s="422"/>
    </row>
    <row r="35" spans="1:54" s="452" customFormat="1" ht="30" customHeight="1">
      <c r="A35" s="448">
        <f t="shared" si="13"/>
        <v>30</v>
      </c>
      <c r="B35" s="448">
        <v>1722</v>
      </c>
      <c r="C35" s="448" t="s">
        <v>36</v>
      </c>
      <c r="D35" s="449">
        <v>2400000</v>
      </c>
      <c r="E35" s="449">
        <v>2400000</v>
      </c>
      <c r="F35" s="449">
        <f t="shared" si="0"/>
        <v>0</v>
      </c>
      <c r="G35" s="449">
        <v>300000</v>
      </c>
      <c r="H35" s="449">
        <v>100501</v>
      </c>
      <c r="I35" s="449">
        <v>67053</v>
      </c>
      <c r="J35" s="449">
        <v>0</v>
      </c>
      <c r="K35" s="449">
        <f t="shared" si="9"/>
        <v>67053</v>
      </c>
      <c r="L35" s="449">
        <f t="shared" si="1"/>
        <v>167554</v>
      </c>
      <c r="M35" s="449">
        <f>P35+S35-130000</f>
        <v>2446</v>
      </c>
      <c r="N35" s="449">
        <v>130000</v>
      </c>
      <c r="O35" s="449">
        <f t="shared" si="2"/>
        <v>2100000</v>
      </c>
      <c r="P35" s="449">
        <f t="shared" si="3"/>
        <v>132446</v>
      </c>
      <c r="Q35" s="449"/>
      <c r="R35" s="449"/>
      <c r="S35" s="449">
        <f t="shared" si="4"/>
        <v>0</v>
      </c>
      <c r="T35" s="449">
        <f t="shared" si="5"/>
        <v>130000</v>
      </c>
      <c r="U35" s="449">
        <f t="shared" si="6"/>
        <v>0</v>
      </c>
      <c r="V35" s="449">
        <f t="shared" si="7"/>
        <v>0</v>
      </c>
      <c r="W35" s="449"/>
      <c r="X35" s="449"/>
      <c r="Y35" s="449"/>
      <c r="Z35" s="449"/>
      <c r="AA35" s="448"/>
      <c r="AB35" s="448" t="s">
        <v>245</v>
      </c>
      <c r="AC35" s="448">
        <v>742000</v>
      </c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>
        <f t="shared" si="10"/>
        <v>0</v>
      </c>
      <c r="AO35" s="449">
        <f t="shared" si="8"/>
        <v>0</v>
      </c>
      <c r="AP35" s="449">
        <f t="shared" si="11"/>
        <v>0</v>
      </c>
      <c r="AQ35" s="449"/>
      <c r="AR35" s="449"/>
      <c r="AS35" s="449"/>
      <c r="AT35" s="449"/>
      <c r="AU35" s="449"/>
      <c r="AV35" s="449">
        <f t="shared" si="12"/>
        <v>0</v>
      </c>
      <c r="AW35" s="449"/>
      <c r="AX35" s="449"/>
      <c r="AY35" s="449"/>
      <c r="AZ35" s="449"/>
      <c r="BA35" s="449"/>
      <c r="BB35" s="422"/>
    </row>
    <row r="36" spans="1:54" s="456" customFormat="1" ht="30" customHeight="1">
      <c r="A36" s="448">
        <f t="shared" si="13"/>
        <v>31</v>
      </c>
      <c r="B36" s="448">
        <v>1744</v>
      </c>
      <c r="C36" s="448" t="s">
        <v>37</v>
      </c>
      <c r="D36" s="449">
        <v>13000000</v>
      </c>
      <c r="E36" s="449">
        <v>13000000</v>
      </c>
      <c r="F36" s="449">
        <f t="shared" si="0"/>
        <v>0</v>
      </c>
      <c r="G36" s="449">
        <v>7200000</v>
      </c>
      <c r="H36" s="449">
        <v>6013581</v>
      </c>
      <c r="I36" s="449">
        <v>0</v>
      </c>
      <c r="J36" s="449">
        <v>134505</v>
      </c>
      <c r="K36" s="449">
        <f t="shared" si="9"/>
        <v>134505</v>
      </c>
      <c r="L36" s="449">
        <f t="shared" si="1"/>
        <v>6148086</v>
      </c>
      <c r="M36" s="449">
        <f>P36+S36-800000</f>
        <v>251914</v>
      </c>
      <c r="N36" s="449">
        <f>1000000-200000-800000</f>
        <v>0</v>
      </c>
      <c r="O36" s="449">
        <f t="shared" si="2"/>
        <v>6600000</v>
      </c>
      <c r="P36" s="449">
        <f t="shared" si="3"/>
        <v>1051914</v>
      </c>
      <c r="Q36" s="449"/>
      <c r="R36" s="449"/>
      <c r="S36" s="449">
        <f t="shared" si="4"/>
        <v>0</v>
      </c>
      <c r="T36" s="449">
        <f t="shared" si="5"/>
        <v>800000</v>
      </c>
      <c r="U36" s="449">
        <f t="shared" si="6"/>
        <v>-800000</v>
      </c>
      <c r="V36" s="449">
        <f t="shared" si="7"/>
        <v>-800000</v>
      </c>
      <c r="W36" s="449"/>
      <c r="X36" s="449"/>
      <c r="Y36" s="449"/>
      <c r="Z36" s="449"/>
      <c r="AA36" s="448"/>
      <c r="AB36" s="448" t="s">
        <v>787</v>
      </c>
      <c r="AC36" s="448">
        <v>742000</v>
      </c>
      <c r="AD36" s="449"/>
      <c r="AE36" s="449"/>
      <c r="AF36" s="449"/>
      <c r="AG36" s="449"/>
      <c r="AH36" s="449"/>
      <c r="AI36" s="449"/>
      <c r="AJ36" s="449"/>
      <c r="AK36" s="449"/>
      <c r="AL36" s="449"/>
      <c r="AM36" s="449"/>
      <c r="AN36" s="449">
        <f t="shared" si="10"/>
        <v>0</v>
      </c>
      <c r="AO36" s="449">
        <f t="shared" si="8"/>
        <v>-800000</v>
      </c>
      <c r="AP36" s="449">
        <f t="shared" si="11"/>
        <v>0</v>
      </c>
      <c r="AQ36" s="449"/>
      <c r="AR36" s="449"/>
      <c r="AS36" s="449"/>
      <c r="AT36" s="449"/>
      <c r="AU36" s="449"/>
      <c r="AV36" s="449">
        <f t="shared" si="12"/>
        <v>0</v>
      </c>
      <c r="AW36" s="449"/>
      <c r="AX36" s="449"/>
      <c r="AY36" s="449"/>
      <c r="AZ36" s="449"/>
      <c r="BA36" s="449"/>
      <c r="BB36" s="422"/>
    </row>
    <row r="37" spans="1:54" s="452" customFormat="1" ht="30" customHeight="1">
      <c r="A37" s="448">
        <f t="shared" si="13"/>
        <v>32</v>
      </c>
      <c r="B37" s="448">
        <v>1756</v>
      </c>
      <c r="C37" s="448" t="s">
        <v>436</v>
      </c>
      <c r="D37" s="449">
        <v>1700000</v>
      </c>
      <c r="E37" s="449">
        <v>1700000</v>
      </c>
      <c r="F37" s="449">
        <f t="shared" si="0"/>
        <v>0</v>
      </c>
      <c r="G37" s="449">
        <v>1000000</v>
      </c>
      <c r="H37" s="449">
        <v>435813</v>
      </c>
      <c r="I37" s="449">
        <v>8658</v>
      </c>
      <c r="J37" s="449">
        <v>108293</v>
      </c>
      <c r="K37" s="449">
        <f t="shared" si="9"/>
        <v>116951</v>
      </c>
      <c r="L37" s="449">
        <f t="shared" si="1"/>
        <v>552764</v>
      </c>
      <c r="M37" s="449">
        <f>P37+S37-445000</f>
        <v>2236</v>
      </c>
      <c r="N37" s="449">
        <f>850000-450000</f>
        <v>400000</v>
      </c>
      <c r="O37" s="449">
        <f t="shared" si="2"/>
        <v>745000</v>
      </c>
      <c r="P37" s="449">
        <f t="shared" si="3"/>
        <v>447236</v>
      </c>
      <c r="Q37" s="449"/>
      <c r="R37" s="449"/>
      <c r="S37" s="449">
        <f t="shared" si="4"/>
        <v>0</v>
      </c>
      <c r="T37" s="449">
        <f t="shared" si="5"/>
        <v>445000</v>
      </c>
      <c r="U37" s="449">
        <f t="shared" si="6"/>
        <v>-45000</v>
      </c>
      <c r="V37" s="449">
        <f t="shared" si="7"/>
        <v>-45000</v>
      </c>
      <c r="W37" s="449"/>
      <c r="X37" s="449"/>
      <c r="Y37" s="449"/>
      <c r="Z37" s="449"/>
      <c r="AA37" s="449"/>
      <c r="AB37" s="448" t="s">
        <v>822</v>
      </c>
      <c r="AC37" s="448">
        <v>732000</v>
      </c>
      <c r="AD37" s="449"/>
      <c r="AE37" s="449"/>
      <c r="AF37" s="449">
        <v>-45000</v>
      </c>
      <c r="AG37" s="449"/>
      <c r="AH37" s="449"/>
      <c r="AI37" s="449"/>
      <c r="AJ37" s="449"/>
      <c r="AK37" s="449"/>
      <c r="AL37" s="449"/>
      <c r="AM37" s="449"/>
      <c r="AN37" s="449">
        <f t="shared" si="10"/>
        <v>-45000</v>
      </c>
      <c r="AO37" s="449">
        <f t="shared" si="8"/>
        <v>0</v>
      </c>
      <c r="AP37" s="449">
        <f t="shared" si="11"/>
        <v>-45000</v>
      </c>
      <c r="AQ37" s="449"/>
      <c r="AR37" s="449"/>
      <c r="AS37" s="449"/>
      <c r="AT37" s="449"/>
      <c r="AU37" s="449"/>
      <c r="AV37" s="449">
        <f t="shared" si="12"/>
        <v>0</v>
      </c>
      <c r="AW37" s="449"/>
      <c r="AX37" s="449"/>
      <c r="AY37" s="449"/>
      <c r="AZ37" s="449"/>
      <c r="BA37" s="449"/>
      <c r="BB37" s="422"/>
    </row>
    <row r="38" spans="1:54" s="452" customFormat="1" ht="30" customHeight="1">
      <c r="A38" s="448">
        <f t="shared" si="13"/>
        <v>33</v>
      </c>
      <c r="B38" s="448">
        <v>1799</v>
      </c>
      <c r="C38" s="448" t="s">
        <v>1033</v>
      </c>
      <c r="D38" s="449">
        <f>1000000-650000</f>
        <v>350000</v>
      </c>
      <c r="E38" s="449">
        <v>1000000</v>
      </c>
      <c r="F38" s="449">
        <f t="shared" si="0"/>
        <v>-650000</v>
      </c>
      <c r="G38" s="449">
        <v>350000</v>
      </c>
      <c r="H38" s="449">
        <v>183189</v>
      </c>
      <c r="I38" s="449">
        <v>0</v>
      </c>
      <c r="J38" s="449">
        <v>111618</v>
      </c>
      <c r="K38" s="449">
        <f t="shared" si="9"/>
        <v>111618</v>
      </c>
      <c r="L38" s="449">
        <f t="shared" si="1"/>
        <v>294807</v>
      </c>
      <c r="M38" s="449">
        <f>P38+S38</f>
        <v>55193</v>
      </c>
      <c r="N38" s="449">
        <v>0</v>
      </c>
      <c r="O38" s="449">
        <f t="shared" si="2"/>
        <v>0</v>
      </c>
      <c r="P38" s="449">
        <f t="shared" si="3"/>
        <v>55193</v>
      </c>
      <c r="Q38" s="449"/>
      <c r="R38" s="449"/>
      <c r="S38" s="449">
        <f t="shared" si="4"/>
        <v>0</v>
      </c>
      <c r="T38" s="449">
        <f t="shared" si="5"/>
        <v>0</v>
      </c>
      <c r="U38" s="449">
        <f t="shared" si="6"/>
        <v>0</v>
      </c>
      <c r="V38" s="449">
        <f t="shared" si="7"/>
        <v>0</v>
      </c>
      <c r="W38" s="449"/>
      <c r="X38" s="449"/>
      <c r="Y38" s="449"/>
      <c r="Z38" s="449"/>
      <c r="AA38" s="448"/>
      <c r="AB38" s="448" t="s">
        <v>1034</v>
      </c>
      <c r="AC38" s="448">
        <v>732000</v>
      </c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>
        <f t="shared" si="10"/>
        <v>0</v>
      </c>
      <c r="AO38" s="449">
        <f t="shared" si="8"/>
        <v>0</v>
      </c>
      <c r="AP38" s="449">
        <f t="shared" si="11"/>
        <v>0</v>
      </c>
      <c r="AQ38" s="449"/>
      <c r="AR38" s="449"/>
      <c r="AS38" s="449"/>
      <c r="AT38" s="449"/>
      <c r="AU38" s="449"/>
      <c r="AV38" s="449">
        <f t="shared" si="12"/>
        <v>0</v>
      </c>
      <c r="AW38" s="449"/>
      <c r="AX38" s="449"/>
      <c r="AY38" s="449"/>
      <c r="AZ38" s="449"/>
      <c r="BA38" s="449"/>
      <c r="BB38" s="422"/>
    </row>
    <row r="39" spans="1:54" s="457" customFormat="1" ht="30" customHeight="1">
      <c r="A39" s="448">
        <f t="shared" si="13"/>
        <v>34</v>
      </c>
      <c r="B39" s="448">
        <v>1843</v>
      </c>
      <c r="C39" s="448" t="s">
        <v>97</v>
      </c>
      <c r="D39" s="449">
        <f>1800000-200000-1220000</f>
        <v>380000</v>
      </c>
      <c r="E39" s="449">
        <v>380000</v>
      </c>
      <c r="F39" s="449">
        <f t="shared" si="0"/>
        <v>0</v>
      </c>
      <c r="G39" s="449">
        <v>0</v>
      </c>
      <c r="H39" s="449">
        <v>0</v>
      </c>
      <c r="I39" s="449">
        <v>0</v>
      </c>
      <c r="J39" s="449">
        <v>0</v>
      </c>
      <c r="K39" s="449">
        <f t="shared" si="9"/>
        <v>0</v>
      </c>
      <c r="L39" s="449">
        <f t="shared" si="1"/>
        <v>0</v>
      </c>
      <c r="M39" s="449">
        <f>P39+S39</f>
        <v>0</v>
      </c>
      <c r="N39" s="449">
        <f>600000-300000-300000</f>
        <v>0</v>
      </c>
      <c r="O39" s="449">
        <f t="shared" si="2"/>
        <v>380000</v>
      </c>
      <c r="P39" s="449">
        <f t="shared" si="3"/>
        <v>0</v>
      </c>
      <c r="Q39" s="449"/>
      <c r="R39" s="449"/>
      <c r="S39" s="449">
        <f t="shared" si="4"/>
        <v>0</v>
      </c>
      <c r="T39" s="449">
        <f t="shared" si="5"/>
        <v>0</v>
      </c>
      <c r="U39" s="449">
        <f t="shared" si="6"/>
        <v>0</v>
      </c>
      <c r="V39" s="449">
        <f t="shared" si="7"/>
        <v>0</v>
      </c>
      <c r="W39" s="449"/>
      <c r="X39" s="449"/>
      <c r="Y39" s="449"/>
      <c r="Z39" s="449"/>
      <c r="AA39" s="448"/>
      <c r="AB39" s="448" t="s">
        <v>586</v>
      </c>
      <c r="AC39" s="448">
        <v>732000</v>
      </c>
      <c r="AD39" s="449"/>
      <c r="AE39" s="449"/>
      <c r="AF39" s="449"/>
      <c r="AG39" s="449"/>
      <c r="AH39" s="449"/>
      <c r="AI39" s="449"/>
      <c r="AJ39" s="449"/>
      <c r="AK39" s="449"/>
      <c r="AL39" s="449"/>
      <c r="AM39" s="449"/>
      <c r="AN39" s="449">
        <f t="shared" si="10"/>
        <v>0</v>
      </c>
      <c r="AO39" s="449">
        <f t="shared" si="8"/>
        <v>0</v>
      </c>
      <c r="AP39" s="449">
        <f t="shared" si="11"/>
        <v>0</v>
      </c>
      <c r="AQ39" s="449"/>
      <c r="AR39" s="449"/>
      <c r="AS39" s="449"/>
      <c r="AT39" s="449"/>
      <c r="AU39" s="449"/>
      <c r="AV39" s="449">
        <f t="shared" si="12"/>
        <v>0</v>
      </c>
      <c r="AW39" s="449"/>
      <c r="AX39" s="449"/>
      <c r="AY39" s="449"/>
      <c r="AZ39" s="449"/>
      <c r="BA39" s="449"/>
      <c r="BB39" s="422"/>
    </row>
    <row r="40" spans="1:54" s="456" customFormat="1" ht="30" customHeight="1">
      <c r="A40" s="448">
        <f t="shared" si="13"/>
        <v>35</v>
      </c>
      <c r="B40" s="448">
        <v>1937</v>
      </c>
      <c r="C40" s="448" t="s">
        <v>324</v>
      </c>
      <c r="D40" s="449">
        <f>1050000+145000-145000</f>
        <v>1050000</v>
      </c>
      <c r="E40" s="449">
        <v>1050000</v>
      </c>
      <c r="F40" s="449">
        <f t="shared" si="0"/>
        <v>0</v>
      </c>
      <c r="G40" s="449">
        <v>650000</v>
      </c>
      <c r="H40" s="449">
        <v>64235</v>
      </c>
      <c r="I40" s="449">
        <v>244936</v>
      </c>
      <c r="J40" s="449">
        <v>149018</v>
      </c>
      <c r="K40" s="449">
        <f t="shared" si="9"/>
        <v>393954</v>
      </c>
      <c r="L40" s="449">
        <f t="shared" si="1"/>
        <v>458189</v>
      </c>
      <c r="M40" s="449">
        <f>P40+S40-190000</f>
        <v>1811</v>
      </c>
      <c r="N40" s="449">
        <f>735000-235000</f>
        <v>500000</v>
      </c>
      <c r="O40" s="449">
        <f t="shared" si="2"/>
        <v>90000</v>
      </c>
      <c r="P40" s="449">
        <f t="shared" si="3"/>
        <v>191811</v>
      </c>
      <c r="Q40" s="449"/>
      <c r="R40" s="449"/>
      <c r="S40" s="449">
        <f t="shared" si="4"/>
        <v>0</v>
      </c>
      <c r="T40" s="449">
        <f t="shared" si="5"/>
        <v>190000</v>
      </c>
      <c r="U40" s="449">
        <f t="shared" si="6"/>
        <v>310000</v>
      </c>
      <c r="V40" s="449">
        <f t="shared" si="7"/>
        <v>310000</v>
      </c>
      <c r="W40" s="449"/>
      <c r="X40" s="449"/>
      <c r="Y40" s="449"/>
      <c r="Z40" s="449"/>
      <c r="AA40" s="448"/>
      <c r="AB40" s="448" t="s">
        <v>541</v>
      </c>
      <c r="AC40" s="448">
        <v>732000</v>
      </c>
      <c r="AD40" s="449"/>
      <c r="AE40" s="449"/>
      <c r="AF40" s="449"/>
      <c r="AG40" s="449"/>
      <c r="AH40" s="449"/>
      <c r="AI40" s="449"/>
      <c r="AJ40" s="449"/>
      <c r="AK40" s="449"/>
      <c r="AL40" s="449"/>
      <c r="AM40" s="449"/>
      <c r="AN40" s="449">
        <f t="shared" si="10"/>
        <v>0</v>
      </c>
      <c r="AO40" s="449">
        <f t="shared" si="8"/>
        <v>310000</v>
      </c>
      <c r="AP40" s="449">
        <f t="shared" si="11"/>
        <v>0</v>
      </c>
      <c r="AQ40" s="449"/>
      <c r="AR40" s="449"/>
      <c r="AS40" s="449"/>
      <c r="AT40" s="449"/>
      <c r="AU40" s="449"/>
      <c r="AV40" s="449">
        <f t="shared" si="12"/>
        <v>0</v>
      </c>
      <c r="AW40" s="449"/>
      <c r="AX40" s="449"/>
      <c r="AY40" s="449"/>
      <c r="AZ40" s="449"/>
      <c r="BA40" s="449"/>
      <c r="BB40" s="422"/>
    </row>
    <row r="41" spans="1:54" s="456" customFormat="1" ht="30" customHeight="1">
      <c r="A41" s="448">
        <f t="shared" si="13"/>
        <v>36</v>
      </c>
      <c r="B41" s="455">
        <v>2105</v>
      </c>
      <c r="C41" s="448" t="s">
        <v>321</v>
      </c>
      <c r="D41" s="449">
        <v>60000000</v>
      </c>
      <c r="E41" s="449">
        <v>60000000</v>
      </c>
      <c r="F41" s="449">
        <f t="shared" si="0"/>
        <v>0</v>
      </c>
      <c r="G41" s="449">
        <f>1000000-600000</f>
        <v>400000</v>
      </c>
      <c r="H41" s="449">
        <v>39468</v>
      </c>
      <c r="I41" s="449">
        <v>0</v>
      </c>
      <c r="J41" s="449">
        <v>120322</v>
      </c>
      <c r="K41" s="449">
        <f t="shared" si="9"/>
        <v>120322</v>
      </c>
      <c r="L41" s="449">
        <f t="shared" si="1"/>
        <v>159790</v>
      </c>
      <c r="M41" s="449">
        <f>P41+S41-140000</f>
        <v>100210</v>
      </c>
      <c r="N41" s="449">
        <f>3000000-2000000-500000</f>
        <v>500000</v>
      </c>
      <c r="O41" s="449">
        <f t="shared" si="2"/>
        <v>59240000</v>
      </c>
      <c r="P41" s="449">
        <f t="shared" si="3"/>
        <v>240210</v>
      </c>
      <c r="Q41" s="449"/>
      <c r="R41" s="449"/>
      <c r="S41" s="449">
        <f t="shared" si="4"/>
        <v>0</v>
      </c>
      <c r="T41" s="449">
        <f t="shared" si="5"/>
        <v>140000</v>
      </c>
      <c r="U41" s="449">
        <f t="shared" si="6"/>
        <v>360000</v>
      </c>
      <c r="V41" s="449">
        <f t="shared" si="7"/>
        <v>360000</v>
      </c>
      <c r="W41" s="449"/>
      <c r="X41" s="449"/>
      <c r="Y41" s="449"/>
      <c r="Z41" s="449"/>
      <c r="AA41" s="448"/>
      <c r="AB41" s="448" t="s">
        <v>823</v>
      </c>
      <c r="AC41" s="448">
        <v>742000</v>
      </c>
      <c r="AD41" s="449"/>
      <c r="AE41" s="449"/>
      <c r="AF41" s="449"/>
      <c r="AG41" s="449"/>
      <c r="AH41" s="449"/>
      <c r="AI41" s="449"/>
      <c r="AJ41" s="449"/>
      <c r="AK41" s="449"/>
      <c r="AL41" s="449"/>
      <c r="AM41" s="449"/>
      <c r="AN41" s="449">
        <f t="shared" si="10"/>
        <v>0</v>
      </c>
      <c r="AO41" s="449">
        <f t="shared" si="8"/>
        <v>360000</v>
      </c>
      <c r="AP41" s="449">
        <f t="shared" si="11"/>
        <v>0</v>
      </c>
      <c r="AQ41" s="449"/>
      <c r="AR41" s="449"/>
      <c r="AS41" s="449"/>
      <c r="AT41" s="449"/>
      <c r="AU41" s="449"/>
      <c r="AV41" s="449">
        <f t="shared" si="12"/>
        <v>0</v>
      </c>
      <c r="AW41" s="449"/>
      <c r="AX41" s="449"/>
      <c r="AY41" s="449"/>
      <c r="AZ41" s="449"/>
      <c r="BA41" s="449"/>
      <c r="BB41" s="422"/>
    </row>
    <row r="42" spans="1:54" s="452" customFormat="1" ht="30" customHeight="1">
      <c r="A42" s="448">
        <f t="shared" si="13"/>
        <v>37</v>
      </c>
      <c r="B42" s="448">
        <v>2112</v>
      </c>
      <c r="C42" s="448" t="s">
        <v>364</v>
      </c>
      <c r="D42" s="449">
        <v>7650000</v>
      </c>
      <c r="E42" s="449">
        <v>7650000</v>
      </c>
      <c r="F42" s="449">
        <f t="shared" si="0"/>
        <v>0</v>
      </c>
      <c r="G42" s="449">
        <f>2160000-500000</f>
        <v>1660000</v>
      </c>
      <c r="H42" s="449">
        <v>139418</v>
      </c>
      <c r="I42" s="449">
        <v>0</v>
      </c>
      <c r="J42" s="449">
        <v>481468</v>
      </c>
      <c r="K42" s="449">
        <f t="shared" si="9"/>
        <v>481468</v>
      </c>
      <c r="L42" s="449">
        <f t="shared" si="1"/>
        <v>620886</v>
      </c>
      <c r="M42" s="449">
        <f>P42+S42-1890000+500000+390000</f>
        <v>39114</v>
      </c>
      <c r="N42" s="449">
        <f>1890000-500000-390000+890000-890000</f>
        <v>1000000</v>
      </c>
      <c r="O42" s="449">
        <f t="shared" si="2"/>
        <v>5990000</v>
      </c>
      <c r="P42" s="449">
        <f t="shared" si="3"/>
        <v>1039114</v>
      </c>
      <c r="Q42" s="449"/>
      <c r="R42" s="449"/>
      <c r="S42" s="449">
        <f t="shared" si="4"/>
        <v>0</v>
      </c>
      <c r="T42" s="449">
        <f t="shared" si="5"/>
        <v>1000000</v>
      </c>
      <c r="U42" s="449">
        <f t="shared" si="6"/>
        <v>0</v>
      </c>
      <c r="V42" s="449">
        <f t="shared" si="7"/>
        <v>0</v>
      </c>
      <c r="W42" s="449"/>
      <c r="X42" s="449"/>
      <c r="Y42" s="449"/>
      <c r="Z42" s="449"/>
      <c r="AA42" s="448"/>
      <c r="AB42" s="458" t="s">
        <v>542</v>
      </c>
      <c r="AC42" s="448">
        <v>732000</v>
      </c>
      <c r="AD42" s="449"/>
      <c r="AE42" s="449"/>
      <c r="AF42" s="449"/>
      <c r="AG42" s="449"/>
      <c r="AH42" s="449"/>
      <c r="AI42" s="449"/>
      <c r="AJ42" s="449"/>
      <c r="AK42" s="449"/>
      <c r="AL42" s="449"/>
      <c r="AM42" s="449"/>
      <c r="AN42" s="449">
        <f t="shared" si="10"/>
        <v>0</v>
      </c>
      <c r="AO42" s="449">
        <f t="shared" si="8"/>
        <v>0</v>
      </c>
      <c r="AP42" s="449">
        <f t="shared" si="11"/>
        <v>0</v>
      </c>
      <c r="AQ42" s="449"/>
      <c r="AR42" s="449"/>
      <c r="AS42" s="449"/>
      <c r="AT42" s="449"/>
      <c r="AU42" s="449"/>
      <c r="AV42" s="449">
        <f t="shared" si="12"/>
        <v>0</v>
      </c>
      <c r="AW42" s="449"/>
      <c r="AX42" s="449"/>
      <c r="AY42" s="449"/>
      <c r="AZ42" s="449"/>
      <c r="BA42" s="449"/>
      <c r="BB42" s="422"/>
    </row>
    <row r="43" spans="1:54" s="456" customFormat="1" ht="30" customHeight="1">
      <c r="A43" s="448">
        <f t="shared" si="13"/>
        <v>38</v>
      </c>
      <c r="B43" s="448">
        <v>2113</v>
      </c>
      <c r="C43" s="448" t="s">
        <v>251</v>
      </c>
      <c r="D43" s="449">
        <v>2550000</v>
      </c>
      <c r="E43" s="449">
        <v>2550000</v>
      </c>
      <c r="F43" s="449">
        <f t="shared" si="0"/>
        <v>0</v>
      </c>
      <c r="G43" s="449">
        <v>200000</v>
      </c>
      <c r="H43" s="449">
        <v>17784</v>
      </c>
      <c r="I43" s="449">
        <v>0</v>
      </c>
      <c r="J43" s="449">
        <v>105889</v>
      </c>
      <c r="K43" s="449">
        <f t="shared" si="9"/>
        <v>105889</v>
      </c>
      <c r="L43" s="449">
        <f t="shared" si="1"/>
        <v>123673</v>
      </c>
      <c r="M43" s="449">
        <f>P43+S43-25000</f>
        <v>51327</v>
      </c>
      <c r="N43" s="449">
        <f>150000+70000</f>
        <v>220000</v>
      </c>
      <c r="O43" s="449">
        <f t="shared" si="2"/>
        <v>2155000</v>
      </c>
      <c r="P43" s="449">
        <f>G43-L43</f>
        <v>76327</v>
      </c>
      <c r="Q43" s="449"/>
      <c r="R43" s="449"/>
      <c r="S43" s="449">
        <f t="shared" si="4"/>
        <v>0</v>
      </c>
      <c r="T43" s="449">
        <f t="shared" si="5"/>
        <v>25000</v>
      </c>
      <c r="U43" s="449">
        <f t="shared" si="6"/>
        <v>195000</v>
      </c>
      <c r="V43" s="449">
        <f t="shared" si="7"/>
        <v>195000</v>
      </c>
      <c r="W43" s="449"/>
      <c r="X43" s="449"/>
      <c r="Y43" s="449"/>
      <c r="Z43" s="449"/>
      <c r="AA43" s="448"/>
      <c r="AB43" s="458" t="s">
        <v>543</v>
      </c>
      <c r="AC43" s="448">
        <v>732000</v>
      </c>
      <c r="AD43" s="449"/>
      <c r="AE43" s="449"/>
      <c r="AF43" s="449"/>
      <c r="AG43" s="449"/>
      <c r="AH43" s="449"/>
      <c r="AI43" s="449"/>
      <c r="AJ43" s="449"/>
      <c r="AK43" s="449"/>
      <c r="AL43" s="449"/>
      <c r="AM43" s="449">
        <v>100000</v>
      </c>
      <c r="AN43" s="449">
        <f t="shared" si="10"/>
        <v>100000</v>
      </c>
      <c r="AO43" s="449">
        <f t="shared" si="8"/>
        <v>95000</v>
      </c>
      <c r="AP43" s="449">
        <f t="shared" si="11"/>
        <v>100000</v>
      </c>
      <c r="AQ43" s="449"/>
      <c r="AR43" s="449"/>
      <c r="AS43" s="449"/>
      <c r="AT43" s="449"/>
      <c r="AU43" s="449"/>
      <c r="AV43" s="449">
        <f t="shared" si="12"/>
        <v>100000</v>
      </c>
      <c r="AW43" s="449"/>
      <c r="AX43" s="449"/>
      <c r="AY43" s="449"/>
      <c r="AZ43" s="449"/>
      <c r="BA43" s="449"/>
      <c r="BB43" s="422"/>
    </row>
    <row r="44" spans="1:54" s="456" customFormat="1" ht="30" customHeight="1">
      <c r="A44" s="448">
        <f t="shared" si="13"/>
        <v>39</v>
      </c>
      <c r="B44" s="448">
        <v>2114</v>
      </c>
      <c r="C44" s="448" t="s">
        <v>304</v>
      </c>
      <c r="D44" s="449">
        <v>1450000</v>
      </c>
      <c r="E44" s="449">
        <v>1450000</v>
      </c>
      <c r="F44" s="449">
        <f t="shared" si="0"/>
        <v>0</v>
      </c>
      <c r="G44" s="449">
        <v>350000</v>
      </c>
      <c r="H44" s="449">
        <v>17428</v>
      </c>
      <c r="I44" s="449">
        <v>0</v>
      </c>
      <c r="J44" s="449">
        <v>65876</v>
      </c>
      <c r="K44" s="449">
        <f t="shared" si="9"/>
        <v>65876</v>
      </c>
      <c r="L44" s="449">
        <f t="shared" si="1"/>
        <v>83304</v>
      </c>
      <c r="M44" s="449">
        <f>P44+S44-266000</f>
        <v>696</v>
      </c>
      <c r="N44" s="449">
        <f>300000-34000-266000</f>
        <v>0</v>
      </c>
      <c r="O44" s="449">
        <f t="shared" si="2"/>
        <v>1366000</v>
      </c>
      <c r="P44" s="449">
        <f t="shared" si="3"/>
        <v>266696</v>
      </c>
      <c r="Q44" s="449"/>
      <c r="R44" s="449"/>
      <c r="S44" s="449">
        <f t="shared" si="4"/>
        <v>0</v>
      </c>
      <c r="T44" s="449">
        <f t="shared" si="5"/>
        <v>266000</v>
      </c>
      <c r="U44" s="449">
        <f t="shared" si="6"/>
        <v>-266000</v>
      </c>
      <c r="V44" s="449">
        <f t="shared" si="7"/>
        <v>-266000</v>
      </c>
      <c r="W44" s="449"/>
      <c r="X44" s="449"/>
      <c r="Y44" s="449"/>
      <c r="Z44" s="449"/>
      <c r="AA44" s="448"/>
      <c r="AB44" s="448" t="s">
        <v>505</v>
      </c>
      <c r="AC44" s="448">
        <v>732000</v>
      </c>
      <c r="AD44" s="449"/>
      <c r="AE44" s="449"/>
      <c r="AF44" s="449">
        <v>-266000</v>
      </c>
      <c r="AG44" s="449"/>
      <c r="AH44" s="449"/>
      <c r="AI44" s="449"/>
      <c r="AJ44" s="449"/>
      <c r="AK44" s="449"/>
      <c r="AL44" s="449"/>
      <c r="AM44" s="449"/>
      <c r="AN44" s="449">
        <f t="shared" si="10"/>
        <v>-266000</v>
      </c>
      <c r="AO44" s="449">
        <f t="shared" si="8"/>
        <v>0</v>
      </c>
      <c r="AP44" s="449">
        <f t="shared" si="11"/>
        <v>-266000</v>
      </c>
      <c r="AQ44" s="449"/>
      <c r="AR44" s="449"/>
      <c r="AS44" s="449"/>
      <c r="AT44" s="449"/>
      <c r="AU44" s="449"/>
      <c r="AV44" s="449">
        <f t="shared" si="12"/>
        <v>0</v>
      </c>
      <c r="AW44" s="449"/>
      <c r="AX44" s="449"/>
      <c r="AY44" s="449"/>
      <c r="AZ44" s="449"/>
      <c r="BA44" s="449"/>
      <c r="BB44" s="422"/>
    </row>
    <row r="45" spans="1:54" s="456" customFormat="1" ht="30" customHeight="1">
      <c r="A45" s="448">
        <f t="shared" si="13"/>
        <v>40</v>
      </c>
      <c r="B45" s="448">
        <v>2117</v>
      </c>
      <c r="C45" s="448" t="s">
        <v>486</v>
      </c>
      <c r="D45" s="449">
        <v>750000</v>
      </c>
      <c r="E45" s="449">
        <v>750000</v>
      </c>
      <c r="F45" s="449">
        <f t="shared" si="0"/>
        <v>0</v>
      </c>
      <c r="G45" s="449">
        <v>350000</v>
      </c>
      <c r="H45" s="449">
        <v>29203</v>
      </c>
      <c r="I45" s="449">
        <v>0</v>
      </c>
      <c r="J45" s="449">
        <v>183335</v>
      </c>
      <c r="K45" s="449">
        <f t="shared" si="9"/>
        <v>183335</v>
      </c>
      <c r="L45" s="449">
        <f t="shared" si="1"/>
        <v>212538</v>
      </c>
      <c r="M45" s="449">
        <f>P45+S45-135000</f>
        <v>2462</v>
      </c>
      <c r="N45" s="449">
        <v>150000</v>
      </c>
      <c r="O45" s="449">
        <f t="shared" si="2"/>
        <v>385000</v>
      </c>
      <c r="P45" s="449">
        <f t="shared" si="3"/>
        <v>137462</v>
      </c>
      <c r="Q45" s="449"/>
      <c r="R45" s="449"/>
      <c r="S45" s="449">
        <f t="shared" si="4"/>
        <v>0</v>
      </c>
      <c r="T45" s="449">
        <f t="shared" si="5"/>
        <v>135000</v>
      </c>
      <c r="U45" s="449">
        <f t="shared" si="6"/>
        <v>15000</v>
      </c>
      <c r="V45" s="449">
        <f t="shared" si="7"/>
        <v>15000</v>
      </c>
      <c r="W45" s="425"/>
      <c r="X45" s="425"/>
      <c r="Y45" s="425"/>
      <c r="Z45" s="425"/>
      <c r="AA45" s="425"/>
      <c r="AB45" s="448" t="s">
        <v>487</v>
      </c>
      <c r="AC45" s="448">
        <v>732000</v>
      </c>
      <c r="AD45" s="449"/>
      <c r="AE45" s="449"/>
      <c r="AF45" s="449"/>
      <c r="AG45" s="449"/>
      <c r="AH45" s="449"/>
      <c r="AI45" s="449"/>
      <c r="AJ45" s="449"/>
      <c r="AK45" s="449"/>
      <c r="AL45" s="449"/>
      <c r="AM45" s="449"/>
      <c r="AN45" s="449">
        <f t="shared" si="10"/>
        <v>0</v>
      </c>
      <c r="AO45" s="449">
        <f t="shared" si="8"/>
        <v>15000</v>
      </c>
      <c r="AP45" s="449">
        <f t="shared" si="11"/>
        <v>0</v>
      </c>
      <c r="AQ45" s="449"/>
      <c r="AR45" s="449"/>
      <c r="AS45" s="449"/>
      <c r="AT45" s="449"/>
      <c r="AU45" s="449"/>
      <c r="AV45" s="449">
        <f t="shared" si="12"/>
        <v>0</v>
      </c>
      <c r="AW45" s="449"/>
      <c r="AX45" s="449"/>
      <c r="AY45" s="449"/>
      <c r="AZ45" s="449"/>
      <c r="BA45" s="449"/>
      <c r="BB45" s="422"/>
    </row>
    <row r="46" spans="1:54" s="452" customFormat="1" ht="30" customHeight="1">
      <c r="A46" s="448">
        <f t="shared" si="13"/>
        <v>41</v>
      </c>
      <c r="B46" s="455">
        <v>2121</v>
      </c>
      <c r="C46" s="448" t="s">
        <v>322</v>
      </c>
      <c r="D46" s="449">
        <f>300000+990000</f>
        <v>1290000</v>
      </c>
      <c r="E46" s="449">
        <v>300000</v>
      </c>
      <c r="F46" s="449">
        <f t="shared" si="0"/>
        <v>990000</v>
      </c>
      <c r="G46" s="449">
        <v>300000</v>
      </c>
      <c r="H46" s="449">
        <v>143515</v>
      </c>
      <c r="I46" s="449">
        <v>0</v>
      </c>
      <c r="J46" s="449">
        <v>38578</v>
      </c>
      <c r="K46" s="449">
        <f t="shared" si="9"/>
        <v>38578</v>
      </c>
      <c r="L46" s="449">
        <f t="shared" si="1"/>
        <v>182093</v>
      </c>
      <c r="M46" s="449">
        <f>P46+S46-130000+20000</f>
        <v>7907</v>
      </c>
      <c r="N46" s="449">
        <f>990000-880000</f>
        <v>110000</v>
      </c>
      <c r="O46" s="449">
        <f t="shared" si="2"/>
        <v>990000</v>
      </c>
      <c r="P46" s="449">
        <f t="shared" si="3"/>
        <v>117907</v>
      </c>
      <c r="Q46" s="449"/>
      <c r="R46" s="449"/>
      <c r="S46" s="449">
        <f t="shared" si="4"/>
        <v>0</v>
      </c>
      <c r="T46" s="449">
        <f t="shared" si="5"/>
        <v>110000</v>
      </c>
      <c r="U46" s="449">
        <f t="shared" si="6"/>
        <v>0</v>
      </c>
      <c r="V46" s="449">
        <f t="shared" si="7"/>
        <v>0</v>
      </c>
      <c r="W46" s="449"/>
      <c r="X46" s="449"/>
      <c r="Y46" s="449"/>
      <c r="Z46" s="449"/>
      <c r="AA46" s="449">
        <f>990000*0.7-693000</f>
        <v>0</v>
      </c>
      <c r="AB46" s="448" t="s">
        <v>788</v>
      </c>
      <c r="AC46" s="448">
        <v>742000</v>
      </c>
      <c r="AD46" s="449"/>
      <c r="AE46" s="449"/>
      <c r="AF46" s="449"/>
      <c r="AG46" s="449"/>
      <c r="AH46" s="449"/>
      <c r="AI46" s="449"/>
      <c r="AJ46" s="449"/>
      <c r="AK46" s="449"/>
      <c r="AL46" s="449"/>
      <c r="AM46" s="449"/>
      <c r="AN46" s="449">
        <f t="shared" si="10"/>
        <v>0</v>
      </c>
      <c r="AO46" s="449">
        <f t="shared" si="8"/>
        <v>0</v>
      </c>
      <c r="AP46" s="449">
        <f t="shared" si="11"/>
        <v>0</v>
      </c>
      <c r="AQ46" s="449"/>
      <c r="AR46" s="449"/>
      <c r="AS46" s="449"/>
      <c r="AT46" s="449"/>
      <c r="AU46" s="449"/>
      <c r="AV46" s="449">
        <f t="shared" si="12"/>
        <v>0</v>
      </c>
      <c r="AW46" s="449"/>
      <c r="AX46" s="449"/>
      <c r="AY46" s="449"/>
      <c r="AZ46" s="449"/>
      <c r="BA46" s="449"/>
      <c r="BB46" s="422"/>
    </row>
    <row r="47" spans="1:54" s="452" customFormat="1" ht="30" customHeight="1">
      <c r="A47" s="448">
        <f t="shared" si="13"/>
        <v>42</v>
      </c>
      <c r="B47" s="455">
        <v>2122</v>
      </c>
      <c r="C47" s="448" t="s">
        <v>1035</v>
      </c>
      <c r="D47" s="449">
        <v>100000</v>
      </c>
      <c r="E47" s="449">
        <v>100000</v>
      </c>
      <c r="F47" s="449">
        <f t="shared" si="0"/>
        <v>0</v>
      </c>
      <c r="G47" s="449">
        <v>100000</v>
      </c>
      <c r="H47" s="449">
        <v>53191</v>
      </c>
      <c r="I47" s="449">
        <v>0</v>
      </c>
      <c r="J47" s="449">
        <v>2729</v>
      </c>
      <c r="K47" s="449">
        <f t="shared" si="9"/>
        <v>2729</v>
      </c>
      <c r="L47" s="449">
        <f t="shared" si="1"/>
        <v>55920</v>
      </c>
      <c r="M47" s="449">
        <f>P47+S47</f>
        <v>44080</v>
      </c>
      <c r="N47" s="459">
        <v>0</v>
      </c>
      <c r="O47" s="449">
        <f t="shared" si="2"/>
        <v>0</v>
      </c>
      <c r="P47" s="449">
        <f t="shared" si="3"/>
        <v>44080</v>
      </c>
      <c r="Q47" s="449"/>
      <c r="R47" s="449"/>
      <c r="S47" s="449">
        <f t="shared" si="4"/>
        <v>0</v>
      </c>
      <c r="T47" s="449">
        <f t="shared" si="5"/>
        <v>0</v>
      </c>
      <c r="U47" s="449">
        <f t="shared" si="6"/>
        <v>0</v>
      </c>
      <c r="V47" s="449">
        <f t="shared" si="7"/>
        <v>0</v>
      </c>
      <c r="W47" s="449"/>
      <c r="X47" s="449"/>
      <c r="Y47" s="449"/>
      <c r="Z47" s="449"/>
      <c r="AA47" s="449"/>
      <c r="AB47" s="448" t="s">
        <v>488</v>
      </c>
      <c r="AC47" s="448">
        <v>742000</v>
      </c>
      <c r="AD47" s="449"/>
      <c r="AE47" s="449"/>
      <c r="AF47" s="449"/>
      <c r="AG47" s="449"/>
      <c r="AH47" s="449"/>
      <c r="AI47" s="449"/>
      <c r="AJ47" s="449"/>
      <c r="AK47" s="449"/>
      <c r="AL47" s="449"/>
      <c r="AM47" s="449"/>
      <c r="AN47" s="449">
        <f t="shared" si="10"/>
        <v>0</v>
      </c>
      <c r="AO47" s="449">
        <f t="shared" si="8"/>
        <v>0</v>
      </c>
      <c r="AP47" s="449">
        <f t="shared" si="11"/>
        <v>0</v>
      </c>
      <c r="AQ47" s="449"/>
      <c r="AR47" s="449"/>
      <c r="AS47" s="449"/>
      <c r="AT47" s="449"/>
      <c r="AU47" s="449"/>
      <c r="AV47" s="449">
        <f t="shared" si="12"/>
        <v>0</v>
      </c>
      <c r="AW47" s="449"/>
      <c r="AX47" s="449"/>
      <c r="AY47" s="449"/>
      <c r="AZ47" s="449"/>
      <c r="BA47" s="449"/>
      <c r="BB47" s="422"/>
    </row>
    <row r="48" spans="1:54" s="452" customFormat="1" ht="30" customHeight="1">
      <c r="A48" s="448">
        <f t="shared" si="13"/>
        <v>43</v>
      </c>
      <c r="B48" s="455">
        <v>2123</v>
      </c>
      <c r="C48" s="448" t="s">
        <v>1036</v>
      </c>
      <c r="D48" s="449">
        <v>250000</v>
      </c>
      <c r="E48" s="449">
        <v>250000</v>
      </c>
      <c r="F48" s="449">
        <f t="shared" si="0"/>
        <v>0</v>
      </c>
      <c r="G48" s="449">
        <v>250000</v>
      </c>
      <c r="H48" s="449">
        <v>118948</v>
      </c>
      <c r="I48" s="449">
        <v>0</v>
      </c>
      <c r="J48" s="449"/>
      <c r="K48" s="449">
        <f t="shared" si="9"/>
        <v>0</v>
      </c>
      <c r="L48" s="449">
        <f t="shared" si="1"/>
        <v>118948</v>
      </c>
      <c r="M48" s="449">
        <f>P48+S48</f>
        <v>131052</v>
      </c>
      <c r="N48" s="459"/>
      <c r="O48" s="449">
        <f t="shared" si="2"/>
        <v>0</v>
      </c>
      <c r="P48" s="449">
        <f t="shared" si="3"/>
        <v>131052</v>
      </c>
      <c r="Q48" s="449"/>
      <c r="R48" s="449"/>
      <c r="S48" s="449">
        <f t="shared" si="4"/>
        <v>0</v>
      </c>
      <c r="T48" s="449">
        <f t="shared" si="5"/>
        <v>0</v>
      </c>
      <c r="U48" s="459"/>
      <c r="V48" s="449">
        <f t="shared" si="7"/>
        <v>0</v>
      </c>
      <c r="W48" s="449"/>
      <c r="X48" s="449"/>
      <c r="Y48" s="449"/>
      <c r="Z48" s="449"/>
      <c r="AA48" s="449"/>
      <c r="AB48" s="448" t="s">
        <v>326</v>
      </c>
      <c r="AC48" s="448">
        <v>742000</v>
      </c>
      <c r="AD48" s="449"/>
      <c r="AE48" s="449"/>
      <c r="AF48" s="449"/>
      <c r="AG48" s="449"/>
      <c r="AH48" s="449"/>
      <c r="AI48" s="449"/>
      <c r="AJ48" s="449"/>
      <c r="AK48" s="449"/>
      <c r="AL48" s="449"/>
      <c r="AM48" s="449"/>
      <c r="AN48" s="449">
        <f t="shared" si="10"/>
        <v>0</v>
      </c>
      <c r="AO48" s="449">
        <f t="shared" si="8"/>
        <v>0</v>
      </c>
      <c r="AP48" s="449">
        <f t="shared" si="11"/>
        <v>0</v>
      </c>
      <c r="AQ48" s="449"/>
      <c r="AR48" s="449"/>
      <c r="AS48" s="449"/>
      <c r="AT48" s="449"/>
      <c r="AU48" s="449"/>
      <c r="AV48" s="449">
        <f t="shared" si="12"/>
        <v>0</v>
      </c>
      <c r="AW48" s="449"/>
      <c r="AX48" s="449"/>
      <c r="AY48" s="449"/>
      <c r="AZ48" s="449"/>
      <c r="BA48" s="449"/>
      <c r="BB48" s="422"/>
    </row>
    <row r="49" spans="1:54" s="452" customFormat="1" ht="30" customHeight="1">
      <c r="A49" s="448">
        <f t="shared" si="13"/>
        <v>44</v>
      </c>
      <c r="B49" s="448">
        <v>2142</v>
      </c>
      <c r="C49" s="448" t="s">
        <v>405</v>
      </c>
      <c r="D49" s="449">
        <f>4000000-1100000-500000</f>
        <v>2400000</v>
      </c>
      <c r="E49" s="449">
        <v>2900000</v>
      </c>
      <c r="F49" s="449">
        <f t="shared" si="0"/>
        <v>-500000</v>
      </c>
      <c r="G49" s="449">
        <f>3400000-500000</f>
        <v>2900000</v>
      </c>
      <c r="H49" s="449">
        <v>1312648</v>
      </c>
      <c r="I49" s="449">
        <v>0</v>
      </c>
      <c r="J49" s="449">
        <v>685818</v>
      </c>
      <c r="K49" s="449">
        <f t="shared" si="9"/>
        <v>685818</v>
      </c>
      <c r="L49" s="449">
        <f t="shared" si="1"/>
        <v>1998466</v>
      </c>
      <c r="M49" s="449">
        <f>P49+S49-500000</f>
        <v>401534</v>
      </c>
      <c r="N49" s="449"/>
      <c r="O49" s="449">
        <f t="shared" si="2"/>
        <v>0</v>
      </c>
      <c r="P49" s="449">
        <f t="shared" si="3"/>
        <v>901534</v>
      </c>
      <c r="Q49" s="449"/>
      <c r="R49" s="449"/>
      <c r="S49" s="449">
        <f t="shared" si="4"/>
        <v>0</v>
      </c>
      <c r="T49" s="449">
        <f t="shared" si="5"/>
        <v>500000</v>
      </c>
      <c r="U49" s="449">
        <f t="shared" si="6"/>
        <v>-500000</v>
      </c>
      <c r="V49" s="449">
        <f t="shared" si="7"/>
        <v>-500000</v>
      </c>
      <c r="W49" s="449"/>
      <c r="X49" s="449"/>
      <c r="Y49" s="449"/>
      <c r="Z49" s="449"/>
      <c r="AA49" s="449"/>
      <c r="AB49" s="448" t="s">
        <v>789</v>
      </c>
      <c r="AC49" s="448">
        <v>742000</v>
      </c>
      <c r="AD49" s="449"/>
      <c r="AE49" s="449"/>
      <c r="AF49" s="449"/>
      <c r="AG49" s="449"/>
      <c r="AH49" s="449"/>
      <c r="AI49" s="449">
        <v>-500000</v>
      </c>
      <c r="AJ49" s="449"/>
      <c r="AK49" s="449"/>
      <c r="AL49" s="449"/>
      <c r="AM49" s="449"/>
      <c r="AN49" s="449">
        <f t="shared" ref="AN49:AN67" si="15">SUM(AD49:AM49)</f>
        <v>-500000</v>
      </c>
      <c r="AO49" s="449">
        <f t="shared" si="8"/>
        <v>0</v>
      </c>
      <c r="AP49" s="449">
        <f t="shared" si="11"/>
        <v>-500000</v>
      </c>
      <c r="AQ49" s="449"/>
      <c r="AR49" s="449"/>
      <c r="AS49" s="449"/>
      <c r="AT49" s="449"/>
      <c r="AU49" s="449"/>
      <c r="AV49" s="449">
        <f t="shared" si="12"/>
        <v>0</v>
      </c>
      <c r="AW49" s="449"/>
      <c r="AX49" s="449"/>
      <c r="AY49" s="449"/>
      <c r="AZ49" s="449"/>
      <c r="BA49" s="449"/>
      <c r="BB49" s="422"/>
    </row>
    <row r="50" spans="1:54" s="452" customFormat="1" ht="30" customHeight="1">
      <c r="A50" s="448">
        <f t="shared" si="13"/>
        <v>45</v>
      </c>
      <c r="B50" s="455">
        <v>2143</v>
      </c>
      <c r="C50" s="448" t="s">
        <v>406</v>
      </c>
      <c r="D50" s="449">
        <f>850000+300000-300000</f>
        <v>850000</v>
      </c>
      <c r="E50" s="449">
        <v>850000</v>
      </c>
      <c r="F50" s="449">
        <f t="shared" si="0"/>
        <v>0</v>
      </c>
      <c r="G50" s="449">
        <v>300000</v>
      </c>
      <c r="H50" s="449">
        <v>0</v>
      </c>
      <c r="I50" s="449">
        <v>0</v>
      </c>
      <c r="J50" s="449">
        <v>289835</v>
      </c>
      <c r="K50" s="449">
        <f t="shared" si="9"/>
        <v>289835</v>
      </c>
      <c r="L50" s="449">
        <f t="shared" si="1"/>
        <v>289835</v>
      </c>
      <c r="M50" s="449">
        <f>P50+S50</f>
        <v>10165</v>
      </c>
      <c r="N50" s="449">
        <f>850000-500000</f>
        <v>350000</v>
      </c>
      <c r="O50" s="449">
        <f t="shared" si="2"/>
        <v>200000</v>
      </c>
      <c r="P50" s="449">
        <f t="shared" si="3"/>
        <v>10165</v>
      </c>
      <c r="Q50" s="449"/>
      <c r="R50" s="449"/>
      <c r="S50" s="449">
        <f t="shared" si="4"/>
        <v>0</v>
      </c>
      <c r="T50" s="449">
        <f t="shared" si="5"/>
        <v>0</v>
      </c>
      <c r="U50" s="449">
        <f t="shared" si="6"/>
        <v>350000</v>
      </c>
      <c r="V50" s="449">
        <f t="shared" si="7"/>
        <v>350000</v>
      </c>
      <c r="W50" s="449"/>
      <c r="X50" s="449"/>
      <c r="Y50" s="449"/>
      <c r="Z50" s="449"/>
      <c r="AA50" s="449"/>
      <c r="AB50" s="448" t="s">
        <v>877</v>
      </c>
      <c r="AC50" s="448">
        <v>732000</v>
      </c>
      <c r="AD50" s="449">
        <v>260000</v>
      </c>
      <c r="AE50" s="449"/>
      <c r="AF50" s="449">
        <v>90000</v>
      </c>
      <c r="AG50" s="449"/>
      <c r="AH50" s="449"/>
      <c r="AI50" s="449"/>
      <c r="AJ50" s="449"/>
      <c r="AK50" s="449"/>
      <c r="AL50" s="449"/>
      <c r="AM50" s="449"/>
      <c r="AN50" s="449">
        <f t="shared" si="15"/>
        <v>350000</v>
      </c>
      <c r="AO50" s="449">
        <f t="shared" si="8"/>
        <v>0</v>
      </c>
      <c r="AP50" s="449">
        <f t="shared" si="11"/>
        <v>350000</v>
      </c>
      <c r="AQ50" s="449"/>
      <c r="AR50" s="449"/>
      <c r="AS50" s="449"/>
      <c r="AT50" s="449"/>
      <c r="AU50" s="449"/>
      <c r="AV50" s="449">
        <f t="shared" si="12"/>
        <v>0</v>
      </c>
      <c r="AW50" s="449"/>
      <c r="AX50" s="449"/>
      <c r="AY50" s="449"/>
      <c r="AZ50" s="449"/>
      <c r="BA50" s="449"/>
      <c r="BB50" s="422"/>
    </row>
    <row r="51" spans="1:54" s="452" customFormat="1" ht="30" customHeight="1">
      <c r="A51" s="448">
        <f t="shared" si="13"/>
        <v>46</v>
      </c>
      <c r="B51" s="455">
        <v>2144</v>
      </c>
      <c r="C51" s="448" t="s">
        <v>408</v>
      </c>
      <c r="D51" s="449">
        <v>500000</v>
      </c>
      <c r="E51" s="449">
        <v>500000</v>
      </c>
      <c r="F51" s="449">
        <f t="shared" si="0"/>
        <v>0</v>
      </c>
      <c r="G51" s="449">
        <v>300000</v>
      </c>
      <c r="H51" s="449">
        <v>0</v>
      </c>
      <c r="I51" s="449">
        <v>0</v>
      </c>
      <c r="J51" s="449">
        <v>0</v>
      </c>
      <c r="K51" s="449">
        <f t="shared" si="9"/>
        <v>0</v>
      </c>
      <c r="L51" s="449">
        <f t="shared" si="1"/>
        <v>0</v>
      </c>
      <c r="M51" s="449">
        <f>P51+S51-300000</f>
        <v>0</v>
      </c>
      <c r="N51" s="449">
        <f>500000-300000</f>
        <v>200000</v>
      </c>
      <c r="O51" s="449">
        <f t="shared" si="2"/>
        <v>300000</v>
      </c>
      <c r="P51" s="449">
        <f t="shared" si="3"/>
        <v>300000</v>
      </c>
      <c r="Q51" s="449"/>
      <c r="R51" s="449"/>
      <c r="S51" s="449">
        <f t="shared" si="4"/>
        <v>0</v>
      </c>
      <c r="T51" s="449">
        <f t="shared" si="5"/>
        <v>300000</v>
      </c>
      <c r="U51" s="449">
        <f t="shared" si="6"/>
        <v>-100000</v>
      </c>
      <c r="V51" s="449">
        <f t="shared" si="7"/>
        <v>-100000</v>
      </c>
      <c r="W51" s="449"/>
      <c r="X51" s="449"/>
      <c r="Y51" s="449"/>
      <c r="Z51" s="449"/>
      <c r="AA51" s="449"/>
      <c r="AB51" s="448" t="s">
        <v>420</v>
      </c>
      <c r="AC51" s="448">
        <v>732000</v>
      </c>
      <c r="AD51" s="449"/>
      <c r="AE51" s="449"/>
      <c r="AF51" s="449">
        <v>-100000</v>
      </c>
      <c r="AG51" s="449"/>
      <c r="AH51" s="449"/>
      <c r="AI51" s="449"/>
      <c r="AJ51" s="449"/>
      <c r="AK51" s="449"/>
      <c r="AL51" s="449"/>
      <c r="AM51" s="449"/>
      <c r="AN51" s="449">
        <f t="shared" si="15"/>
        <v>-100000</v>
      </c>
      <c r="AO51" s="449">
        <f t="shared" si="8"/>
        <v>0</v>
      </c>
      <c r="AP51" s="449">
        <f t="shared" si="11"/>
        <v>-100000</v>
      </c>
      <c r="AQ51" s="449"/>
      <c r="AR51" s="449"/>
      <c r="AS51" s="449"/>
      <c r="AT51" s="449"/>
      <c r="AU51" s="449"/>
      <c r="AV51" s="449">
        <f t="shared" si="12"/>
        <v>0</v>
      </c>
      <c r="AW51" s="449"/>
      <c r="AX51" s="449"/>
      <c r="AY51" s="449"/>
      <c r="AZ51" s="449"/>
      <c r="BA51" s="449"/>
      <c r="BB51" s="422"/>
    </row>
    <row r="52" spans="1:54" s="452" customFormat="1" ht="30" customHeight="1">
      <c r="A52" s="448">
        <f t="shared" si="13"/>
        <v>47</v>
      </c>
      <c r="B52" s="448">
        <v>2146</v>
      </c>
      <c r="C52" s="448" t="s">
        <v>1037</v>
      </c>
      <c r="D52" s="449">
        <f>220000-159000</f>
        <v>61000</v>
      </c>
      <c r="E52" s="449">
        <v>220000</v>
      </c>
      <c r="F52" s="449">
        <f t="shared" si="0"/>
        <v>-159000</v>
      </c>
      <c r="G52" s="449">
        <v>130000</v>
      </c>
      <c r="H52" s="449">
        <v>45227</v>
      </c>
      <c r="I52" s="449">
        <v>0</v>
      </c>
      <c r="J52" s="449">
        <v>14939</v>
      </c>
      <c r="K52" s="449">
        <f t="shared" si="9"/>
        <v>14939</v>
      </c>
      <c r="L52" s="449">
        <f t="shared" si="1"/>
        <v>60166</v>
      </c>
      <c r="M52" s="449">
        <f>P52+S52-69000</f>
        <v>834</v>
      </c>
      <c r="N52" s="449"/>
      <c r="O52" s="449">
        <f>D52-L52-M52-N52</f>
        <v>0</v>
      </c>
      <c r="P52" s="449">
        <f t="shared" si="3"/>
        <v>69834</v>
      </c>
      <c r="Q52" s="449"/>
      <c r="R52" s="449"/>
      <c r="S52" s="449">
        <f>SUM(Q52:R52)</f>
        <v>0</v>
      </c>
      <c r="T52" s="449">
        <f t="shared" si="5"/>
        <v>69000</v>
      </c>
      <c r="U52" s="449">
        <f t="shared" si="6"/>
        <v>-69000</v>
      </c>
      <c r="V52" s="449">
        <f>U52-AA52-W52-Z52</f>
        <v>-69000</v>
      </c>
      <c r="W52" s="449"/>
      <c r="X52" s="449"/>
      <c r="Y52" s="449"/>
      <c r="Z52" s="449"/>
      <c r="AA52" s="449"/>
      <c r="AB52" s="448" t="s">
        <v>1038</v>
      </c>
      <c r="AC52" s="448">
        <v>732000</v>
      </c>
      <c r="AD52" s="449"/>
      <c r="AE52" s="449"/>
      <c r="AF52" s="449">
        <v>-69000</v>
      </c>
      <c r="AG52" s="449"/>
      <c r="AH52" s="449"/>
      <c r="AI52" s="449"/>
      <c r="AJ52" s="449"/>
      <c r="AK52" s="449"/>
      <c r="AL52" s="449"/>
      <c r="AM52" s="449"/>
      <c r="AN52" s="449">
        <f t="shared" si="15"/>
        <v>-69000</v>
      </c>
      <c r="AO52" s="449">
        <f t="shared" si="8"/>
        <v>0</v>
      </c>
      <c r="AP52" s="449">
        <f t="shared" si="11"/>
        <v>-69000</v>
      </c>
      <c r="AQ52" s="449"/>
      <c r="AR52" s="449"/>
      <c r="AS52" s="449"/>
      <c r="AT52" s="449"/>
      <c r="AU52" s="449"/>
      <c r="AV52" s="449">
        <f t="shared" si="12"/>
        <v>0</v>
      </c>
      <c r="AW52" s="449"/>
      <c r="AX52" s="449"/>
      <c r="AY52" s="449"/>
      <c r="AZ52" s="449"/>
      <c r="BA52" s="449"/>
      <c r="BB52" s="422"/>
    </row>
    <row r="53" spans="1:54" s="452" customFormat="1" ht="30" customHeight="1">
      <c r="A53" s="448">
        <f t="shared" si="13"/>
        <v>48</v>
      </c>
      <c r="B53" s="455">
        <v>2190</v>
      </c>
      <c r="C53" s="448" t="s">
        <v>489</v>
      </c>
      <c r="D53" s="449">
        <v>250000</v>
      </c>
      <c r="E53" s="449">
        <v>250000</v>
      </c>
      <c r="F53" s="449">
        <f t="shared" si="0"/>
        <v>0</v>
      </c>
      <c r="G53" s="449">
        <v>250000</v>
      </c>
      <c r="H53" s="449">
        <v>27852</v>
      </c>
      <c r="I53" s="449">
        <v>0</v>
      </c>
      <c r="J53" s="449">
        <v>0</v>
      </c>
      <c r="K53" s="449">
        <f t="shared" si="9"/>
        <v>0</v>
      </c>
      <c r="L53" s="449">
        <f t="shared" si="1"/>
        <v>27852</v>
      </c>
      <c r="M53" s="449">
        <f>P53+S53</f>
        <v>222148</v>
      </c>
      <c r="N53" s="449"/>
      <c r="O53" s="449">
        <f t="shared" ref="O53:O73" si="16">D53-L53-M53-N53</f>
        <v>0</v>
      </c>
      <c r="P53" s="449">
        <f t="shared" si="3"/>
        <v>222148</v>
      </c>
      <c r="Q53" s="449"/>
      <c r="R53" s="449"/>
      <c r="S53" s="449">
        <f t="shared" ref="S53:S67" si="17">SUM(Q53:R53)</f>
        <v>0</v>
      </c>
      <c r="T53" s="449">
        <f t="shared" si="5"/>
        <v>0</v>
      </c>
      <c r="U53" s="449">
        <f t="shared" si="6"/>
        <v>0</v>
      </c>
      <c r="V53" s="449">
        <f t="shared" ref="V53:V73" si="18">U53-AA53-W53-Z53</f>
        <v>0</v>
      </c>
      <c r="W53" s="449"/>
      <c r="X53" s="449"/>
      <c r="Y53" s="449"/>
      <c r="Z53" s="449"/>
      <c r="AA53" s="449"/>
      <c r="AB53" s="448" t="s">
        <v>490</v>
      </c>
      <c r="AC53" s="448">
        <v>742000</v>
      </c>
      <c r="AD53" s="449"/>
      <c r="AE53" s="449"/>
      <c r="AF53" s="449"/>
      <c r="AG53" s="449"/>
      <c r="AH53" s="449"/>
      <c r="AI53" s="449"/>
      <c r="AJ53" s="449"/>
      <c r="AK53" s="449"/>
      <c r="AL53" s="449"/>
      <c r="AM53" s="449"/>
      <c r="AN53" s="449">
        <f t="shared" si="15"/>
        <v>0</v>
      </c>
      <c r="AO53" s="449">
        <f t="shared" si="8"/>
        <v>0</v>
      </c>
      <c r="AP53" s="449">
        <f t="shared" si="11"/>
        <v>0</v>
      </c>
      <c r="AQ53" s="449"/>
      <c r="AR53" s="449"/>
      <c r="AS53" s="449"/>
      <c r="AT53" s="449"/>
      <c r="AU53" s="449"/>
      <c r="AV53" s="449">
        <f t="shared" si="12"/>
        <v>0</v>
      </c>
      <c r="AW53" s="449"/>
      <c r="AX53" s="449"/>
      <c r="AY53" s="449"/>
      <c r="AZ53" s="449"/>
      <c r="BA53" s="449"/>
      <c r="BB53" s="422"/>
    </row>
    <row r="54" spans="1:54" s="452" customFormat="1" ht="30" customHeight="1">
      <c r="A54" s="448">
        <f t="shared" si="13"/>
        <v>49</v>
      </c>
      <c r="B54" s="455">
        <v>2192</v>
      </c>
      <c r="C54" s="448" t="s">
        <v>492</v>
      </c>
      <c r="D54" s="449">
        <v>20400000</v>
      </c>
      <c r="E54" s="449">
        <v>20400000</v>
      </c>
      <c r="F54" s="449">
        <f t="shared" si="0"/>
        <v>0</v>
      </c>
      <c r="G54" s="449">
        <v>100000</v>
      </c>
      <c r="H54" s="449">
        <v>0</v>
      </c>
      <c r="I54" s="449">
        <v>0</v>
      </c>
      <c r="J54" s="449">
        <v>0</v>
      </c>
      <c r="K54" s="449">
        <f t="shared" si="9"/>
        <v>0</v>
      </c>
      <c r="L54" s="449">
        <f t="shared" si="1"/>
        <v>0</v>
      </c>
      <c r="M54" s="449">
        <f>P54+S54-100000</f>
        <v>0</v>
      </c>
      <c r="N54" s="449">
        <f>200000-100000+100000-100000</f>
        <v>100000</v>
      </c>
      <c r="O54" s="449">
        <f t="shared" si="16"/>
        <v>20300000</v>
      </c>
      <c r="P54" s="449">
        <f t="shared" si="3"/>
        <v>100000</v>
      </c>
      <c r="Q54" s="449"/>
      <c r="R54" s="449"/>
      <c r="S54" s="449">
        <f t="shared" si="17"/>
        <v>0</v>
      </c>
      <c r="T54" s="449">
        <f t="shared" si="5"/>
        <v>100000</v>
      </c>
      <c r="U54" s="449">
        <f t="shared" si="6"/>
        <v>0</v>
      </c>
      <c r="V54" s="449">
        <f t="shared" si="18"/>
        <v>0</v>
      </c>
      <c r="W54" s="449"/>
      <c r="X54" s="449"/>
      <c r="Y54" s="449"/>
      <c r="Z54" s="449"/>
      <c r="AA54" s="449"/>
      <c r="AB54" s="448" t="s">
        <v>506</v>
      </c>
      <c r="AC54" s="448">
        <v>742000</v>
      </c>
      <c r="AD54" s="449"/>
      <c r="AE54" s="449"/>
      <c r="AF54" s="449"/>
      <c r="AG54" s="449"/>
      <c r="AH54" s="449"/>
      <c r="AI54" s="449"/>
      <c r="AJ54" s="449"/>
      <c r="AK54" s="449"/>
      <c r="AL54" s="449"/>
      <c r="AM54" s="449"/>
      <c r="AN54" s="449">
        <f t="shared" si="15"/>
        <v>0</v>
      </c>
      <c r="AO54" s="449">
        <f t="shared" si="8"/>
        <v>0</v>
      </c>
      <c r="AP54" s="449">
        <f t="shared" si="11"/>
        <v>0</v>
      </c>
      <c r="AQ54" s="449"/>
      <c r="AR54" s="449"/>
      <c r="AS54" s="449"/>
      <c r="AT54" s="449"/>
      <c r="AU54" s="449"/>
      <c r="AV54" s="449">
        <f t="shared" si="12"/>
        <v>0</v>
      </c>
      <c r="AW54" s="449"/>
      <c r="AX54" s="449"/>
      <c r="AY54" s="449"/>
      <c r="AZ54" s="449"/>
      <c r="BA54" s="449"/>
      <c r="BB54" s="422"/>
    </row>
    <row r="55" spans="1:54" s="452" customFormat="1" ht="30" customHeight="1">
      <c r="A55" s="448">
        <f t="shared" si="13"/>
        <v>50</v>
      </c>
      <c r="B55" s="455">
        <v>2193</v>
      </c>
      <c r="C55" s="448" t="s">
        <v>493</v>
      </c>
      <c r="D55" s="449">
        <v>500000</v>
      </c>
      <c r="E55" s="449">
        <v>500000</v>
      </c>
      <c r="F55" s="449">
        <f t="shared" si="0"/>
        <v>0</v>
      </c>
      <c r="G55" s="449">
        <v>0</v>
      </c>
      <c r="H55" s="449">
        <v>0</v>
      </c>
      <c r="I55" s="449">
        <v>0</v>
      </c>
      <c r="J55" s="449">
        <v>0</v>
      </c>
      <c r="K55" s="449">
        <f t="shared" si="9"/>
        <v>0</v>
      </c>
      <c r="L55" s="449">
        <f t="shared" si="1"/>
        <v>0</v>
      </c>
      <c r="M55" s="449">
        <f>P55+S55</f>
        <v>0</v>
      </c>
      <c r="N55" s="449">
        <f>450000-250000</f>
        <v>200000</v>
      </c>
      <c r="O55" s="449">
        <f t="shared" si="16"/>
        <v>300000</v>
      </c>
      <c r="P55" s="449">
        <f t="shared" si="3"/>
        <v>0</v>
      </c>
      <c r="Q55" s="449"/>
      <c r="R55" s="449"/>
      <c r="S55" s="449">
        <f t="shared" si="17"/>
        <v>0</v>
      </c>
      <c r="T55" s="449">
        <f t="shared" si="5"/>
        <v>0</v>
      </c>
      <c r="U55" s="449">
        <f t="shared" si="6"/>
        <v>200000</v>
      </c>
      <c r="V55" s="449">
        <f t="shared" si="18"/>
        <v>200000</v>
      </c>
      <c r="W55" s="449"/>
      <c r="X55" s="449"/>
      <c r="Y55" s="449"/>
      <c r="Z55" s="449"/>
      <c r="AA55" s="449"/>
      <c r="AB55" s="448" t="s">
        <v>544</v>
      </c>
      <c r="AC55" s="448">
        <v>742000</v>
      </c>
      <c r="AD55" s="449"/>
      <c r="AE55" s="449">
        <v>80000</v>
      </c>
      <c r="AF55" s="449"/>
      <c r="AG55" s="449"/>
      <c r="AH55" s="449">
        <v>120000</v>
      </c>
      <c r="AI55" s="449"/>
      <c r="AJ55" s="449"/>
      <c r="AK55" s="449"/>
      <c r="AL55" s="449"/>
      <c r="AM55" s="449"/>
      <c r="AN55" s="449">
        <f t="shared" si="15"/>
        <v>200000</v>
      </c>
      <c r="AO55" s="449">
        <f t="shared" si="8"/>
        <v>0</v>
      </c>
      <c r="AP55" s="449">
        <f t="shared" si="11"/>
        <v>200000</v>
      </c>
      <c r="AQ55" s="449"/>
      <c r="AR55" s="449"/>
      <c r="AS55" s="449"/>
      <c r="AT55" s="449"/>
      <c r="AU55" s="449"/>
      <c r="AV55" s="449">
        <f t="shared" si="12"/>
        <v>0</v>
      </c>
      <c r="AW55" s="449"/>
      <c r="AX55" s="449"/>
      <c r="AY55" s="449"/>
      <c r="AZ55" s="449"/>
      <c r="BA55" s="449"/>
      <c r="BB55" s="422"/>
    </row>
    <row r="56" spans="1:54" s="452" customFormat="1" ht="30" customHeight="1">
      <c r="A56" s="448">
        <f t="shared" si="13"/>
        <v>51</v>
      </c>
      <c r="B56" s="455">
        <v>2195</v>
      </c>
      <c r="C56" s="448" t="s">
        <v>1039</v>
      </c>
      <c r="D56" s="449">
        <v>2300000</v>
      </c>
      <c r="E56" s="449">
        <v>2300000</v>
      </c>
      <c r="F56" s="449">
        <f t="shared" si="0"/>
        <v>0</v>
      </c>
      <c r="G56" s="449">
        <v>0</v>
      </c>
      <c r="H56" s="449">
        <v>0</v>
      </c>
      <c r="I56" s="449">
        <v>0</v>
      </c>
      <c r="J56" s="449">
        <v>0</v>
      </c>
      <c r="K56" s="449">
        <f t="shared" si="9"/>
        <v>0</v>
      </c>
      <c r="L56" s="449">
        <f t="shared" si="1"/>
        <v>0</v>
      </c>
      <c r="M56" s="449">
        <f>P56+S56</f>
        <v>0</v>
      </c>
      <c r="N56" s="449">
        <f>200000-100000</f>
        <v>100000</v>
      </c>
      <c r="O56" s="449">
        <f t="shared" si="16"/>
        <v>2200000</v>
      </c>
      <c r="P56" s="449">
        <f t="shared" si="3"/>
        <v>0</v>
      </c>
      <c r="Q56" s="449"/>
      <c r="R56" s="449"/>
      <c r="S56" s="449">
        <f t="shared" si="17"/>
        <v>0</v>
      </c>
      <c r="T56" s="449">
        <f t="shared" si="5"/>
        <v>0</v>
      </c>
      <c r="U56" s="449">
        <f t="shared" si="6"/>
        <v>100000</v>
      </c>
      <c r="V56" s="449">
        <f t="shared" si="18"/>
        <v>100000</v>
      </c>
      <c r="W56" s="449"/>
      <c r="X56" s="449"/>
      <c r="Y56" s="449"/>
      <c r="Z56" s="449"/>
      <c r="AA56" s="449"/>
      <c r="AB56" s="448" t="s">
        <v>545</v>
      </c>
      <c r="AC56" s="448">
        <v>742000</v>
      </c>
      <c r="AD56" s="449"/>
      <c r="AE56" s="449"/>
      <c r="AF56" s="449"/>
      <c r="AG56" s="449"/>
      <c r="AH56" s="449"/>
      <c r="AI56" s="449"/>
      <c r="AJ56" s="449"/>
      <c r="AK56" s="449"/>
      <c r="AL56" s="449"/>
      <c r="AM56" s="449">
        <v>100000</v>
      </c>
      <c r="AN56" s="449">
        <f t="shared" si="15"/>
        <v>100000</v>
      </c>
      <c r="AO56" s="449">
        <f t="shared" si="8"/>
        <v>0</v>
      </c>
      <c r="AP56" s="449">
        <f t="shared" si="11"/>
        <v>100000</v>
      </c>
      <c r="AQ56" s="449"/>
      <c r="AR56" s="449"/>
      <c r="AS56" s="449"/>
      <c r="AT56" s="449"/>
      <c r="AU56" s="449"/>
      <c r="AV56" s="449">
        <f t="shared" si="12"/>
        <v>100000</v>
      </c>
      <c r="AW56" s="449"/>
      <c r="AX56" s="449"/>
      <c r="AY56" s="449"/>
      <c r="AZ56" s="449"/>
      <c r="BA56" s="449"/>
      <c r="BB56" s="422"/>
    </row>
    <row r="57" spans="1:54" s="452" customFormat="1" ht="30" customHeight="1">
      <c r="A57" s="448">
        <f t="shared" si="13"/>
        <v>52</v>
      </c>
      <c r="B57" s="455">
        <v>2199</v>
      </c>
      <c r="C57" s="448" t="s">
        <v>499</v>
      </c>
      <c r="D57" s="449">
        <v>1000000</v>
      </c>
      <c r="E57" s="449">
        <v>1000000</v>
      </c>
      <c r="F57" s="449">
        <f t="shared" si="0"/>
        <v>0</v>
      </c>
      <c r="G57" s="449">
        <v>150000</v>
      </c>
      <c r="H57" s="449">
        <v>12168</v>
      </c>
      <c r="I57" s="449">
        <v>0</v>
      </c>
      <c r="J57" s="449">
        <v>0</v>
      </c>
      <c r="K57" s="449">
        <f t="shared" si="9"/>
        <v>0</v>
      </c>
      <c r="L57" s="449">
        <f t="shared" si="1"/>
        <v>12168</v>
      </c>
      <c r="M57" s="449">
        <f>P57+S57-135000</f>
        <v>2832</v>
      </c>
      <c r="N57" s="449">
        <v>135000</v>
      </c>
      <c r="O57" s="449">
        <f t="shared" si="16"/>
        <v>850000</v>
      </c>
      <c r="P57" s="449">
        <f t="shared" si="3"/>
        <v>137832</v>
      </c>
      <c r="Q57" s="449"/>
      <c r="R57" s="449"/>
      <c r="S57" s="449">
        <f t="shared" si="17"/>
        <v>0</v>
      </c>
      <c r="T57" s="449">
        <f t="shared" si="5"/>
        <v>135000</v>
      </c>
      <c r="U57" s="449">
        <f t="shared" si="6"/>
        <v>0</v>
      </c>
      <c r="V57" s="449">
        <f t="shared" si="18"/>
        <v>0</v>
      </c>
      <c r="W57" s="449"/>
      <c r="X57" s="449"/>
      <c r="Y57" s="449"/>
      <c r="Z57" s="449"/>
      <c r="AA57" s="449"/>
      <c r="AB57" s="448" t="s">
        <v>669</v>
      </c>
      <c r="AC57" s="448">
        <v>732000</v>
      </c>
      <c r="AD57" s="449"/>
      <c r="AE57" s="449"/>
      <c r="AF57" s="449"/>
      <c r="AG57" s="449"/>
      <c r="AH57" s="449"/>
      <c r="AI57" s="449"/>
      <c r="AJ57" s="449"/>
      <c r="AK57" s="449"/>
      <c r="AL57" s="449"/>
      <c r="AM57" s="449"/>
      <c r="AN57" s="449">
        <f t="shared" si="15"/>
        <v>0</v>
      </c>
      <c r="AO57" s="449">
        <f t="shared" si="8"/>
        <v>0</v>
      </c>
      <c r="AP57" s="449">
        <f t="shared" si="11"/>
        <v>0</v>
      </c>
      <c r="AQ57" s="449"/>
      <c r="AR57" s="449"/>
      <c r="AS57" s="449"/>
      <c r="AT57" s="449"/>
      <c r="AU57" s="449"/>
      <c r="AV57" s="449">
        <f t="shared" si="12"/>
        <v>0</v>
      </c>
      <c r="AW57" s="449"/>
      <c r="AX57" s="449"/>
      <c r="AY57" s="449"/>
      <c r="AZ57" s="449"/>
      <c r="BA57" s="449"/>
      <c r="BB57" s="422"/>
    </row>
    <row r="58" spans="1:54" s="452" customFormat="1" ht="30" customHeight="1">
      <c r="A58" s="448">
        <f t="shared" si="13"/>
        <v>53</v>
      </c>
      <c r="B58" s="455">
        <v>2200</v>
      </c>
      <c r="C58" s="448" t="s">
        <v>500</v>
      </c>
      <c r="D58" s="449">
        <v>1700000</v>
      </c>
      <c r="E58" s="449">
        <v>1700000</v>
      </c>
      <c r="F58" s="449">
        <f t="shared" si="0"/>
        <v>0</v>
      </c>
      <c r="G58" s="449">
        <v>150000</v>
      </c>
      <c r="H58" s="449">
        <v>0</v>
      </c>
      <c r="I58" s="449">
        <v>0</v>
      </c>
      <c r="J58" s="449">
        <v>43261</v>
      </c>
      <c r="K58" s="449">
        <f t="shared" si="9"/>
        <v>43261</v>
      </c>
      <c r="L58" s="449">
        <f t="shared" si="1"/>
        <v>43261</v>
      </c>
      <c r="M58" s="449">
        <f>P58+S58-100000</f>
        <v>6739</v>
      </c>
      <c r="N58" s="449">
        <f>400000-180000-100000</f>
        <v>120000</v>
      </c>
      <c r="O58" s="449">
        <f t="shared" si="16"/>
        <v>1530000</v>
      </c>
      <c r="P58" s="449">
        <f t="shared" si="3"/>
        <v>106739</v>
      </c>
      <c r="Q58" s="449"/>
      <c r="R58" s="449"/>
      <c r="S58" s="449">
        <f t="shared" si="17"/>
        <v>0</v>
      </c>
      <c r="T58" s="449">
        <f t="shared" si="5"/>
        <v>100000</v>
      </c>
      <c r="U58" s="449">
        <f t="shared" si="6"/>
        <v>20000</v>
      </c>
      <c r="V58" s="449">
        <f t="shared" si="18"/>
        <v>20000</v>
      </c>
      <c r="W58" s="449"/>
      <c r="X58" s="449"/>
      <c r="Y58" s="449"/>
      <c r="Z58" s="449"/>
      <c r="AA58" s="449"/>
      <c r="AB58" s="448" t="s">
        <v>546</v>
      </c>
      <c r="AC58" s="448">
        <v>732000</v>
      </c>
      <c r="AD58" s="449"/>
      <c r="AE58" s="449"/>
      <c r="AF58" s="449"/>
      <c r="AG58" s="449"/>
      <c r="AH58" s="449"/>
      <c r="AI58" s="449"/>
      <c r="AJ58" s="449"/>
      <c r="AK58" s="449"/>
      <c r="AL58" s="449"/>
      <c r="AM58" s="449"/>
      <c r="AN58" s="449">
        <f t="shared" si="15"/>
        <v>0</v>
      </c>
      <c r="AO58" s="449">
        <f t="shared" si="8"/>
        <v>20000</v>
      </c>
      <c r="AP58" s="449">
        <f t="shared" si="11"/>
        <v>0</v>
      </c>
      <c r="AQ58" s="449"/>
      <c r="AR58" s="449"/>
      <c r="AS58" s="449"/>
      <c r="AT58" s="449"/>
      <c r="AU58" s="449"/>
      <c r="AV58" s="449">
        <f t="shared" si="12"/>
        <v>0</v>
      </c>
      <c r="AW58" s="449"/>
      <c r="AX58" s="449"/>
      <c r="AY58" s="449"/>
      <c r="AZ58" s="449"/>
      <c r="BA58" s="449"/>
      <c r="BB58" s="422"/>
    </row>
    <row r="59" spans="1:54" s="452" customFormat="1" ht="30" customHeight="1">
      <c r="A59" s="448">
        <f t="shared" si="13"/>
        <v>54</v>
      </c>
      <c r="B59" s="455">
        <v>20000</v>
      </c>
      <c r="C59" s="448" t="s">
        <v>587</v>
      </c>
      <c r="D59" s="449">
        <f>2500000-300000+300000</f>
        <v>2500000</v>
      </c>
      <c r="E59" s="449">
        <v>2500000</v>
      </c>
      <c r="F59" s="449">
        <f t="shared" si="0"/>
        <v>0</v>
      </c>
      <c r="G59" s="449">
        <v>0</v>
      </c>
      <c r="H59" s="449">
        <v>0</v>
      </c>
      <c r="I59" s="449">
        <v>0</v>
      </c>
      <c r="J59" s="449">
        <v>0</v>
      </c>
      <c r="K59" s="449">
        <f t="shared" si="9"/>
        <v>0</v>
      </c>
      <c r="L59" s="449">
        <f t="shared" si="1"/>
        <v>0</v>
      </c>
      <c r="M59" s="449">
        <f>P59+S59</f>
        <v>0</v>
      </c>
      <c r="N59" s="449">
        <f>800000-100000-300000</f>
        <v>400000</v>
      </c>
      <c r="O59" s="449">
        <f t="shared" si="16"/>
        <v>2100000</v>
      </c>
      <c r="P59" s="449">
        <f t="shared" si="3"/>
        <v>0</v>
      </c>
      <c r="Q59" s="449"/>
      <c r="R59" s="449"/>
      <c r="S59" s="449">
        <f t="shared" si="17"/>
        <v>0</v>
      </c>
      <c r="T59" s="449">
        <f t="shared" si="5"/>
        <v>0</v>
      </c>
      <c r="U59" s="449">
        <f t="shared" si="6"/>
        <v>400000</v>
      </c>
      <c r="V59" s="449">
        <f t="shared" si="18"/>
        <v>400000</v>
      </c>
      <c r="W59" s="449"/>
      <c r="X59" s="449"/>
      <c r="Y59" s="449"/>
      <c r="Z59" s="449"/>
      <c r="AA59" s="449"/>
      <c r="AB59" s="448" t="s">
        <v>816</v>
      </c>
      <c r="AC59" s="448">
        <v>732000</v>
      </c>
      <c r="AD59" s="449"/>
      <c r="AE59" s="449"/>
      <c r="AF59" s="449"/>
      <c r="AG59" s="449"/>
      <c r="AH59" s="449"/>
      <c r="AI59" s="449"/>
      <c r="AJ59" s="449"/>
      <c r="AK59" s="449"/>
      <c r="AL59" s="449"/>
      <c r="AM59" s="449"/>
      <c r="AN59" s="449">
        <f t="shared" si="15"/>
        <v>0</v>
      </c>
      <c r="AO59" s="449">
        <f t="shared" si="8"/>
        <v>400000</v>
      </c>
      <c r="AP59" s="449">
        <f t="shared" si="11"/>
        <v>0</v>
      </c>
      <c r="AQ59" s="449"/>
      <c r="AR59" s="449"/>
      <c r="AS59" s="449"/>
      <c r="AT59" s="449"/>
      <c r="AU59" s="449"/>
      <c r="AV59" s="449">
        <f t="shared" si="12"/>
        <v>0</v>
      </c>
      <c r="AW59" s="449"/>
      <c r="AX59" s="449"/>
      <c r="AY59" s="449"/>
      <c r="AZ59" s="449"/>
      <c r="BA59" s="449"/>
      <c r="BB59" s="422"/>
    </row>
    <row r="60" spans="1:54" s="452" customFormat="1" ht="30" customHeight="1">
      <c r="A60" s="448">
        <f t="shared" si="13"/>
        <v>55</v>
      </c>
      <c r="B60" s="455">
        <v>20001</v>
      </c>
      <c r="C60" s="448" t="s">
        <v>653</v>
      </c>
      <c r="D60" s="449">
        <f>3500000-300000</f>
        <v>3200000</v>
      </c>
      <c r="E60" s="449">
        <v>3200000</v>
      </c>
      <c r="F60" s="449">
        <f t="shared" si="0"/>
        <v>0</v>
      </c>
      <c r="G60" s="449">
        <v>100000</v>
      </c>
      <c r="H60" s="449">
        <v>0</v>
      </c>
      <c r="I60" s="449">
        <v>3838</v>
      </c>
      <c r="J60" s="449">
        <v>0</v>
      </c>
      <c r="K60" s="449">
        <f t="shared" si="9"/>
        <v>3838</v>
      </c>
      <c r="L60" s="449">
        <f t="shared" si="1"/>
        <v>3838</v>
      </c>
      <c r="M60" s="449">
        <f>P60+S60-100000+100000</f>
        <v>146162</v>
      </c>
      <c r="N60" s="449">
        <f>3500000-100000-300000-50000-3050000</f>
        <v>0</v>
      </c>
      <c r="O60" s="449">
        <f t="shared" si="16"/>
        <v>3050000</v>
      </c>
      <c r="P60" s="449">
        <f t="shared" si="3"/>
        <v>96162</v>
      </c>
      <c r="Q60" s="482">
        <v>50000</v>
      </c>
      <c r="R60" s="449"/>
      <c r="S60" s="449">
        <f t="shared" si="17"/>
        <v>50000</v>
      </c>
      <c r="T60" s="449">
        <f t="shared" si="5"/>
        <v>0</v>
      </c>
      <c r="U60" s="449">
        <f t="shared" si="6"/>
        <v>0</v>
      </c>
      <c r="V60" s="449">
        <f t="shared" si="18"/>
        <v>0</v>
      </c>
      <c r="W60" s="449"/>
      <c r="X60" s="449"/>
      <c r="Y60" s="449"/>
      <c r="Z60" s="449"/>
      <c r="AA60" s="449"/>
      <c r="AB60" s="448" t="s">
        <v>813</v>
      </c>
      <c r="AC60" s="448">
        <v>742000</v>
      </c>
      <c r="AD60" s="449"/>
      <c r="AE60" s="449"/>
      <c r="AF60" s="449"/>
      <c r="AG60" s="449"/>
      <c r="AH60" s="449"/>
      <c r="AI60" s="449"/>
      <c r="AJ60" s="449"/>
      <c r="AK60" s="449"/>
      <c r="AL60" s="449"/>
      <c r="AM60" s="449"/>
      <c r="AN60" s="449">
        <f t="shared" si="15"/>
        <v>0</v>
      </c>
      <c r="AO60" s="449">
        <f t="shared" si="8"/>
        <v>0</v>
      </c>
      <c r="AP60" s="449">
        <f t="shared" si="11"/>
        <v>0</v>
      </c>
      <c r="AQ60" s="449"/>
      <c r="AR60" s="449"/>
      <c r="AS60" s="449"/>
      <c r="AT60" s="449"/>
      <c r="AU60" s="449"/>
      <c r="AV60" s="449">
        <f t="shared" si="12"/>
        <v>0</v>
      </c>
      <c r="AW60" s="449"/>
      <c r="AX60" s="449"/>
      <c r="AY60" s="449"/>
      <c r="AZ60" s="449"/>
      <c r="BA60" s="449"/>
      <c r="BB60" s="422"/>
    </row>
    <row r="61" spans="1:54" s="452" customFormat="1" ht="30" customHeight="1">
      <c r="A61" s="448">
        <f t="shared" si="13"/>
        <v>56</v>
      </c>
      <c r="B61" s="455">
        <v>20002</v>
      </c>
      <c r="C61" s="448" t="s">
        <v>588</v>
      </c>
      <c r="D61" s="449">
        <v>1500000</v>
      </c>
      <c r="E61" s="449">
        <v>1500000</v>
      </c>
      <c r="F61" s="449">
        <f t="shared" si="0"/>
        <v>0</v>
      </c>
      <c r="G61" s="449">
        <v>0</v>
      </c>
      <c r="H61" s="449">
        <v>0</v>
      </c>
      <c r="I61" s="449">
        <v>0</v>
      </c>
      <c r="J61" s="449">
        <v>0</v>
      </c>
      <c r="K61" s="449">
        <f t="shared" si="9"/>
        <v>0</v>
      </c>
      <c r="L61" s="449">
        <f t="shared" si="1"/>
        <v>0</v>
      </c>
      <c r="M61" s="449">
        <f t="shared" ref="M61:M73" si="19">P61+S61</f>
        <v>100000</v>
      </c>
      <c r="N61" s="449">
        <f>1400000-400000</f>
        <v>1000000</v>
      </c>
      <c r="O61" s="449">
        <f t="shared" si="16"/>
        <v>400000</v>
      </c>
      <c r="P61" s="449">
        <f>G61-L61</f>
        <v>0</v>
      </c>
      <c r="Q61" s="482">
        <v>100000</v>
      </c>
      <c r="R61" s="449"/>
      <c r="S61" s="449">
        <f t="shared" si="17"/>
        <v>100000</v>
      </c>
      <c r="T61" s="449">
        <f>P61-M61+S61</f>
        <v>0</v>
      </c>
      <c r="U61" s="449">
        <f t="shared" si="6"/>
        <v>1000000</v>
      </c>
      <c r="V61" s="449">
        <f t="shared" si="18"/>
        <v>1000000</v>
      </c>
      <c r="W61" s="449"/>
      <c r="X61" s="449"/>
      <c r="Y61" s="449"/>
      <c r="Z61" s="449"/>
      <c r="AA61" s="449"/>
      <c r="AB61" s="448" t="s">
        <v>654</v>
      </c>
      <c r="AC61" s="448">
        <v>742000</v>
      </c>
      <c r="AD61" s="449"/>
      <c r="AE61" s="449"/>
      <c r="AF61" s="449"/>
      <c r="AG61" s="449"/>
      <c r="AH61" s="449">
        <v>500000</v>
      </c>
      <c r="AI61" s="449"/>
      <c r="AJ61" s="449"/>
      <c r="AK61" s="449">
        <v>500000</v>
      </c>
      <c r="AL61" s="449"/>
      <c r="AM61" s="449"/>
      <c r="AN61" s="449">
        <f t="shared" si="15"/>
        <v>1000000</v>
      </c>
      <c r="AO61" s="449">
        <f t="shared" si="8"/>
        <v>0</v>
      </c>
      <c r="AP61" s="449">
        <f t="shared" si="11"/>
        <v>1000000</v>
      </c>
      <c r="AQ61" s="449"/>
      <c r="AR61" s="449"/>
      <c r="AS61" s="449"/>
      <c r="AT61" s="449"/>
      <c r="AU61" s="449"/>
      <c r="AV61" s="449">
        <f t="shared" si="12"/>
        <v>0</v>
      </c>
      <c r="AW61" s="449"/>
      <c r="AX61" s="449"/>
      <c r="AY61" s="449"/>
      <c r="AZ61" s="449"/>
      <c r="BA61" s="449"/>
      <c r="BB61" s="422"/>
    </row>
    <row r="62" spans="1:54" s="452" customFormat="1" ht="30" customHeight="1">
      <c r="A62" s="448">
        <f t="shared" si="13"/>
        <v>57</v>
      </c>
      <c r="B62" s="455">
        <v>20005</v>
      </c>
      <c r="C62" s="448" t="s">
        <v>590</v>
      </c>
      <c r="D62" s="449">
        <f>1685000</f>
        <v>1685000</v>
      </c>
      <c r="E62" s="449">
        <v>1685000</v>
      </c>
      <c r="F62" s="449">
        <f t="shared" si="0"/>
        <v>0</v>
      </c>
      <c r="G62" s="449">
        <v>0</v>
      </c>
      <c r="H62" s="449">
        <v>0</v>
      </c>
      <c r="I62" s="449">
        <v>0</v>
      </c>
      <c r="J62" s="449">
        <v>0</v>
      </c>
      <c r="K62" s="449">
        <f t="shared" si="9"/>
        <v>0</v>
      </c>
      <c r="L62" s="449">
        <f t="shared" si="1"/>
        <v>0</v>
      </c>
      <c r="M62" s="449">
        <f t="shared" si="19"/>
        <v>0</v>
      </c>
      <c r="N62" s="449">
        <f>1685000-1185000-500000</f>
        <v>0</v>
      </c>
      <c r="O62" s="449">
        <f t="shared" si="16"/>
        <v>1685000</v>
      </c>
      <c r="P62" s="449"/>
      <c r="Q62" s="387">
        <f>50000-50000</f>
        <v>0</v>
      </c>
      <c r="R62" s="449"/>
      <c r="S62" s="449">
        <f t="shared" si="17"/>
        <v>0</v>
      </c>
      <c r="T62" s="449"/>
      <c r="U62" s="449">
        <f t="shared" si="6"/>
        <v>0</v>
      </c>
      <c r="V62" s="449">
        <f t="shared" si="18"/>
        <v>0</v>
      </c>
      <c r="W62" s="449"/>
      <c r="X62" s="449"/>
      <c r="Y62" s="449"/>
      <c r="Z62" s="449"/>
      <c r="AA62" s="449"/>
      <c r="AB62" s="448" t="s">
        <v>591</v>
      </c>
      <c r="AC62" s="448">
        <v>746000</v>
      </c>
      <c r="AD62" s="449"/>
      <c r="AE62" s="449"/>
      <c r="AF62" s="449"/>
      <c r="AG62" s="449"/>
      <c r="AH62" s="449"/>
      <c r="AI62" s="449"/>
      <c r="AJ62" s="449"/>
      <c r="AK62" s="449"/>
      <c r="AL62" s="449"/>
      <c r="AM62" s="449"/>
      <c r="AN62" s="449">
        <f t="shared" si="15"/>
        <v>0</v>
      </c>
      <c r="AO62" s="449">
        <f t="shared" si="8"/>
        <v>0</v>
      </c>
      <c r="AP62" s="449">
        <f t="shared" si="11"/>
        <v>0</v>
      </c>
      <c r="AQ62" s="449"/>
      <c r="AR62" s="449"/>
      <c r="AS62" s="449"/>
      <c r="AT62" s="449"/>
      <c r="AU62" s="449"/>
      <c r="AV62" s="449">
        <f t="shared" si="12"/>
        <v>0</v>
      </c>
      <c r="AW62" s="449"/>
      <c r="AX62" s="449"/>
      <c r="AY62" s="449"/>
      <c r="AZ62" s="449"/>
      <c r="BA62" s="449"/>
      <c r="BB62" s="422"/>
    </row>
    <row r="63" spans="1:54" s="452" customFormat="1" ht="30" customHeight="1">
      <c r="A63" s="448">
        <f t="shared" si="13"/>
        <v>58</v>
      </c>
      <c r="B63" s="455">
        <v>20006</v>
      </c>
      <c r="C63" s="448" t="s">
        <v>592</v>
      </c>
      <c r="D63" s="449">
        <v>4000000</v>
      </c>
      <c r="E63" s="449">
        <v>4000000</v>
      </c>
      <c r="F63" s="449">
        <f t="shared" si="0"/>
        <v>0</v>
      </c>
      <c r="G63" s="449">
        <v>0</v>
      </c>
      <c r="H63" s="449">
        <v>0</v>
      </c>
      <c r="I63" s="449">
        <v>0</v>
      </c>
      <c r="J63" s="449">
        <v>0</v>
      </c>
      <c r="K63" s="449">
        <f t="shared" si="9"/>
        <v>0</v>
      </c>
      <c r="L63" s="449">
        <f t="shared" si="1"/>
        <v>0</v>
      </c>
      <c r="M63" s="449">
        <f t="shared" si="19"/>
        <v>0</v>
      </c>
      <c r="N63" s="449">
        <f>1000000-400000-600000</f>
        <v>0</v>
      </c>
      <c r="O63" s="449">
        <f t="shared" si="16"/>
        <v>4000000</v>
      </c>
      <c r="P63" s="449"/>
      <c r="Q63" s="449"/>
      <c r="R63" s="449"/>
      <c r="S63" s="449">
        <f t="shared" si="17"/>
        <v>0</v>
      </c>
      <c r="T63" s="449"/>
      <c r="U63" s="449">
        <f t="shared" si="6"/>
        <v>0</v>
      </c>
      <c r="V63" s="449">
        <f t="shared" si="18"/>
        <v>0</v>
      </c>
      <c r="W63" s="449"/>
      <c r="X63" s="449"/>
      <c r="Y63" s="449"/>
      <c r="Z63" s="449"/>
      <c r="AA63" s="449"/>
      <c r="AB63" s="448" t="s">
        <v>593</v>
      </c>
      <c r="AC63" s="448">
        <v>746000</v>
      </c>
      <c r="AD63" s="449"/>
      <c r="AE63" s="449"/>
      <c r="AF63" s="449"/>
      <c r="AG63" s="449"/>
      <c r="AH63" s="449"/>
      <c r="AI63" s="449"/>
      <c r="AJ63" s="449"/>
      <c r="AK63" s="449"/>
      <c r="AL63" s="449"/>
      <c r="AM63" s="449"/>
      <c r="AN63" s="449">
        <f t="shared" si="15"/>
        <v>0</v>
      </c>
      <c r="AO63" s="449">
        <f t="shared" si="8"/>
        <v>0</v>
      </c>
      <c r="AP63" s="449">
        <f t="shared" si="11"/>
        <v>0</v>
      </c>
      <c r="AQ63" s="449"/>
      <c r="AR63" s="449"/>
      <c r="AS63" s="449"/>
      <c r="AT63" s="449"/>
      <c r="AU63" s="449"/>
      <c r="AV63" s="449">
        <f t="shared" si="12"/>
        <v>0</v>
      </c>
      <c r="AW63" s="449"/>
      <c r="AX63" s="449"/>
      <c r="AY63" s="449"/>
      <c r="AZ63" s="449"/>
      <c r="BA63" s="449"/>
      <c r="BB63" s="422"/>
    </row>
    <row r="64" spans="1:54" s="452" customFormat="1" ht="30" customHeight="1">
      <c r="A64" s="448">
        <f t="shared" si="13"/>
        <v>59</v>
      </c>
      <c r="B64" s="455">
        <v>20007</v>
      </c>
      <c r="C64" s="448" t="s">
        <v>594</v>
      </c>
      <c r="D64" s="449">
        <v>700000</v>
      </c>
      <c r="E64" s="449">
        <v>700000</v>
      </c>
      <c r="F64" s="449">
        <f t="shared" si="0"/>
        <v>0</v>
      </c>
      <c r="G64" s="449">
        <v>0</v>
      </c>
      <c r="H64" s="449">
        <v>0</v>
      </c>
      <c r="I64" s="449">
        <v>0</v>
      </c>
      <c r="J64" s="449">
        <v>0</v>
      </c>
      <c r="K64" s="449">
        <f t="shared" si="9"/>
        <v>0</v>
      </c>
      <c r="L64" s="449">
        <f t="shared" si="1"/>
        <v>0</v>
      </c>
      <c r="M64" s="449">
        <f t="shared" si="19"/>
        <v>0</v>
      </c>
      <c r="N64" s="449">
        <f>400000+300000-700000</f>
        <v>0</v>
      </c>
      <c r="O64" s="449">
        <f t="shared" si="16"/>
        <v>700000</v>
      </c>
      <c r="P64" s="449">
        <f>G64-L64</f>
        <v>0</v>
      </c>
      <c r="Q64" s="449"/>
      <c r="R64" s="449"/>
      <c r="S64" s="449">
        <f t="shared" si="17"/>
        <v>0</v>
      </c>
      <c r="T64" s="449">
        <f>P64-M64+S64</f>
        <v>0</v>
      </c>
      <c r="U64" s="449">
        <f t="shared" si="6"/>
        <v>0</v>
      </c>
      <c r="V64" s="449">
        <f t="shared" si="18"/>
        <v>0</v>
      </c>
      <c r="W64" s="449"/>
      <c r="X64" s="449"/>
      <c r="Y64" s="449"/>
      <c r="Z64" s="449"/>
      <c r="AA64" s="449"/>
      <c r="AB64" s="448" t="s">
        <v>595</v>
      </c>
      <c r="AC64" s="448">
        <v>746000</v>
      </c>
      <c r="AD64" s="449"/>
      <c r="AE64" s="449"/>
      <c r="AF64" s="449"/>
      <c r="AG64" s="449"/>
      <c r="AH64" s="449"/>
      <c r="AI64" s="449"/>
      <c r="AJ64" s="449"/>
      <c r="AK64" s="449"/>
      <c r="AL64" s="449"/>
      <c r="AM64" s="449"/>
      <c r="AN64" s="449">
        <f t="shared" si="15"/>
        <v>0</v>
      </c>
      <c r="AO64" s="449">
        <f t="shared" si="8"/>
        <v>0</v>
      </c>
      <c r="AP64" s="449">
        <f t="shared" si="11"/>
        <v>0</v>
      </c>
      <c r="AQ64" s="449"/>
      <c r="AR64" s="449"/>
      <c r="AS64" s="449"/>
      <c r="AT64" s="449"/>
      <c r="AU64" s="449"/>
      <c r="AV64" s="449">
        <f t="shared" si="12"/>
        <v>0</v>
      </c>
      <c r="AW64" s="449"/>
      <c r="AX64" s="449"/>
      <c r="AY64" s="449"/>
      <c r="AZ64" s="449"/>
      <c r="BA64" s="449"/>
      <c r="BB64" s="422"/>
    </row>
    <row r="65" spans="1:54" s="452" customFormat="1" ht="30" customHeight="1">
      <c r="A65" s="448">
        <f t="shared" si="13"/>
        <v>60</v>
      </c>
      <c r="B65" s="455">
        <v>20008</v>
      </c>
      <c r="C65" s="448" t="s">
        <v>596</v>
      </c>
      <c r="D65" s="449">
        <v>1900000</v>
      </c>
      <c r="E65" s="449">
        <v>1900000</v>
      </c>
      <c r="F65" s="449">
        <f t="shared" si="0"/>
        <v>0</v>
      </c>
      <c r="G65" s="449">
        <v>0</v>
      </c>
      <c r="H65" s="449">
        <v>0</v>
      </c>
      <c r="I65" s="449">
        <v>0</v>
      </c>
      <c r="J65" s="449">
        <v>0</v>
      </c>
      <c r="K65" s="449">
        <f t="shared" si="9"/>
        <v>0</v>
      </c>
      <c r="L65" s="449">
        <f t="shared" si="1"/>
        <v>0</v>
      </c>
      <c r="M65" s="449">
        <f t="shared" si="19"/>
        <v>0</v>
      </c>
      <c r="N65" s="449">
        <f>1000000-100000-600000</f>
        <v>300000</v>
      </c>
      <c r="O65" s="449">
        <f t="shared" si="16"/>
        <v>1600000</v>
      </c>
      <c r="P65" s="449"/>
      <c r="Q65" s="449"/>
      <c r="R65" s="449"/>
      <c r="S65" s="449">
        <f t="shared" si="17"/>
        <v>0</v>
      </c>
      <c r="T65" s="449"/>
      <c r="U65" s="449">
        <f t="shared" si="6"/>
        <v>300000</v>
      </c>
      <c r="V65" s="449">
        <f t="shared" si="18"/>
        <v>300000</v>
      </c>
      <c r="W65" s="449"/>
      <c r="X65" s="449"/>
      <c r="Y65" s="449"/>
      <c r="Z65" s="449"/>
      <c r="AA65" s="449"/>
      <c r="AB65" s="448" t="s">
        <v>597</v>
      </c>
      <c r="AC65" s="448">
        <v>732000</v>
      </c>
      <c r="AD65" s="449"/>
      <c r="AE65" s="449"/>
      <c r="AF65" s="449"/>
      <c r="AG65" s="449"/>
      <c r="AH65" s="449"/>
      <c r="AI65" s="449"/>
      <c r="AJ65" s="449"/>
      <c r="AK65" s="449"/>
      <c r="AL65" s="449"/>
      <c r="AM65" s="449"/>
      <c r="AN65" s="449">
        <f t="shared" si="15"/>
        <v>0</v>
      </c>
      <c r="AO65" s="449">
        <f t="shared" si="8"/>
        <v>300000</v>
      </c>
      <c r="AP65" s="449">
        <f t="shared" si="11"/>
        <v>0</v>
      </c>
      <c r="AQ65" s="449"/>
      <c r="AR65" s="449"/>
      <c r="AS65" s="449"/>
      <c r="AT65" s="449"/>
      <c r="AU65" s="449"/>
      <c r="AV65" s="449">
        <f t="shared" si="12"/>
        <v>0</v>
      </c>
      <c r="AW65" s="449"/>
      <c r="AX65" s="449"/>
      <c r="AY65" s="449"/>
      <c r="AZ65" s="449"/>
      <c r="BA65" s="449"/>
      <c r="BB65" s="422"/>
    </row>
    <row r="66" spans="1:54" s="452" customFormat="1" ht="30" customHeight="1">
      <c r="A66" s="448">
        <f t="shared" si="13"/>
        <v>61</v>
      </c>
      <c r="B66" s="455">
        <v>20009</v>
      </c>
      <c r="C66" s="448" t="s">
        <v>1040</v>
      </c>
      <c r="D66" s="449">
        <v>2150000</v>
      </c>
      <c r="E66" s="449">
        <v>2150000</v>
      </c>
      <c r="F66" s="449">
        <f t="shared" si="0"/>
        <v>0</v>
      </c>
      <c r="G66" s="449">
        <v>0</v>
      </c>
      <c r="H66" s="449">
        <v>0</v>
      </c>
      <c r="I66" s="449">
        <v>0</v>
      </c>
      <c r="J66" s="449">
        <v>0</v>
      </c>
      <c r="K66" s="449">
        <f t="shared" si="9"/>
        <v>0</v>
      </c>
      <c r="L66" s="449">
        <f t="shared" si="1"/>
        <v>0</v>
      </c>
      <c r="M66" s="449">
        <f t="shared" si="19"/>
        <v>150000</v>
      </c>
      <c r="N66" s="449">
        <f>1480000-980000-200000</f>
        <v>300000</v>
      </c>
      <c r="O66" s="449">
        <f t="shared" si="16"/>
        <v>1700000</v>
      </c>
      <c r="P66" s="449"/>
      <c r="Q66" s="482">
        <v>150000</v>
      </c>
      <c r="R66" s="449"/>
      <c r="S66" s="449">
        <f t="shared" si="17"/>
        <v>150000</v>
      </c>
      <c r="T66" s="449"/>
      <c r="U66" s="449">
        <f t="shared" si="6"/>
        <v>300000</v>
      </c>
      <c r="V66" s="449">
        <f t="shared" si="18"/>
        <v>300000</v>
      </c>
      <c r="W66" s="449"/>
      <c r="X66" s="449"/>
      <c r="Y66" s="449"/>
      <c r="Z66" s="449"/>
      <c r="AA66" s="449"/>
      <c r="AB66" s="448" t="s">
        <v>801</v>
      </c>
      <c r="AC66" s="448">
        <v>732000</v>
      </c>
      <c r="AD66" s="449"/>
      <c r="AE66" s="449"/>
      <c r="AF66" s="449"/>
      <c r="AG66" s="449"/>
      <c r="AH66" s="449"/>
      <c r="AI66" s="449"/>
      <c r="AJ66" s="449"/>
      <c r="AK66" s="449">
        <v>50000</v>
      </c>
      <c r="AL66" s="449"/>
      <c r="AM66" s="449"/>
      <c r="AN66" s="449">
        <f t="shared" si="15"/>
        <v>50000</v>
      </c>
      <c r="AO66" s="449">
        <f t="shared" si="8"/>
        <v>250000</v>
      </c>
      <c r="AP66" s="449">
        <f t="shared" si="11"/>
        <v>50000</v>
      </c>
      <c r="AQ66" s="449"/>
      <c r="AR66" s="449"/>
      <c r="AS66" s="449"/>
      <c r="AT66" s="449"/>
      <c r="AU66" s="449"/>
      <c r="AV66" s="449">
        <f t="shared" si="12"/>
        <v>0</v>
      </c>
      <c r="AW66" s="449"/>
      <c r="AX66" s="449"/>
      <c r="AY66" s="449"/>
      <c r="AZ66" s="449"/>
      <c r="BA66" s="449"/>
      <c r="BB66" s="422"/>
    </row>
    <row r="67" spans="1:54" s="452" customFormat="1" ht="30" customHeight="1">
      <c r="A67" s="448">
        <f t="shared" si="13"/>
        <v>62</v>
      </c>
      <c r="B67" s="455">
        <v>20056</v>
      </c>
      <c r="C67" s="448" t="s">
        <v>727</v>
      </c>
      <c r="D67" s="449">
        <f>1500000</f>
        <v>1500000</v>
      </c>
      <c r="E67" s="449"/>
      <c r="F67" s="449">
        <f t="shared" si="0"/>
        <v>1500000</v>
      </c>
      <c r="G67" s="449">
        <v>0</v>
      </c>
      <c r="H67" s="449">
        <v>0</v>
      </c>
      <c r="I67" s="449">
        <v>0</v>
      </c>
      <c r="J67" s="449">
        <v>0</v>
      </c>
      <c r="K67" s="449">
        <f t="shared" si="9"/>
        <v>0</v>
      </c>
      <c r="L67" s="449">
        <f t="shared" si="1"/>
        <v>0</v>
      </c>
      <c r="M67" s="449">
        <f t="shared" si="19"/>
        <v>0</v>
      </c>
      <c r="N67" s="449">
        <v>140000</v>
      </c>
      <c r="O67" s="449">
        <f t="shared" si="16"/>
        <v>1360000</v>
      </c>
      <c r="P67" s="449"/>
      <c r="Q67" s="449"/>
      <c r="R67" s="449"/>
      <c r="S67" s="449">
        <f t="shared" si="17"/>
        <v>0</v>
      </c>
      <c r="T67" s="449"/>
      <c r="U67" s="449">
        <f t="shared" si="6"/>
        <v>140000</v>
      </c>
      <c r="V67" s="449">
        <f t="shared" si="18"/>
        <v>140000</v>
      </c>
      <c r="W67" s="449"/>
      <c r="X67" s="449"/>
      <c r="Y67" s="449"/>
      <c r="Z67" s="449"/>
      <c r="AA67" s="449"/>
      <c r="AB67" s="448" t="s">
        <v>728</v>
      </c>
      <c r="AC67" s="448">
        <v>742000</v>
      </c>
      <c r="AD67" s="449"/>
      <c r="AE67" s="449"/>
      <c r="AF67" s="449">
        <v>140000</v>
      </c>
      <c r="AG67" s="449"/>
      <c r="AH67" s="449"/>
      <c r="AI67" s="449"/>
      <c r="AJ67" s="449"/>
      <c r="AK67" s="449"/>
      <c r="AL67" s="449"/>
      <c r="AM67" s="449"/>
      <c r="AN67" s="449">
        <f t="shared" si="15"/>
        <v>140000</v>
      </c>
      <c r="AO67" s="449">
        <f t="shared" si="8"/>
        <v>0</v>
      </c>
      <c r="AP67" s="449">
        <f t="shared" si="11"/>
        <v>140000</v>
      </c>
      <c r="AQ67" s="449"/>
      <c r="AR67" s="449"/>
      <c r="AS67" s="449"/>
      <c r="AT67" s="449"/>
      <c r="AU67" s="449"/>
      <c r="AV67" s="449">
        <f t="shared" si="12"/>
        <v>0</v>
      </c>
      <c r="AW67" s="449"/>
      <c r="AX67" s="449"/>
      <c r="AY67" s="449"/>
      <c r="AZ67" s="449"/>
      <c r="BA67" s="449"/>
      <c r="BB67" s="422"/>
    </row>
    <row r="68" spans="1:54" s="452" customFormat="1" ht="30" customHeight="1">
      <c r="A68" s="448">
        <f t="shared" si="13"/>
        <v>63</v>
      </c>
      <c r="B68" s="455">
        <v>20057</v>
      </c>
      <c r="C68" s="448" t="s">
        <v>1041</v>
      </c>
      <c r="D68" s="449">
        <v>350000</v>
      </c>
      <c r="E68" s="449"/>
      <c r="F68" s="449">
        <f t="shared" si="0"/>
        <v>350000</v>
      </c>
      <c r="G68" s="449">
        <v>0</v>
      </c>
      <c r="H68" s="449">
        <v>0</v>
      </c>
      <c r="I68" s="449">
        <v>0</v>
      </c>
      <c r="J68" s="449">
        <v>0</v>
      </c>
      <c r="K68" s="449">
        <f t="shared" si="9"/>
        <v>0</v>
      </c>
      <c r="L68" s="449">
        <f t="shared" si="1"/>
        <v>0</v>
      </c>
      <c r="M68" s="449">
        <f t="shared" si="19"/>
        <v>0</v>
      </c>
      <c r="N68" s="449">
        <v>350000</v>
      </c>
      <c r="O68" s="449">
        <f t="shared" si="16"/>
        <v>0</v>
      </c>
      <c r="P68" s="449">
        <f>G68-L68</f>
        <v>0</v>
      </c>
      <c r="Q68" s="449"/>
      <c r="R68" s="449"/>
      <c r="S68" s="449">
        <f>SUM(Q68:R68)</f>
        <v>0</v>
      </c>
      <c r="T68" s="449">
        <f>P68-M68+S68</f>
        <v>0</v>
      </c>
      <c r="U68" s="449">
        <f t="shared" si="6"/>
        <v>350000</v>
      </c>
      <c r="V68" s="449">
        <f t="shared" si="18"/>
        <v>350000</v>
      </c>
      <c r="W68" s="449"/>
      <c r="X68" s="449"/>
      <c r="Y68" s="449"/>
      <c r="Z68" s="449"/>
      <c r="AA68" s="449"/>
      <c r="AB68" s="448" t="s">
        <v>1042</v>
      </c>
      <c r="AC68" s="448">
        <v>742000</v>
      </c>
      <c r="AD68" s="449"/>
      <c r="AE68" s="449"/>
      <c r="AF68" s="449"/>
      <c r="AG68" s="449"/>
      <c r="AH68" s="449"/>
      <c r="AI68" s="449"/>
      <c r="AJ68" s="449"/>
      <c r="AK68" s="449"/>
      <c r="AL68" s="449"/>
      <c r="AM68" s="449"/>
      <c r="AN68" s="449">
        <f t="shared" ref="AN68:AN73" si="20">SUM(AD68:AM68)</f>
        <v>0</v>
      </c>
      <c r="AO68" s="449">
        <f t="shared" si="8"/>
        <v>350000</v>
      </c>
      <c r="AP68" s="449">
        <f t="shared" si="11"/>
        <v>0</v>
      </c>
      <c r="AQ68" s="449"/>
      <c r="AR68" s="449"/>
      <c r="AS68" s="449"/>
      <c r="AT68" s="449"/>
      <c r="AU68" s="449"/>
      <c r="AV68" s="449">
        <f t="shared" si="12"/>
        <v>0</v>
      </c>
      <c r="AW68" s="449"/>
      <c r="AX68" s="449"/>
      <c r="AY68" s="449"/>
      <c r="AZ68" s="449"/>
      <c r="BA68" s="449"/>
      <c r="BB68" s="422"/>
    </row>
    <row r="69" spans="1:54" s="452" customFormat="1" ht="30" customHeight="1">
      <c r="A69" s="448">
        <f t="shared" si="13"/>
        <v>64</v>
      </c>
      <c r="B69" s="455">
        <v>20058</v>
      </c>
      <c r="C69" s="448" t="s">
        <v>729</v>
      </c>
      <c r="D69" s="449">
        <v>800000</v>
      </c>
      <c r="E69" s="449"/>
      <c r="F69" s="449">
        <f t="shared" si="0"/>
        <v>800000</v>
      </c>
      <c r="G69" s="449"/>
      <c r="H69" s="449"/>
      <c r="I69" s="449"/>
      <c r="J69" s="449"/>
      <c r="K69" s="449">
        <f t="shared" si="9"/>
        <v>0</v>
      </c>
      <c r="L69" s="449">
        <f t="shared" si="1"/>
        <v>0</v>
      </c>
      <c r="M69" s="449">
        <f t="shared" si="19"/>
        <v>0</v>
      </c>
      <c r="N69" s="449">
        <f>480000-230000-150000</f>
        <v>100000</v>
      </c>
      <c r="O69" s="449">
        <f t="shared" si="16"/>
        <v>700000</v>
      </c>
      <c r="P69" s="449"/>
      <c r="Q69" s="449"/>
      <c r="R69" s="449"/>
      <c r="S69" s="449"/>
      <c r="T69" s="449"/>
      <c r="U69" s="449">
        <f t="shared" si="6"/>
        <v>100000</v>
      </c>
      <c r="V69" s="449">
        <f t="shared" si="18"/>
        <v>100000</v>
      </c>
      <c r="W69" s="449"/>
      <c r="X69" s="449"/>
      <c r="Y69" s="449"/>
      <c r="Z69" s="449"/>
      <c r="AA69" s="449"/>
      <c r="AB69" s="448" t="s">
        <v>878</v>
      </c>
      <c r="AC69" s="448">
        <v>732000</v>
      </c>
      <c r="AD69" s="449"/>
      <c r="AE69" s="449">
        <v>60000</v>
      </c>
      <c r="AF69" s="449"/>
      <c r="AG69" s="449"/>
      <c r="AH69" s="449"/>
      <c r="AI69" s="449"/>
      <c r="AJ69" s="449"/>
      <c r="AK69" s="449"/>
      <c r="AL69" s="449"/>
      <c r="AM69" s="449">
        <v>40000</v>
      </c>
      <c r="AN69" s="449">
        <f t="shared" si="20"/>
        <v>100000</v>
      </c>
      <c r="AO69" s="449">
        <f t="shared" si="8"/>
        <v>0</v>
      </c>
      <c r="AP69" s="449">
        <f t="shared" si="11"/>
        <v>100000</v>
      </c>
      <c r="AQ69" s="449"/>
      <c r="AR69" s="449"/>
      <c r="AS69" s="449"/>
      <c r="AT69" s="449"/>
      <c r="AU69" s="449"/>
      <c r="AV69" s="449">
        <f t="shared" si="12"/>
        <v>40000</v>
      </c>
      <c r="AW69" s="449"/>
      <c r="AX69" s="449"/>
      <c r="AY69" s="449"/>
      <c r="AZ69" s="449"/>
      <c r="BA69" s="449"/>
      <c r="BB69" s="422"/>
    </row>
    <row r="70" spans="1:54" s="452" customFormat="1" ht="30" customHeight="1">
      <c r="A70" s="448">
        <f t="shared" si="13"/>
        <v>65</v>
      </c>
      <c r="B70" s="455">
        <v>20059</v>
      </c>
      <c r="C70" s="448" t="s">
        <v>730</v>
      </c>
      <c r="D70" s="449">
        <v>530000</v>
      </c>
      <c r="E70" s="449"/>
      <c r="F70" s="449">
        <f>D70-E70</f>
        <v>530000</v>
      </c>
      <c r="G70" s="449">
        <v>0</v>
      </c>
      <c r="H70" s="449">
        <v>0</v>
      </c>
      <c r="I70" s="449">
        <v>0</v>
      </c>
      <c r="J70" s="449">
        <v>0</v>
      </c>
      <c r="K70" s="449">
        <f t="shared" si="9"/>
        <v>0</v>
      </c>
      <c r="L70" s="449">
        <f>H70+K70</f>
        <v>0</v>
      </c>
      <c r="M70" s="449">
        <f t="shared" si="19"/>
        <v>0</v>
      </c>
      <c r="N70" s="449">
        <v>50000</v>
      </c>
      <c r="O70" s="449">
        <f t="shared" si="16"/>
        <v>480000</v>
      </c>
      <c r="P70" s="449">
        <f>G70-L70</f>
        <v>0</v>
      </c>
      <c r="Q70" s="449"/>
      <c r="R70" s="449"/>
      <c r="S70" s="449">
        <f>SUM(Q70:R70)</f>
        <v>0</v>
      </c>
      <c r="T70" s="449">
        <f>P70-M70+S70</f>
        <v>0</v>
      </c>
      <c r="U70" s="449">
        <f>N70-T70</f>
        <v>50000</v>
      </c>
      <c r="V70" s="449">
        <f t="shared" si="18"/>
        <v>50000</v>
      </c>
      <c r="W70" s="449"/>
      <c r="X70" s="449"/>
      <c r="Y70" s="449"/>
      <c r="Z70" s="449"/>
      <c r="AA70" s="449"/>
      <c r="AB70" s="448" t="s">
        <v>731</v>
      </c>
      <c r="AC70" s="448">
        <v>742000</v>
      </c>
      <c r="AD70" s="449"/>
      <c r="AE70" s="449"/>
      <c r="AF70" s="449"/>
      <c r="AG70" s="449"/>
      <c r="AH70" s="449"/>
      <c r="AI70" s="449"/>
      <c r="AJ70" s="449"/>
      <c r="AK70" s="449"/>
      <c r="AL70" s="449"/>
      <c r="AM70" s="449"/>
      <c r="AN70" s="449">
        <f t="shared" si="20"/>
        <v>0</v>
      </c>
      <c r="AO70" s="449">
        <f>U70-AN70</f>
        <v>50000</v>
      </c>
      <c r="AP70" s="449">
        <f t="shared" si="11"/>
        <v>0</v>
      </c>
      <c r="AQ70" s="449"/>
      <c r="AR70" s="449"/>
      <c r="AS70" s="449"/>
      <c r="AT70" s="449"/>
      <c r="AU70" s="449"/>
      <c r="AV70" s="449">
        <f t="shared" si="12"/>
        <v>0</v>
      </c>
      <c r="AW70" s="449"/>
      <c r="AX70" s="449"/>
      <c r="AY70" s="449"/>
      <c r="AZ70" s="449"/>
      <c r="BA70" s="449"/>
      <c r="BB70" s="422"/>
    </row>
    <row r="71" spans="1:54" s="452" customFormat="1" ht="30" customHeight="1">
      <c r="A71" s="448">
        <f>A70+1</f>
        <v>66</v>
      </c>
      <c r="B71" s="455">
        <v>20060</v>
      </c>
      <c r="C71" s="448" t="s">
        <v>732</v>
      </c>
      <c r="D71" s="449">
        <v>640000</v>
      </c>
      <c r="E71" s="449"/>
      <c r="F71" s="449">
        <f>D71-E71</f>
        <v>640000</v>
      </c>
      <c r="G71" s="449">
        <v>0</v>
      </c>
      <c r="H71" s="449">
        <v>0</v>
      </c>
      <c r="I71" s="449">
        <v>0</v>
      </c>
      <c r="J71" s="449">
        <v>0</v>
      </c>
      <c r="K71" s="449">
        <f>SUM(I71:J71)</f>
        <v>0</v>
      </c>
      <c r="L71" s="449">
        <f>H71+K71</f>
        <v>0</v>
      </c>
      <c r="M71" s="449">
        <f t="shared" si="19"/>
        <v>0</v>
      </c>
      <c r="N71" s="449">
        <f>600000-200000-150000</f>
        <v>250000</v>
      </c>
      <c r="O71" s="449">
        <f t="shared" si="16"/>
        <v>390000</v>
      </c>
      <c r="P71" s="449">
        <f>G71-L71</f>
        <v>0</v>
      </c>
      <c r="Q71" s="449"/>
      <c r="R71" s="449"/>
      <c r="S71" s="449">
        <f>SUM(Q71:R71)</f>
        <v>0</v>
      </c>
      <c r="T71" s="449">
        <f>P71-M71+S71</f>
        <v>0</v>
      </c>
      <c r="U71" s="449">
        <f>N71-T71</f>
        <v>250000</v>
      </c>
      <c r="V71" s="449">
        <f t="shared" si="18"/>
        <v>250000</v>
      </c>
      <c r="W71" s="449"/>
      <c r="X71" s="449"/>
      <c r="Y71" s="449"/>
      <c r="Z71" s="449"/>
      <c r="AA71" s="449"/>
      <c r="AB71" s="448" t="s">
        <v>879</v>
      </c>
      <c r="AC71" s="448">
        <v>732000</v>
      </c>
      <c r="AD71" s="449"/>
      <c r="AE71" s="449"/>
      <c r="AF71" s="449"/>
      <c r="AG71" s="449"/>
      <c r="AH71" s="449"/>
      <c r="AI71" s="449"/>
      <c r="AJ71" s="449"/>
      <c r="AK71" s="449"/>
      <c r="AL71" s="449"/>
      <c r="AM71" s="449"/>
      <c r="AN71" s="449">
        <f t="shared" si="20"/>
        <v>0</v>
      </c>
      <c r="AO71" s="449">
        <f>U71-AN71</f>
        <v>250000</v>
      </c>
      <c r="AP71" s="449">
        <f>AN71-AQ71-AU71</f>
        <v>0</v>
      </c>
      <c r="AQ71" s="449"/>
      <c r="AR71" s="449"/>
      <c r="AS71" s="449"/>
      <c r="AT71" s="449"/>
      <c r="AU71" s="449"/>
      <c r="AV71" s="449">
        <f>AM71-AW71-BA71</f>
        <v>0</v>
      </c>
      <c r="AW71" s="449"/>
      <c r="AX71" s="449"/>
      <c r="AY71" s="449"/>
      <c r="AZ71" s="449"/>
      <c r="BA71" s="449"/>
      <c r="BB71" s="422"/>
    </row>
    <row r="72" spans="1:54" s="452" customFormat="1" ht="30" customHeight="1">
      <c r="A72" s="448">
        <f>A71+1</f>
        <v>67</v>
      </c>
      <c r="B72" s="455">
        <v>20061</v>
      </c>
      <c r="C72" s="448" t="s">
        <v>782</v>
      </c>
      <c r="D72" s="449">
        <v>700000</v>
      </c>
      <c r="E72" s="449"/>
      <c r="F72" s="449">
        <f>D72-E72</f>
        <v>700000</v>
      </c>
      <c r="G72" s="449">
        <v>0</v>
      </c>
      <c r="H72" s="449">
        <v>0</v>
      </c>
      <c r="I72" s="449">
        <v>0</v>
      </c>
      <c r="J72" s="449">
        <v>0</v>
      </c>
      <c r="K72" s="449">
        <f>SUM(I72:J72)</f>
        <v>0</v>
      </c>
      <c r="L72" s="449">
        <f>H72+K72</f>
        <v>0</v>
      </c>
      <c r="M72" s="449">
        <f>P72+S72</f>
        <v>0</v>
      </c>
      <c r="N72" s="449">
        <f>700000-200000</f>
        <v>500000</v>
      </c>
      <c r="O72" s="449">
        <f>D72-L72-M72-N72</f>
        <v>200000</v>
      </c>
      <c r="P72" s="449">
        <f>G72-L72</f>
        <v>0</v>
      </c>
      <c r="Q72" s="449"/>
      <c r="R72" s="449"/>
      <c r="S72" s="449">
        <f>SUM(Q72:R72)</f>
        <v>0</v>
      </c>
      <c r="T72" s="449">
        <f>P72-M72+S72</f>
        <v>0</v>
      </c>
      <c r="U72" s="449">
        <f>N72-T72</f>
        <v>500000</v>
      </c>
      <c r="V72" s="449">
        <f>U72-AA72-W72-Z72</f>
        <v>500000</v>
      </c>
      <c r="W72" s="449"/>
      <c r="X72" s="449"/>
      <c r="Y72" s="449"/>
      <c r="Z72" s="449"/>
      <c r="AA72" s="449"/>
      <c r="AB72" s="455" t="s">
        <v>880</v>
      </c>
      <c r="AC72" s="448">
        <v>732000</v>
      </c>
      <c r="AD72" s="449"/>
      <c r="AE72" s="449"/>
      <c r="AF72" s="449"/>
      <c r="AG72" s="449"/>
      <c r="AH72" s="449"/>
      <c r="AI72" s="449"/>
      <c r="AJ72" s="449"/>
      <c r="AK72" s="449"/>
      <c r="AL72" s="449"/>
      <c r="AM72" s="449"/>
      <c r="AN72" s="449">
        <f t="shared" si="20"/>
        <v>0</v>
      </c>
      <c r="AO72" s="449">
        <f>U72-AN72</f>
        <v>500000</v>
      </c>
      <c r="AP72" s="449">
        <f>AN72-AQ72-AU72</f>
        <v>0</v>
      </c>
      <c r="AQ72" s="449"/>
      <c r="AR72" s="449"/>
      <c r="AS72" s="449"/>
      <c r="AT72" s="449"/>
      <c r="AU72" s="449"/>
      <c r="AV72" s="449">
        <f>AM72-AW72-BA72</f>
        <v>0</v>
      </c>
      <c r="AW72" s="449"/>
      <c r="AX72" s="449"/>
      <c r="AY72" s="449"/>
      <c r="AZ72" s="449"/>
      <c r="BA72" s="449"/>
      <c r="BB72" s="422"/>
    </row>
    <row r="73" spans="1:54" s="452" customFormat="1" ht="30" customHeight="1">
      <c r="A73" s="448">
        <f>A72+1</f>
        <v>68</v>
      </c>
      <c r="B73" s="455">
        <v>20062</v>
      </c>
      <c r="C73" s="448" t="s">
        <v>28</v>
      </c>
      <c r="D73" s="449">
        <v>50000</v>
      </c>
      <c r="E73" s="449"/>
      <c r="F73" s="449">
        <f>D73-E73</f>
        <v>50000</v>
      </c>
      <c r="G73" s="449">
        <v>0</v>
      </c>
      <c r="H73" s="449">
        <v>0</v>
      </c>
      <c r="I73" s="449">
        <v>0</v>
      </c>
      <c r="J73" s="449">
        <v>0</v>
      </c>
      <c r="K73" s="449">
        <f>SUM(I73:J73)</f>
        <v>0</v>
      </c>
      <c r="L73" s="449">
        <f>H73+K73</f>
        <v>0</v>
      </c>
      <c r="M73" s="449">
        <f t="shared" si="19"/>
        <v>0</v>
      </c>
      <c r="N73" s="449">
        <v>50000</v>
      </c>
      <c r="O73" s="449">
        <f t="shared" si="16"/>
        <v>0</v>
      </c>
      <c r="P73" s="449">
        <f>G73-L73</f>
        <v>0</v>
      </c>
      <c r="Q73" s="449"/>
      <c r="R73" s="449"/>
      <c r="S73" s="449">
        <f>SUM(Q73:R73)</f>
        <v>0</v>
      </c>
      <c r="T73" s="449">
        <f>P73-M73+S73</f>
        <v>0</v>
      </c>
      <c r="U73" s="449">
        <f>N73-T73</f>
        <v>50000</v>
      </c>
      <c r="V73" s="449">
        <f t="shared" si="18"/>
        <v>50000</v>
      </c>
      <c r="W73" s="449"/>
      <c r="X73" s="449"/>
      <c r="Y73" s="449"/>
      <c r="Z73" s="449"/>
      <c r="AA73" s="449"/>
      <c r="AB73" s="448" t="s">
        <v>811</v>
      </c>
      <c r="AC73" s="448">
        <v>732000</v>
      </c>
      <c r="AD73" s="449"/>
      <c r="AE73" s="449"/>
      <c r="AF73" s="449"/>
      <c r="AG73" s="449"/>
      <c r="AH73" s="449"/>
      <c r="AI73" s="449"/>
      <c r="AJ73" s="449"/>
      <c r="AK73" s="449"/>
      <c r="AL73" s="449"/>
      <c r="AM73" s="449"/>
      <c r="AN73" s="449">
        <f t="shared" si="20"/>
        <v>0</v>
      </c>
      <c r="AO73" s="449">
        <f>U73-AN73</f>
        <v>50000</v>
      </c>
      <c r="AP73" s="449">
        <f>AN73-AQ73-AU73</f>
        <v>0</v>
      </c>
      <c r="AQ73" s="449"/>
      <c r="AR73" s="449"/>
      <c r="AS73" s="449"/>
      <c r="AT73" s="449"/>
      <c r="AU73" s="449"/>
      <c r="AV73" s="449">
        <f>AM73-AW73-BA73</f>
        <v>0</v>
      </c>
      <c r="AW73" s="449"/>
      <c r="AX73" s="449"/>
      <c r="AY73" s="449"/>
      <c r="AZ73" s="449"/>
      <c r="BA73" s="449"/>
      <c r="BB73" s="422"/>
    </row>
    <row r="74" spans="1:54" s="460" customFormat="1" ht="30" customHeight="1">
      <c r="A74" s="454">
        <f>A73</f>
        <v>68</v>
      </c>
      <c r="B74" s="454"/>
      <c r="C74" s="454" t="s">
        <v>315</v>
      </c>
      <c r="D74" s="459">
        <f t="shared" ref="D74:BA74" si="21">SUM(D6:D73)</f>
        <v>452393075</v>
      </c>
      <c r="E74" s="459">
        <f t="shared" si="21"/>
        <v>446899791</v>
      </c>
      <c r="F74" s="459">
        <f t="shared" si="21"/>
        <v>5493284</v>
      </c>
      <c r="G74" s="459">
        <f t="shared" si="21"/>
        <v>191206071</v>
      </c>
      <c r="H74" s="459">
        <f t="shared" si="21"/>
        <v>163008137</v>
      </c>
      <c r="I74" s="459">
        <f t="shared" si="21"/>
        <v>3411354</v>
      </c>
      <c r="J74" s="459">
        <f t="shared" si="21"/>
        <v>10060371</v>
      </c>
      <c r="K74" s="459">
        <f t="shared" si="21"/>
        <v>13471725</v>
      </c>
      <c r="L74" s="459">
        <f t="shared" si="21"/>
        <v>176479862</v>
      </c>
      <c r="M74" s="459">
        <f t="shared" si="21"/>
        <v>5503493</v>
      </c>
      <c r="N74" s="459">
        <f t="shared" si="21"/>
        <v>24560000</v>
      </c>
      <c r="O74" s="459">
        <f t="shared" si="21"/>
        <v>245849720</v>
      </c>
      <c r="P74" s="459">
        <f t="shared" si="21"/>
        <v>14726209</v>
      </c>
      <c r="Q74" s="459">
        <f t="shared" si="21"/>
        <v>560000</v>
      </c>
      <c r="R74" s="459">
        <f t="shared" si="21"/>
        <v>0</v>
      </c>
      <c r="S74" s="459">
        <f t="shared" si="21"/>
        <v>560000</v>
      </c>
      <c r="T74" s="459">
        <f t="shared" si="21"/>
        <v>9782716</v>
      </c>
      <c r="U74" s="459">
        <f t="shared" si="21"/>
        <v>14777284</v>
      </c>
      <c r="V74" s="459">
        <f t="shared" si="21"/>
        <v>14973956</v>
      </c>
      <c r="W74" s="459">
        <f t="shared" si="21"/>
        <v>0</v>
      </c>
      <c r="X74" s="459">
        <f t="shared" si="21"/>
        <v>0</v>
      </c>
      <c r="Y74" s="459">
        <f t="shared" si="21"/>
        <v>0</v>
      </c>
      <c r="Z74" s="459">
        <f t="shared" si="21"/>
        <v>0</v>
      </c>
      <c r="AA74" s="459">
        <f t="shared" si="21"/>
        <v>-196672</v>
      </c>
      <c r="AB74" s="459">
        <f t="shared" si="21"/>
        <v>0</v>
      </c>
      <c r="AC74" s="459">
        <f t="shared" si="21"/>
        <v>50133000</v>
      </c>
      <c r="AD74" s="459">
        <f t="shared" si="21"/>
        <v>260000</v>
      </c>
      <c r="AE74" s="459">
        <f>SUM(AE6:AE73)</f>
        <v>990000</v>
      </c>
      <c r="AF74" s="459">
        <f>SUM(AF6:AF73)</f>
        <v>1140000</v>
      </c>
      <c r="AG74" s="459">
        <f t="shared" si="21"/>
        <v>0</v>
      </c>
      <c r="AH74" s="459">
        <f t="shared" ref="AH74:AM74" si="22">SUM(AH6:AH73)</f>
        <v>920000</v>
      </c>
      <c r="AI74" s="459">
        <f t="shared" si="22"/>
        <v>-500000</v>
      </c>
      <c r="AJ74" s="459">
        <f t="shared" si="22"/>
        <v>-82716</v>
      </c>
      <c r="AK74" s="459">
        <f t="shared" si="22"/>
        <v>2300000</v>
      </c>
      <c r="AL74" s="459">
        <f t="shared" si="22"/>
        <v>0</v>
      </c>
      <c r="AM74" s="459">
        <f t="shared" si="22"/>
        <v>1340000</v>
      </c>
      <c r="AN74" s="459">
        <f t="shared" si="21"/>
        <v>6367284</v>
      </c>
      <c r="AO74" s="459">
        <f t="shared" si="21"/>
        <v>8410000</v>
      </c>
      <c r="AP74" s="459">
        <f t="shared" si="21"/>
        <v>6563956</v>
      </c>
      <c r="AQ74" s="459">
        <f t="shared" si="21"/>
        <v>0</v>
      </c>
      <c r="AR74" s="459">
        <f t="shared" si="21"/>
        <v>0</v>
      </c>
      <c r="AS74" s="459">
        <f t="shared" si="21"/>
        <v>0</v>
      </c>
      <c r="AT74" s="459">
        <f t="shared" si="21"/>
        <v>0</v>
      </c>
      <c r="AU74" s="459">
        <f t="shared" si="21"/>
        <v>-196672</v>
      </c>
      <c r="AV74" s="459">
        <f t="shared" si="21"/>
        <v>1340000</v>
      </c>
      <c r="AW74" s="459">
        <f t="shared" si="21"/>
        <v>0</v>
      </c>
      <c r="AX74" s="459">
        <f t="shared" si="21"/>
        <v>0</v>
      </c>
      <c r="AY74" s="459">
        <f t="shared" si="21"/>
        <v>0</v>
      </c>
      <c r="AZ74" s="459">
        <f t="shared" si="21"/>
        <v>0</v>
      </c>
      <c r="BA74" s="459">
        <f t="shared" si="21"/>
        <v>0</v>
      </c>
      <c r="BB74" s="422"/>
    </row>
    <row r="76" spans="1:54">
      <c r="T76" s="474" t="s">
        <v>976</v>
      </c>
      <c r="U76" s="474">
        <f>U68+U52+U48+U47+U38+U32+U25+U21</f>
        <v>-766716</v>
      </c>
      <c r="AM76" s="474" t="s">
        <v>976</v>
      </c>
      <c r="AN76" s="474">
        <f>AN68+AN52+AN48+AN47+AN38+AN32+AN25+AN21</f>
        <v>-1116716</v>
      </c>
    </row>
    <row r="77" spans="1:54">
      <c r="T77" s="474" t="s">
        <v>977</v>
      </c>
      <c r="U77" s="474">
        <f>U66+U56+U30</f>
        <v>1400000</v>
      </c>
      <c r="AM77" s="474" t="s">
        <v>977</v>
      </c>
      <c r="AN77" s="474">
        <f>AN66+AN56+AN30</f>
        <v>250000</v>
      </c>
    </row>
    <row r="78" spans="1:54">
      <c r="T78" s="474" t="s">
        <v>84</v>
      </c>
      <c r="U78" s="474">
        <f>SUM(U76:U77)</f>
        <v>633284</v>
      </c>
      <c r="AM78" s="474" t="s">
        <v>84</v>
      </c>
      <c r="AN78" s="474">
        <f>SUM(AN76:AN77)</f>
        <v>-866716</v>
      </c>
    </row>
  </sheetData>
  <mergeCells count="5">
    <mergeCell ref="V4:AA4"/>
    <mergeCell ref="AD4:AO4"/>
    <mergeCell ref="AP4:AU4"/>
    <mergeCell ref="AV4:BA4"/>
    <mergeCell ref="T4:U4"/>
  </mergeCells>
  <conditionalFormatting sqref="O73 O1:O71 O75:O1048576">
    <cfRule type="cellIs" dxfId="85" priority="2" operator="lessThan">
      <formula>0</formula>
    </cfRule>
  </conditionalFormatting>
  <conditionalFormatting sqref="O72">
    <cfRule type="cellIs" dxfId="84" priority="1" operator="lessThan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36"/>
  <sheetViews>
    <sheetView showZeros="0" rightToLeft="1" zoomScaleNormal="100" workbookViewId="0">
      <pane xSplit="3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3.6640625" style="464" customWidth="1"/>
    <col min="2" max="2" width="5.6640625" style="491" customWidth="1"/>
    <col min="3" max="3" width="23.33203125" style="468" customWidth="1"/>
    <col min="4" max="4" width="11.6640625" style="467" hidden="1" customWidth="1"/>
    <col min="5" max="5" width="12.6640625" style="467" hidden="1" customWidth="1"/>
    <col min="6" max="6" width="10.6640625" style="467" hidden="1" customWidth="1"/>
    <col min="7" max="7" width="13" style="467" hidden="1" customWidth="1"/>
    <col min="8" max="8" width="14.33203125" style="467" hidden="1" customWidth="1"/>
    <col min="9" max="11" width="10.6640625" style="467" hidden="1" customWidth="1"/>
    <col min="12" max="12" width="11.6640625" style="467" hidden="1" customWidth="1"/>
    <col min="13" max="14" width="10.6640625" style="467" hidden="1" customWidth="1"/>
    <col min="15" max="15" width="11.6640625" style="467" hidden="1" customWidth="1"/>
    <col min="16" max="17" width="11.109375" style="467" hidden="1" customWidth="1"/>
    <col min="18" max="18" width="10.6640625" style="467" hidden="1" customWidth="1"/>
    <col min="19" max="19" width="13" style="467" hidden="1" customWidth="1"/>
    <col min="20" max="20" width="11.6640625" style="467" customWidth="1"/>
    <col min="21" max="22" width="11.109375" style="465" bestFit="1" customWidth="1"/>
    <col min="23" max="23" width="10.109375" style="465" bestFit="1" customWidth="1"/>
    <col min="24" max="24" width="10.6640625" style="465" hidden="1" customWidth="1"/>
    <col min="25" max="25" width="8.6640625" style="465" customWidth="1"/>
    <col min="26" max="26" width="8.33203125" style="465" hidden="1" customWidth="1"/>
    <col min="27" max="27" width="10.109375" style="465" bestFit="1" customWidth="1"/>
    <col min="28" max="28" width="26.44140625" style="494" hidden="1" customWidth="1"/>
    <col min="29" max="29" width="10.6640625" style="465" hidden="1" customWidth="1"/>
    <col min="30" max="39" width="10.6640625" style="548" hidden="1" customWidth="1"/>
    <col min="40" max="41" width="11.109375" style="548" bestFit="1" customWidth="1"/>
    <col min="42" max="43" width="10.6640625" style="548" customWidth="1"/>
    <col min="44" max="44" width="10.6640625" style="465" hidden="1" customWidth="1"/>
    <col min="45" max="45" width="10.6640625" style="465" customWidth="1"/>
    <col min="46" max="46" width="10.6640625" style="465" hidden="1" customWidth="1"/>
    <col min="47" max="47" width="10.6640625" style="465" customWidth="1"/>
    <col min="48" max="49" width="10.6640625" style="548" hidden="1" customWidth="1"/>
    <col min="50" max="53" width="10.6640625" style="465" hidden="1" customWidth="1"/>
    <col min="54" max="54" width="11.109375" style="465" bestFit="1" customWidth="1"/>
    <col min="55" max="16384" width="9.109375" style="465"/>
  </cols>
  <sheetData>
    <row r="1" spans="1:53" s="542" customFormat="1" ht="18">
      <c r="A1" s="544"/>
      <c r="B1" s="544"/>
      <c r="C1" s="622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3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V1" s="548"/>
      <c r="AW1" s="548"/>
    </row>
    <row r="2" spans="1:53" ht="18">
      <c r="A2" s="154" t="s">
        <v>1099</v>
      </c>
      <c r="B2" s="544"/>
      <c r="C2" s="622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468"/>
    </row>
    <row r="3" spans="1:53" ht="18">
      <c r="A3" s="154"/>
      <c r="B3" s="544"/>
      <c r="C3" s="622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  <c r="X3" s="544"/>
      <c r="Y3" s="544"/>
      <c r="Z3" s="544"/>
      <c r="AA3" s="544"/>
      <c r="AB3" s="468"/>
    </row>
    <row r="4" spans="1:53" ht="16.2" customHeight="1"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6" t="s">
        <v>1096</v>
      </c>
      <c r="AQ4" s="917"/>
      <c r="AR4" s="917"/>
      <c r="AS4" s="917"/>
      <c r="AT4" s="917"/>
      <c r="AU4" s="918"/>
      <c r="AV4" s="919" t="s">
        <v>1097</v>
      </c>
      <c r="AW4" s="919"/>
      <c r="AX4" s="919"/>
      <c r="AY4" s="919"/>
      <c r="AZ4" s="919"/>
      <c r="BA4" s="919"/>
    </row>
    <row r="5" spans="1:53" s="487" customFormat="1" ht="69">
      <c r="A5" s="623" t="s">
        <v>623</v>
      </c>
      <c r="B5" s="624" t="s">
        <v>1</v>
      </c>
      <c r="C5" s="624" t="s">
        <v>2</v>
      </c>
      <c r="D5" s="624" t="s">
        <v>3</v>
      </c>
      <c r="E5" s="624" t="s">
        <v>4</v>
      </c>
      <c r="F5" s="624" t="s">
        <v>5</v>
      </c>
      <c r="G5" s="624" t="s">
        <v>6</v>
      </c>
      <c r="H5" s="624" t="s">
        <v>7</v>
      </c>
      <c r="I5" s="624" t="s">
        <v>9</v>
      </c>
      <c r="J5" s="624" t="s">
        <v>125</v>
      </c>
      <c r="K5" s="624" t="s">
        <v>10</v>
      </c>
      <c r="L5" s="625" t="s">
        <v>11</v>
      </c>
      <c r="M5" s="624" t="s">
        <v>707</v>
      </c>
      <c r="N5" s="624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420" t="s">
        <v>13</v>
      </c>
      <c r="W5" s="420" t="s">
        <v>14</v>
      </c>
      <c r="X5" s="624" t="s">
        <v>15</v>
      </c>
      <c r="Y5" s="624" t="s">
        <v>214</v>
      </c>
      <c r="Z5" s="624" t="s">
        <v>502</v>
      </c>
      <c r="AA5" s="624" t="s">
        <v>75</v>
      </c>
      <c r="AB5" s="657" t="s">
        <v>242</v>
      </c>
      <c r="AC5" s="624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548" customFormat="1" ht="30" customHeight="1">
      <c r="A6" s="469">
        <v>1</v>
      </c>
      <c r="B6" s="469">
        <v>382</v>
      </c>
      <c r="C6" s="469" t="s">
        <v>366</v>
      </c>
      <c r="D6" s="419">
        <v>111381330</v>
      </c>
      <c r="E6" s="419">
        <v>111381330</v>
      </c>
      <c r="F6" s="419">
        <f t="shared" ref="F6:F69" si="0">D6-E6</f>
        <v>0</v>
      </c>
      <c r="G6" s="419">
        <v>61381330</v>
      </c>
      <c r="H6" s="419">
        <v>58085188</v>
      </c>
      <c r="I6" s="419">
        <v>0</v>
      </c>
      <c r="J6" s="419">
        <v>616525</v>
      </c>
      <c r="K6" s="419">
        <f t="shared" ref="K6:K34" si="1">SUM(I6:J6)</f>
        <v>616525</v>
      </c>
      <c r="L6" s="419">
        <f t="shared" ref="L6:L34" si="2">K6+H6</f>
        <v>58701713</v>
      </c>
      <c r="M6" s="419">
        <f t="shared" ref="M6:M14" si="3">P6+S6</f>
        <v>12679617</v>
      </c>
      <c r="N6" s="419">
        <f>23000000-17000000</f>
        <v>6000000</v>
      </c>
      <c r="O6" s="419">
        <f t="shared" ref="O6:O69" si="4">D6-L6-M6-N6</f>
        <v>34000000</v>
      </c>
      <c r="P6" s="419">
        <f t="shared" ref="P6:P69" si="5">G6-L6</f>
        <v>2679617</v>
      </c>
      <c r="Q6" s="626">
        <v>10000000</v>
      </c>
      <c r="R6" s="419"/>
      <c r="S6" s="419">
        <f t="shared" ref="S6:S37" si="6">SUM(Q6:R6)</f>
        <v>10000000</v>
      </c>
      <c r="T6" s="419">
        <f t="shared" ref="T6:T69" si="7">P6-M6+S6</f>
        <v>0</v>
      </c>
      <c r="U6" s="419">
        <f t="shared" ref="U6:U69" si="8">N6-T6</f>
        <v>6000000</v>
      </c>
      <c r="V6" s="419">
        <f t="shared" ref="V6:V20" si="9">U6-Z6-X6-AA6-W6</f>
        <v>6000000</v>
      </c>
      <c r="W6" s="419"/>
      <c r="X6" s="419"/>
      <c r="Y6" s="419"/>
      <c r="Z6" s="419"/>
      <c r="AA6" s="469"/>
      <c r="AB6" s="627" t="s">
        <v>624</v>
      </c>
      <c r="AC6" s="469">
        <v>742000</v>
      </c>
      <c r="AD6" s="419"/>
      <c r="AE6" s="419"/>
      <c r="AF6" s="419"/>
      <c r="AG6" s="419"/>
      <c r="AH6" s="419"/>
      <c r="AI6" s="419"/>
      <c r="AJ6" s="419"/>
      <c r="AK6" s="419"/>
      <c r="AL6" s="419"/>
      <c r="AM6" s="419">
        <v>6000000</v>
      </c>
      <c r="AN6" s="419">
        <f>SUM(AD6:AM6)</f>
        <v>6000000</v>
      </c>
      <c r="AO6" s="419">
        <f t="shared" ref="AO6:AO69" si="10">U6-AN6</f>
        <v>0</v>
      </c>
      <c r="AP6" s="449">
        <f>AN6-AQ6-AU6</f>
        <v>6000000</v>
      </c>
      <c r="AQ6" s="419"/>
      <c r="AR6" s="419"/>
      <c r="AS6" s="419"/>
      <c r="AT6" s="419"/>
      <c r="AU6" s="419"/>
      <c r="AV6" s="449">
        <f>AM6-AW6-BA6</f>
        <v>6000000</v>
      </c>
      <c r="AW6" s="419"/>
      <c r="AX6" s="419"/>
      <c r="AY6" s="419"/>
      <c r="AZ6" s="419"/>
      <c r="BA6" s="419"/>
    </row>
    <row r="7" spans="1:53" s="628" customFormat="1" ht="30" customHeight="1">
      <c r="A7" s="469">
        <f t="shared" ref="A7:A70" si="11">A6+1</f>
        <v>2</v>
      </c>
      <c r="B7" s="469">
        <v>532</v>
      </c>
      <c r="C7" s="469" t="s">
        <v>68</v>
      </c>
      <c r="D7" s="419">
        <v>80090000</v>
      </c>
      <c r="E7" s="419">
        <v>80090000</v>
      </c>
      <c r="F7" s="419">
        <f t="shared" si="0"/>
        <v>0</v>
      </c>
      <c r="G7" s="419">
        <v>80090000</v>
      </c>
      <c r="H7" s="419">
        <v>77457262</v>
      </c>
      <c r="I7" s="419">
        <v>0</v>
      </c>
      <c r="J7" s="419">
        <v>261179</v>
      </c>
      <c r="K7" s="419">
        <f t="shared" si="1"/>
        <v>261179</v>
      </c>
      <c r="L7" s="419">
        <f t="shared" si="2"/>
        <v>77718441</v>
      </c>
      <c r="M7" s="419">
        <f t="shared" si="3"/>
        <v>2371559</v>
      </c>
      <c r="N7" s="419"/>
      <c r="O7" s="419">
        <f t="shared" si="4"/>
        <v>0</v>
      </c>
      <c r="P7" s="419">
        <f t="shared" si="5"/>
        <v>2371559</v>
      </c>
      <c r="Q7" s="419"/>
      <c r="R7" s="419"/>
      <c r="S7" s="419">
        <f t="shared" si="6"/>
        <v>0</v>
      </c>
      <c r="T7" s="419">
        <f t="shared" si="7"/>
        <v>0</v>
      </c>
      <c r="U7" s="419">
        <f t="shared" si="8"/>
        <v>0</v>
      </c>
      <c r="V7" s="419">
        <f t="shared" si="9"/>
        <v>0</v>
      </c>
      <c r="W7" s="419"/>
      <c r="X7" s="419"/>
      <c r="Y7" s="419"/>
      <c r="Z7" s="419"/>
      <c r="AA7" s="469"/>
      <c r="AB7" s="483" t="s">
        <v>466</v>
      </c>
      <c r="AC7" s="469">
        <v>742000</v>
      </c>
      <c r="AD7" s="419"/>
      <c r="AE7" s="419"/>
      <c r="AF7" s="419"/>
      <c r="AG7" s="419"/>
      <c r="AH7" s="419"/>
      <c r="AI7" s="419"/>
      <c r="AJ7" s="419"/>
      <c r="AK7" s="419"/>
      <c r="AL7" s="419"/>
      <c r="AM7" s="419"/>
      <c r="AN7" s="419">
        <f t="shared" ref="AN7:AN70" si="12">SUM(AD7:AM7)</f>
        <v>0</v>
      </c>
      <c r="AO7" s="419">
        <f t="shared" si="10"/>
        <v>0</v>
      </c>
      <c r="AP7" s="449">
        <f t="shared" ref="AP7:AP70" si="13">AN7-AQ7-AU7</f>
        <v>0</v>
      </c>
      <c r="AQ7" s="419"/>
      <c r="AR7" s="419"/>
      <c r="AS7" s="419"/>
      <c r="AT7" s="419"/>
      <c r="AU7" s="419"/>
      <c r="AV7" s="449">
        <f t="shared" ref="AV7:AV70" si="14">AM7-AW7-BA7</f>
        <v>0</v>
      </c>
      <c r="AW7" s="419"/>
      <c r="AX7" s="419"/>
      <c r="AY7" s="419"/>
      <c r="AZ7" s="419"/>
      <c r="BA7" s="419"/>
    </row>
    <row r="8" spans="1:53" s="628" customFormat="1" ht="30" customHeight="1">
      <c r="A8" s="469">
        <f t="shared" si="11"/>
        <v>3</v>
      </c>
      <c r="B8" s="469">
        <v>576</v>
      </c>
      <c r="C8" s="469" t="s">
        <v>69</v>
      </c>
      <c r="D8" s="419">
        <f>76913000-18800000</f>
        <v>58113000</v>
      </c>
      <c r="E8" s="419">
        <v>76913000</v>
      </c>
      <c r="F8" s="419">
        <f t="shared" si="0"/>
        <v>-18800000</v>
      </c>
      <c r="G8" s="419">
        <v>58113000</v>
      </c>
      <c r="H8" s="419">
        <v>55470500</v>
      </c>
      <c r="I8" s="419">
        <v>0</v>
      </c>
      <c r="J8" s="419">
        <v>2380892</v>
      </c>
      <c r="K8" s="419">
        <f t="shared" si="1"/>
        <v>2380892</v>
      </c>
      <c r="L8" s="419">
        <f t="shared" si="2"/>
        <v>57851392</v>
      </c>
      <c r="M8" s="419">
        <f t="shared" si="3"/>
        <v>261608</v>
      </c>
      <c r="N8" s="419"/>
      <c r="O8" s="419">
        <f t="shared" si="4"/>
        <v>0</v>
      </c>
      <c r="P8" s="419">
        <f t="shared" si="5"/>
        <v>261608</v>
      </c>
      <c r="Q8" s="419"/>
      <c r="R8" s="419"/>
      <c r="S8" s="419">
        <f t="shared" si="6"/>
        <v>0</v>
      </c>
      <c r="T8" s="419">
        <f t="shared" si="7"/>
        <v>0</v>
      </c>
      <c r="U8" s="419">
        <f t="shared" si="8"/>
        <v>0</v>
      </c>
      <c r="V8" s="419">
        <f t="shared" si="9"/>
        <v>0</v>
      </c>
      <c r="W8" s="419"/>
      <c r="X8" s="419"/>
      <c r="Y8" s="419"/>
      <c r="Z8" s="419"/>
      <c r="AA8" s="419"/>
      <c r="AB8" s="469" t="s">
        <v>670</v>
      </c>
      <c r="AC8" s="469">
        <v>760000</v>
      </c>
      <c r="AD8" s="419"/>
      <c r="AE8" s="419"/>
      <c r="AF8" s="419"/>
      <c r="AG8" s="419"/>
      <c r="AH8" s="419"/>
      <c r="AI8" s="419"/>
      <c r="AJ8" s="419"/>
      <c r="AK8" s="419"/>
      <c r="AL8" s="419"/>
      <c r="AM8" s="419"/>
      <c r="AN8" s="419">
        <f t="shared" si="12"/>
        <v>0</v>
      </c>
      <c r="AO8" s="419">
        <f t="shared" si="10"/>
        <v>0</v>
      </c>
      <c r="AP8" s="449">
        <f t="shared" si="13"/>
        <v>0</v>
      </c>
      <c r="AQ8" s="419"/>
      <c r="AR8" s="419"/>
      <c r="AS8" s="419"/>
      <c r="AT8" s="419"/>
      <c r="AU8" s="419"/>
      <c r="AV8" s="449">
        <f t="shared" si="14"/>
        <v>0</v>
      </c>
      <c r="AW8" s="419"/>
      <c r="AX8" s="419"/>
      <c r="AY8" s="419"/>
      <c r="AZ8" s="419"/>
      <c r="BA8" s="419"/>
    </row>
    <row r="9" spans="1:53" s="548" customFormat="1" ht="30" customHeight="1">
      <c r="A9" s="469">
        <f t="shared" si="11"/>
        <v>4</v>
      </c>
      <c r="B9" s="469">
        <v>1067</v>
      </c>
      <c r="C9" s="469" t="s">
        <v>70</v>
      </c>
      <c r="D9" s="419">
        <f>4725000+250000</f>
        <v>4975000</v>
      </c>
      <c r="E9" s="419">
        <v>4725000</v>
      </c>
      <c r="F9" s="419">
        <f t="shared" si="0"/>
        <v>250000</v>
      </c>
      <c r="G9" s="419">
        <v>4475000</v>
      </c>
      <c r="H9" s="419">
        <v>3542673</v>
      </c>
      <c r="I9" s="419">
        <v>0</v>
      </c>
      <c r="J9" s="419">
        <v>418045</v>
      </c>
      <c r="K9" s="419">
        <f t="shared" si="1"/>
        <v>418045</v>
      </c>
      <c r="L9" s="419">
        <f t="shared" si="2"/>
        <v>3960718</v>
      </c>
      <c r="M9" s="419">
        <f t="shared" si="3"/>
        <v>514282</v>
      </c>
      <c r="N9" s="419">
        <v>500000</v>
      </c>
      <c r="O9" s="419">
        <f t="shared" si="4"/>
        <v>0</v>
      </c>
      <c r="P9" s="419">
        <f t="shared" si="5"/>
        <v>514282</v>
      </c>
      <c r="Q9" s="419"/>
      <c r="R9" s="419"/>
      <c r="S9" s="419">
        <f t="shared" si="6"/>
        <v>0</v>
      </c>
      <c r="T9" s="419">
        <f t="shared" si="7"/>
        <v>0</v>
      </c>
      <c r="U9" s="419">
        <f t="shared" si="8"/>
        <v>500000</v>
      </c>
      <c r="V9" s="419">
        <f t="shared" si="9"/>
        <v>500000</v>
      </c>
      <c r="W9" s="419"/>
      <c r="X9" s="419"/>
      <c r="Y9" s="419"/>
      <c r="Z9" s="419"/>
      <c r="AA9" s="469"/>
      <c r="AB9" s="483" t="s">
        <v>256</v>
      </c>
      <c r="AC9" s="469">
        <v>742000</v>
      </c>
      <c r="AD9" s="419"/>
      <c r="AE9" s="419"/>
      <c r="AF9" s="419"/>
      <c r="AG9" s="419"/>
      <c r="AH9" s="419"/>
      <c r="AI9" s="419"/>
      <c r="AJ9" s="419"/>
      <c r="AK9" s="419"/>
      <c r="AL9" s="419"/>
      <c r="AM9" s="419">
        <v>500000</v>
      </c>
      <c r="AN9" s="419">
        <f t="shared" si="12"/>
        <v>500000</v>
      </c>
      <c r="AO9" s="419">
        <f t="shared" si="10"/>
        <v>0</v>
      </c>
      <c r="AP9" s="449">
        <f t="shared" si="13"/>
        <v>500000</v>
      </c>
      <c r="AQ9" s="419"/>
      <c r="AR9" s="419"/>
      <c r="AS9" s="419"/>
      <c r="AT9" s="419"/>
      <c r="AU9" s="419"/>
      <c r="AV9" s="449">
        <f t="shared" si="14"/>
        <v>500000</v>
      </c>
      <c r="AW9" s="419"/>
      <c r="AX9" s="419"/>
      <c r="AY9" s="419"/>
      <c r="AZ9" s="419"/>
      <c r="BA9" s="419"/>
    </row>
    <row r="10" spans="1:53" s="628" customFormat="1" ht="30" customHeight="1">
      <c r="A10" s="469">
        <f t="shared" si="11"/>
        <v>5</v>
      </c>
      <c r="B10" s="469">
        <v>1207</v>
      </c>
      <c r="C10" s="469" t="s">
        <v>71</v>
      </c>
      <c r="D10" s="419">
        <f>50650000-5000000</f>
        <v>45650000</v>
      </c>
      <c r="E10" s="419">
        <v>50650000</v>
      </c>
      <c r="F10" s="419">
        <f t="shared" si="0"/>
        <v>-5000000</v>
      </c>
      <c r="G10" s="419">
        <v>45650000</v>
      </c>
      <c r="H10" s="419">
        <v>43344238</v>
      </c>
      <c r="I10" s="419">
        <v>0</v>
      </c>
      <c r="J10" s="419">
        <v>417175</v>
      </c>
      <c r="K10" s="419">
        <f t="shared" si="1"/>
        <v>417175</v>
      </c>
      <c r="L10" s="419">
        <f t="shared" si="2"/>
        <v>43761413</v>
      </c>
      <c r="M10" s="419">
        <f t="shared" si="3"/>
        <v>1888587</v>
      </c>
      <c r="N10" s="419"/>
      <c r="O10" s="419">
        <f t="shared" si="4"/>
        <v>0</v>
      </c>
      <c r="P10" s="419">
        <f t="shared" si="5"/>
        <v>1888587</v>
      </c>
      <c r="Q10" s="419"/>
      <c r="R10" s="419"/>
      <c r="S10" s="419">
        <f t="shared" si="6"/>
        <v>0</v>
      </c>
      <c r="T10" s="419">
        <f t="shared" si="7"/>
        <v>0</v>
      </c>
      <c r="U10" s="419">
        <f t="shared" si="8"/>
        <v>0</v>
      </c>
      <c r="V10" s="419">
        <f t="shared" si="9"/>
        <v>0</v>
      </c>
      <c r="W10" s="419"/>
      <c r="X10" s="419"/>
      <c r="Y10" s="419"/>
      <c r="Z10" s="419"/>
      <c r="AA10" s="469"/>
      <c r="AB10" s="483" t="s">
        <v>805</v>
      </c>
      <c r="AC10" s="469">
        <v>742000</v>
      </c>
      <c r="AD10" s="419"/>
      <c r="AE10" s="419"/>
      <c r="AF10" s="419"/>
      <c r="AG10" s="419"/>
      <c r="AH10" s="419"/>
      <c r="AI10" s="419"/>
      <c r="AJ10" s="419"/>
      <c r="AK10" s="419"/>
      <c r="AL10" s="419"/>
      <c r="AM10" s="419"/>
      <c r="AN10" s="419">
        <f t="shared" si="12"/>
        <v>0</v>
      </c>
      <c r="AO10" s="419">
        <f t="shared" si="10"/>
        <v>0</v>
      </c>
      <c r="AP10" s="449">
        <f t="shared" si="13"/>
        <v>0</v>
      </c>
      <c r="AQ10" s="419"/>
      <c r="AR10" s="419"/>
      <c r="AS10" s="419"/>
      <c r="AT10" s="419"/>
      <c r="AU10" s="419"/>
      <c r="AV10" s="449">
        <f t="shared" si="14"/>
        <v>0</v>
      </c>
      <c r="AW10" s="419"/>
      <c r="AX10" s="419"/>
      <c r="AY10" s="419"/>
      <c r="AZ10" s="419"/>
      <c r="BA10" s="419"/>
    </row>
    <row r="11" spans="1:53" s="628" customFormat="1" ht="30" customHeight="1">
      <c r="A11" s="469">
        <f t="shared" si="11"/>
        <v>6</v>
      </c>
      <c r="B11" s="469">
        <v>1238</v>
      </c>
      <c r="C11" s="469" t="s">
        <v>718</v>
      </c>
      <c r="D11" s="419">
        <v>40500000</v>
      </c>
      <c r="E11" s="419">
        <v>40500000</v>
      </c>
      <c r="F11" s="419">
        <f t="shared" si="0"/>
        <v>0</v>
      </c>
      <c r="G11" s="419">
        <v>25500000</v>
      </c>
      <c r="H11" s="419">
        <v>25492352</v>
      </c>
      <c r="I11" s="419">
        <v>0</v>
      </c>
      <c r="J11" s="419">
        <v>0</v>
      </c>
      <c r="K11" s="419">
        <f t="shared" si="1"/>
        <v>0</v>
      </c>
      <c r="L11" s="419">
        <f t="shared" si="2"/>
        <v>25492352</v>
      </c>
      <c r="M11" s="419">
        <f t="shared" si="3"/>
        <v>7648</v>
      </c>
      <c r="N11" s="419">
        <f>13000000-7000000-2000000-1500000</f>
        <v>2500000</v>
      </c>
      <c r="O11" s="419">
        <f t="shared" si="4"/>
        <v>12500000</v>
      </c>
      <c r="P11" s="419">
        <f t="shared" si="5"/>
        <v>7648</v>
      </c>
      <c r="Q11" s="626"/>
      <c r="R11" s="419"/>
      <c r="S11" s="419">
        <f t="shared" si="6"/>
        <v>0</v>
      </c>
      <c r="T11" s="419">
        <f t="shared" si="7"/>
        <v>0</v>
      </c>
      <c r="U11" s="419">
        <f t="shared" si="8"/>
        <v>2500000</v>
      </c>
      <c r="V11" s="419">
        <f t="shared" si="9"/>
        <v>500000</v>
      </c>
      <c r="W11" s="419"/>
      <c r="X11" s="419"/>
      <c r="Y11" s="419"/>
      <c r="Z11" s="419"/>
      <c r="AA11" s="419">
        <v>2000000</v>
      </c>
      <c r="AB11" s="629" t="s">
        <v>881</v>
      </c>
      <c r="AC11" s="469">
        <v>742000</v>
      </c>
      <c r="AD11" s="419"/>
      <c r="AE11" s="419"/>
      <c r="AF11" s="419"/>
      <c r="AG11" s="419"/>
      <c r="AH11" s="419">
        <v>250000</v>
      </c>
      <c r="AI11" s="419"/>
      <c r="AJ11" s="419"/>
      <c r="AK11" s="419">
        <v>250000</v>
      </c>
      <c r="AL11" s="419"/>
      <c r="AM11" s="419">
        <v>2000000</v>
      </c>
      <c r="AN11" s="419">
        <f t="shared" si="12"/>
        <v>2500000</v>
      </c>
      <c r="AO11" s="419">
        <f t="shared" si="10"/>
        <v>0</v>
      </c>
      <c r="AP11" s="449">
        <f t="shared" si="13"/>
        <v>500000</v>
      </c>
      <c r="AQ11" s="419"/>
      <c r="AR11" s="419"/>
      <c r="AS11" s="419"/>
      <c r="AT11" s="419"/>
      <c r="AU11" s="419">
        <v>2000000</v>
      </c>
      <c r="AV11" s="449">
        <f t="shared" si="14"/>
        <v>0</v>
      </c>
      <c r="AW11" s="419"/>
      <c r="AX11" s="419"/>
      <c r="AY11" s="419"/>
      <c r="AZ11" s="419"/>
      <c r="BA11" s="419">
        <v>2000000</v>
      </c>
    </row>
    <row r="12" spans="1:53" s="628" customFormat="1" ht="30" customHeight="1">
      <c r="A12" s="469">
        <f t="shared" si="11"/>
        <v>7</v>
      </c>
      <c r="B12" s="469">
        <v>1298</v>
      </c>
      <c r="C12" s="469" t="s">
        <v>32</v>
      </c>
      <c r="D12" s="419">
        <f>5600000+50000+500000-50000</f>
        <v>6100000</v>
      </c>
      <c r="E12" s="419">
        <v>5600000</v>
      </c>
      <c r="F12" s="419">
        <f t="shared" si="0"/>
        <v>500000</v>
      </c>
      <c r="G12" s="419">
        <v>5200000</v>
      </c>
      <c r="H12" s="419">
        <v>4965962</v>
      </c>
      <c r="I12" s="419">
        <v>0</v>
      </c>
      <c r="J12" s="419">
        <v>123621</v>
      </c>
      <c r="K12" s="419">
        <f t="shared" si="1"/>
        <v>123621</v>
      </c>
      <c r="L12" s="419">
        <f t="shared" si="2"/>
        <v>5089583</v>
      </c>
      <c r="M12" s="419">
        <f t="shared" si="3"/>
        <v>510417</v>
      </c>
      <c r="N12" s="419">
        <v>500000</v>
      </c>
      <c r="O12" s="419">
        <f t="shared" si="4"/>
        <v>0</v>
      </c>
      <c r="P12" s="419">
        <f t="shared" si="5"/>
        <v>110417</v>
      </c>
      <c r="Q12" s="626">
        <v>400000</v>
      </c>
      <c r="R12" s="419"/>
      <c r="S12" s="419">
        <f t="shared" si="6"/>
        <v>400000</v>
      </c>
      <c r="T12" s="419">
        <f t="shared" si="7"/>
        <v>0</v>
      </c>
      <c r="U12" s="419">
        <f t="shared" si="8"/>
        <v>500000</v>
      </c>
      <c r="V12" s="419">
        <f t="shared" si="9"/>
        <v>500000</v>
      </c>
      <c r="W12" s="419"/>
      <c r="X12" s="419"/>
      <c r="Y12" s="419"/>
      <c r="Z12" s="419"/>
      <c r="AA12" s="469"/>
      <c r="AB12" s="483" t="s">
        <v>257</v>
      </c>
      <c r="AC12" s="469">
        <v>742000</v>
      </c>
      <c r="AD12" s="419"/>
      <c r="AE12" s="419"/>
      <c r="AF12" s="419"/>
      <c r="AG12" s="419"/>
      <c r="AH12" s="419">
        <v>100000</v>
      </c>
      <c r="AI12" s="419"/>
      <c r="AJ12" s="419"/>
      <c r="AK12" s="419">
        <v>100000</v>
      </c>
      <c r="AL12" s="419"/>
      <c r="AM12" s="419">
        <v>300000</v>
      </c>
      <c r="AN12" s="419">
        <f t="shared" si="12"/>
        <v>500000</v>
      </c>
      <c r="AO12" s="419">
        <f t="shared" si="10"/>
        <v>0</v>
      </c>
      <c r="AP12" s="449">
        <f t="shared" si="13"/>
        <v>500000</v>
      </c>
      <c r="AQ12" s="419"/>
      <c r="AR12" s="419"/>
      <c r="AS12" s="419"/>
      <c r="AT12" s="419"/>
      <c r="AU12" s="419"/>
      <c r="AV12" s="449">
        <f t="shared" si="14"/>
        <v>300000</v>
      </c>
      <c r="AW12" s="419"/>
      <c r="AX12" s="419"/>
      <c r="AY12" s="419"/>
      <c r="AZ12" s="419"/>
      <c r="BA12" s="419"/>
    </row>
    <row r="13" spans="1:53" s="548" customFormat="1" ht="30" customHeight="1">
      <c r="A13" s="469">
        <f t="shared" si="11"/>
        <v>8</v>
      </c>
      <c r="B13" s="469">
        <v>1312</v>
      </c>
      <c r="C13" s="469" t="s">
        <v>1043</v>
      </c>
      <c r="D13" s="419">
        <f>105231000-1000000+1220000</f>
        <v>105451000</v>
      </c>
      <c r="E13" s="419">
        <v>105231000</v>
      </c>
      <c r="F13" s="419">
        <f t="shared" si="0"/>
        <v>220000</v>
      </c>
      <c r="G13" s="419">
        <v>106231000</v>
      </c>
      <c r="H13" s="419">
        <v>105263348</v>
      </c>
      <c r="I13" s="419">
        <v>0</v>
      </c>
      <c r="J13" s="419">
        <v>184362</v>
      </c>
      <c r="K13" s="419">
        <f t="shared" si="1"/>
        <v>184362</v>
      </c>
      <c r="L13" s="419">
        <f t="shared" si="2"/>
        <v>105447710</v>
      </c>
      <c r="M13" s="419">
        <f t="shared" si="3"/>
        <v>3290</v>
      </c>
      <c r="N13" s="419"/>
      <c r="O13" s="419">
        <f t="shared" si="4"/>
        <v>0</v>
      </c>
      <c r="P13" s="419">
        <f t="shared" si="5"/>
        <v>783290</v>
      </c>
      <c r="Q13" s="626">
        <v>-780000</v>
      </c>
      <c r="R13" s="419"/>
      <c r="S13" s="419">
        <f t="shared" si="6"/>
        <v>-780000</v>
      </c>
      <c r="T13" s="419">
        <f t="shared" si="7"/>
        <v>0</v>
      </c>
      <c r="U13" s="419">
        <f t="shared" si="8"/>
        <v>0</v>
      </c>
      <c r="V13" s="419">
        <f t="shared" si="9"/>
        <v>0</v>
      </c>
      <c r="W13" s="419"/>
      <c r="X13" s="419"/>
      <c r="Y13" s="419"/>
      <c r="Z13" s="419"/>
      <c r="AA13" s="469"/>
      <c r="AB13" s="469" t="s">
        <v>1044</v>
      </c>
      <c r="AC13" s="469">
        <v>930000</v>
      </c>
      <c r="AD13" s="419"/>
      <c r="AE13" s="419"/>
      <c r="AF13" s="419"/>
      <c r="AG13" s="419"/>
      <c r="AH13" s="419"/>
      <c r="AI13" s="419"/>
      <c r="AJ13" s="419"/>
      <c r="AK13" s="419"/>
      <c r="AL13" s="419"/>
      <c r="AM13" s="419"/>
      <c r="AN13" s="419">
        <f t="shared" si="12"/>
        <v>0</v>
      </c>
      <c r="AO13" s="419">
        <f t="shared" si="10"/>
        <v>0</v>
      </c>
      <c r="AP13" s="449">
        <f t="shared" si="13"/>
        <v>0</v>
      </c>
      <c r="AQ13" s="419"/>
      <c r="AR13" s="419"/>
      <c r="AS13" s="419"/>
      <c r="AT13" s="419"/>
      <c r="AU13" s="419"/>
      <c r="AV13" s="449">
        <f t="shared" si="14"/>
        <v>0</v>
      </c>
      <c r="AW13" s="419"/>
      <c r="AX13" s="419"/>
      <c r="AY13" s="419"/>
      <c r="AZ13" s="419"/>
      <c r="BA13" s="419"/>
    </row>
    <row r="14" spans="1:53" s="452" customFormat="1" ht="30" customHeight="1">
      <c r="A14" s="469">
        <f t="shared" si="11"/>
        <v>9</v>
      </c>
      <c r="B14" s="448">
        <v>1314</v>
      </c>
      <c r="C14" s="448" t="s">
        <v>39</v>
      </c>
      <c r="D14" s="449">
        <f>3200000+2000000</f>
        <v>5200000</v>
      </c>
      <c r="E14" s="449">
        <f>3200000+2000000</f>
        <v>5200000</v>
      </c>
      <c r="F14" s="419">
        <f t="shared" si="0"/>
        <v>0</v>
      </c>
      <c r="G14" s="449">
        <v>3200000</v>
      </c>
      <c r="H14" s="449">
        <v>1880402</v>
      </c>
      <c r="I14" s="449">
        <v>0</v>
      </c>
      <c r="J14" s="449">
        <v>765279</v>
      </c>
      <c r="K14" s="419">
        <f t="shared" si="1"/>
        <v>765279</v>
      </c>
      <c r="L14" s="419">
        <f t="shared" si="2"/>
        <v>2645681</v>
      </c>
      <c r="M14" s="419">
        <f t="shared" si="3"/>
        <v>2554319</v>
      </c>
      <c r="N14" s="419"/>
      <c r="O14" s="419">
        <f t="shared" si="4"/>
        <v>0</v>
      </c>
      <c r="P14" s="419">
        <f t="shared" si="5"/>
        <v>554319</v>
      </c>
      <c r="Q14" s="419"/>
      <c r="R14" s="630">
        <v>2000000</v>
      </c>
      <c r="S14" s="419">
        <f t="shared" si="6"/>
        <v>2000000</v>
      </c>
      <c r="T14" s="419">
        <f t="shared" si="7"/>
        <v>0</v>
      </c>
      <c r="U14" s="419">
        <f t="shared" si="8"/>
        <v>0</v>
      </c>
      <c r="V14" s="419">
        <f t="shared" si="9"/>
        <v>0</v>
      </c>
      <c r="W14" s="419"/>
      <c r="X14" s="419"/>
      <c r="Y14" s="419"/>
      <c r="Z14" s="419"/>
      <c r="AA14" s="469"/>
      <c r="AB14" s="448" t="s">
        <v>410</v>
      </c>
      <c r="AC14" s="448">
        <v>742000</v>
      </c>
      <c r="AD14" s="419"/>
      <c r="AE14" s="419"/>
      <c r="AF14" s="419"/>
      <c r="AG14" s="419"/>
      <c r="AH14" s="419"/>
      <c r="AI14" s="419"/>
      <c r="AJ14" s="419"/>
      <c r="AK14" s="419"/>
      <c r="AL14" s="419"/>
      <c r="AM14" s="419"/>
      <c r="AN14" s="419">
        <f t="shared" si="12"/>
        <v>0</v>
      </c>
      <c r="AO14" s="419">
        <f t="shared" si="10"/>
        <v>0</v>
      </c>
      <c r="AP14" s="449">
        <f t="shared" si="13"/>
        <v>0</v>
      </c>
      <c r="AQ14" s="419"/>
      <c r="AR14" s="419"/>
      <c r="AS14" s="419"/>
      <c r="AT14" s="419"/>
      <c r="AU14" s="419"/>
      <c r="AV14" s="449">
        <f t="shared" si="14"/>
        <v>0</v>
      </c>
      <c r="AW14" s="419"/>
      <c r="AX14" s="419"/>
      <c r="AY14" s="419"/>
      <c r="AZ14" s="419"/>
      <c r="BA14" s="419"/>
    </row>
    <row r="15" spans="1:53" s="452" customFormat="1" ht="30" customHeight="1">
      <c r="A15" s="469">
        <f t="shared" si="11"/>
        <v>10</v>
      </c>
      <c r="B15" s="448">
        <v>1322</v>
      </c>
      <c r="C15" s="448" t="s">
        <v>33</v>
      </c>
      <c r="D15" s="449">
        <v>18500000</v>
      </c>
      <c r="E15" s="449">
        <v>18500000</v>
      </c>
      <c r="F15" s="419">
        <f t="shared" si="0"/>
        <v>0</v>
      </c>
      <c r="G15" s="449">
        <v>10850000</v>
      </c>
      <c r="H15" s="449">
        <v>9799391</v>
      </c>
      <c r="I15" s="449">
        <v>0</v>
      </c>
      <c r="J15" s="449">
        <v>0</v>
      </c>
      <c r="K15" s="419">
        <f t="shared" si="1"/>
        <v>0</v>
      </c>
      <c r="L15" s="419">
        <f t="shared" si="2"/>
        <v>9799391</v>
      </c>
      <c r="M15" s="419">
        <f>P15+S15-1000000</f>
        <v>50609</v>
      </c>
      <c r="N15" s="419">
        <f>7650000-1650000-5000000</f>
        <v>1000000</v>
      </c>
      <c r="O15" s="419">
        <f t="shared" si="4"/>
        <v>7650000</v>
      </c>
      <c r="P15" s="419">
        <f t="shared" si="5"/>
        <v>1050609</v>
      </c>
      <c r="Q15" s="419"/>
      <c r="R15" s="419"/>
      <c r="S15" s="419">
        <f t="shared" si="6"/>
        <v>0</v>
      </c>
      <c r="T15" s="419">
        <f t="shared" si="7"/>
        <v>1000000</v>
      </c>
      <c r="U15" s="419">
        <f t="shared" si="8"/>
        <v>0</v>
      </c>
      <c r="V15" s="419">
        <f t="shared" si="9"/>
        <v>0</v>
      </c>
      <c r="W15" s="419"/>
      <c r="X15" s="419"/>
      <c r="Y15" s="419"/>
      <c r="Z15" s="419"/>
      <c r="AA15" s="469"/>
      <c r="AB15" s="448" t="s">
        <v>509</v>
      </c>
      <c r="AC15" s="448">
        <v>742000</v>
      </c>
      <c r="AD15" s="419"/>
      <c r="AE15" s="419"/>
      <c r="AF15" s="419"/>
      <c r="AG15" s="419"/>
      <c r="AH15" s="419"/>
      <c r="AI15" s="419"/>
      <c r="AJ15" s="419"/>
      <c r="AK15" s="419"/>
      <c r="AL15" s="419"/>
      <c r="AM15" s="419"/>
      <c r="AN15" s="419">
        <f t="shared" si="12"/>
        <v>0</v>
      </c>
      <c r="AO15" s="419">
        <f t="shared" si="10"/>
        <v>0</v>
      </c>
      <c r="AP15" s="449">
        <f t="shared" si="13"/>
        <v>0</v>
      </c>
      <c r="AQ15" s="419"/>
      <c r="AR15" s="419"/>
      <c r="AS15" s="419"/>
      <c r="AT15" s="419"/>
      <c r="AU15" s="419"/>
      <c r="AV15" s="449">
        <f t="shared" si="14"/>
        <v>0</v>
      </c>
      <c r="AW15" s="419"/>
      <c r="AX15" s="419"/>
      <c r="AY15" s="419"/>
      <c r="AZ15" s="419"/>
      <c r="BA15" s="419"/>
    </row>
    <row r="16" spans="1:53" s="452" customFormat="1" ht="30" customHeight="1">
      <c r="A16" s="469">
        <f t="shared" si="11"/>
        <v>11</v>
      </c>
      <c r="B16" s="448">
        <v>1357</v>
      </c>
      <c r="C16" s="448" t="s">
        <v>40</v>
      </c>
      <c r="D16" s="449">
        <f>25000000-6188000</f>
        <v>18812000</v>
      </c>
      <c r="E16" s="449">
        <v>25000000</v>
      </c>
      <c r="F16" s="419">
        <f t="shared" si="0"/>
        <v>-6188000</v>
      </c>
      <c r="G16" s="449">
        <v>18112000</v>
      </c>
      <c r="H16" s="449">
        <v>16972872</v>
      </c>
      <c r="I16" s="449">
        <v>0</v>
      </c>
      <c r="J16" s="449">
        <v>140687</v>
      </c>
      <c r="K16" s="419">
        <f t="shared" si="1"/>
        <v>140687</v>
      </c>
      <c r="L16" s="419">
        <f t="shared" si="2"/>
        <v>17113559</v>
      </c>
      <c r="M16" s="419">
        <f t="shared" ref="M16:M22" si="15">P16+S16</f>
        <v>1698441</v>
      </c>
      <c r="N16" s="419"/>
      <c r="O16" s="419">
        <f t="shared" si="4"/>
        <v>0</v>
      </c>
      <c r="P16" s="419">
        <f t="shared" si="5"/>
        <v>998441</v>
      </c>
      <c r="Q16" s="626">
        <v>700000</v>
      </c>
      <c r="R16" s="419"/>
      <c r="S16" s="419">
        <f t="shared" si="6"/>
        <v>700000</v>
      </c>
      <c r="T16" s="419">
        <f t="shared" si="7"/>
        <v>0</v>
      </c>
      <c r="U16" s="419">
        <f t="shared" si="8"/>
        <v>0</v>
      </c>
      <c r="V16" s="419">
        <f t="shared" si="9"/>
        <v>0</v>
      </c>
      <c r="W16" s="419"/>
      <c r="X16" s="419"/>
      <c r="Y16" s="419"/>
      <c r="Z16" s="419"/>
      <c r="AA16" s="469"/>
      <c r="AB16" s="448" t="s">
        <v>625</v>
      </c>
      <c r="AC16" s="448">
        <v>829000</v>
      </c>
      <c r="AD16" s="419"/>
      <c r="AE16" s="419"/>
      <c r="AF16" s="419"/>
      <c r="AG16" s="419"/>
      <c r="AH16" s="419"/>
      <c r="AI16" s="419"/>
      <c r="AJ16" s="419"/>
      <c r="AK16" s="419"/>
      <c r="AL16" s="419"/>
      <c r="AM16" s="419"/>
      <c r="AN16" s="419">
        <f t="shared" si="12"/>
        <v>0</v>
      </c>
      <c r="AO16" s="419">
        <f t="shared" si="10"/>
        <v>0</v>
      </c>
      <c r="AP16" s="449">
        <f t="shared" si="13"/>
        <v>0</v>
      </c>
      <c r="AQ16" s="419"/>
      <c r="AR16" s="419"/>
      <c r="AS16" s="419"/>
      <c r="AT16" s="419"/>
      <c r="AU16" s="419"/>
      <c r="AV16" s="449">
        <f t="shared" si="14"/>
        <v>0</v>
      </c>
      <c r="AW16" s="419"/>
      <c r="AX16" s="419"/>
      <c r="AY16" s="419"/>
      <c r="AZ16" s="419"/>
      <c r="BA16" s="419"/>
    </row>
    <row r="17" spans="1:53" s="548" customFormat="1" ht="30" customHeight="1">
      <c r="A17" s="469">
        <f t="shared" si="11"/>
        <v>12</v>
      </c>
      <c r="B17" s="469">
        <v>1375</v>
      </c>
      <c r="C17" s="469" t="s">
        <v>329</v>
      </c>
      <c r="D17" s="419">
        <f>40150000+4100000-4100000</f>
        <v>40150000</v>
      </c>
      <c r="E17" s="419">
        <v>40150000</v>
      </c>
      <c r="F17" s="419">
        <f t="shared" si="0"/>
        <v>0</v>
      </c>
      <c r="G17" s="419">
        <v>30150000</v>
      </c>
      <c r="H17" s="419">
        <v>29776272</v>
      </c>
      <c r="I17" s="419">
        <v>0</v>
      </c>
      <c r="J17" s="419">
        <v>69641</v>
      </c>
      <c r="K17" s="419">
        <f t="shared" si="1"/>
        <v>69641</v>
      </c>
      <c r="L17" s="419">
        <f t="shared" si="2"/>
        <v>29845913</v>
      </c>
      <c r="M17" s="419">
        <f t="shared" si="15"/>
        <v>304087</v>
      </c>
      <c r="N17" s="419">
        <f>10000000+4100000-14100000</f>
        <v>0</v>
      </c>
      <c r="O17" s="419">
        <f t="shared" si="4"/>
        <v>10000000</v>
      </c>
      <c r="P17" s="419">
        <f t="shared" si="5"/>
        <v>304087</v>
      </c>
      <c r="Q17" s="419"/>
      <c r="R17" s="419"/>
      <c r="S17" s="419">
        <f t="shared" si="6"/>
        <v>0</v>
      </c>
      <c r="T17" s="419">
        <f t="shared" si="7"/>
        <v>0</v>
      </c>
      <c r="U17" s="419">
        <f t="shared" si="8"/>
        <v>0</v>
      </c>
      <c r="V17" s="419">
        <f t="shared" si="9"/>
        <v>0</v>
      </c>
      <c r="W17" s="419"/>
      <c r="X17" s="419"/>
      <c r="Y17" s="419"/>
      <c r="Z17" s="419"/>
      <c r="AA17" s="469"/>
      <c r="AB17" s="469" t="s">
        <v>882</v>
      </c>
      <c r="AC17" s="469">
        <v>747000</v>
      </c>
      <c r="AD17" s="419"/>
      <c r="AE17" s="419"/>
      <c r="AF17" s="419"/>
      <c r="AG17" s="419"/>
      <c r="AH17" s="419"/>
      <c r="AI17" s="419"/>
      <c r="AJ17" s="419"/>
      <c r="AK17" s="419"/>
      <c r="AL17" s="419"/>
      <c r="AM17" s="419"/>
      <c r="AN17" s="419">
        <f t="shared" si="12"/>
        <v>0</v>
      </c>
      <c r="AO17" s="419">
        <f t="shared" si="10"/>
        <v>0</v>
      </c>
      <c r="AP17" s="449">
        <f t="shared" si="13"/>
        <v>0</v>
      </c>
      <c r="AQ17" s="419"/>
      <c r="AR17" s="419"/>
      <c r="AS17" s="419"/>
      <c r="AT17" s="419"/>
      <c r="AU17" s="419"/>
      <c r="AV17" s="449">
        <f t="shared" si="14"/>
        <v>0</v>
      </c>
      <c r="AW17" s="419"/>
      <c r="AX17" s="419"/>
      <c r="AY17" s="419"/>
      <c r="AZ17" s="419"/>
      <c r="BA17" s="419"/>
    </row>
    <row r="18" spans="1:53" s="548" customFormat="1" ht="30" customHeight="1">
      <c r="A18" s="469">
        <f t="shared" si="11"/>
        <v>13</v>
      </c>
      <c r="B18" s="469">
        <v>1588</v>
      </c>
      <c r="C18" s="469" t="s">
        <v>24</v>
      </c>
      <c r="D18" s="419">
        <v>50500000</v>
      </c>
      <c r="E18" s="419">
        <v>50500000</v>
      </c>
      <c r="F18" s="419">
        <f t="shared" si="0"/>
        <v>0</v>
      </c>
      <c r="G18" s="419">
        <v>45500000</v>
      </c>
      <c r="H18" s="419">
        <v>37035422</v>
      </c>
      <c r="I18" s="419">
        <v>0</v>
      </c>
      <c r="J18" s="419">
        <v>29825</v>
      </c>
      <c r="K18" s="419">
        <f t="shared" si="1"/>
        <v>29825</v>
      </c>
      <c r="L18" s="419">
        <f t="shared" si="2"/>
        <v>37065247</v>
      </c>
      <c r="M18" s="419">
        <f t="shared" si="15"/>
        <v>8434753</v>
      </c>
      <c r="N18" s="419"/>
      <c r="O18" s="419">
        <f t="shared" si="4"/>
        <v>5000000</v>
      </c>
      <c r="P18" s="419">
        <f t="shared" si="5"/>
        <v>8434753</v>
      </c>
      <c r="Q18" s="419"/>
      <c r="R18" s="419"/>
      <c r="S18" s="419">
        <f t="shared" si="6"/>
        <v>0</v>
      </c>
      <c r="T18" s="419">
        <f t="shared" si="7"/>
        <v>0</v>
      </c>
      <c r="U18" s="419">
        <f t="shared" si="8"/>
        <v>0</v>
      </c>
      <c r="V18" s="419">
        <f t="shared" si="9"/>
        <v>0</v>
      </c>
      <c r="W18" s="419"/>
      <c r="X18" s="419"/>
      <c r="Y18" s="419"/>
      <c r="Z18" s="419"/>
      <c r="AA18" s="469"/>
      <c r="AB18" s="469" t="s">
        <v>733</v>
      </c>
      <c r="AC18" s="469">
        <v>742000</v>
      </c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>
        <f t="shared" si="12"/>
        <v>0</v>
      </c>
      <c r="AO18" s="419">
        <f t="shared" si="10"/>
        <v>0</v>
      </c>
      <c r="AP18" s="449">
        <f t="shared" si="13"/>
        <v>0</v>
      </c>
      <c r="AQ18" s="419"/>
      <c r="AR18" s="419"/>
      <c r="AS18" s="419"/>
      <c r="AT18" s="419"/>
      <c r="AU18" s="419"/>
      <c r="AV18" s="449">
        <f t="shared" si="14"/>
        <v>0</v>
      </c>
      <c r="AW18" s="419"/>
      <c r="AX18" s="419"/>
      <c r="AY18" s="419"/>
      <c r="AZ18" s="419"/>
      <c r="BA18" s="419"/>
    </row>
    <row r="19" spans="1:53" s="548" customFormat="1" ht="30" customHeight="1">
      <c r="A19" s="469">
        <f t="shared" si="11"/>
        <v>14</v>
      </c>
      <c r="B19" s="469">
        <v>1615</v>
      </c>
      <c r="C19" s="469" t="s">
        <v>98</v>
      </c>
      <c r="D19" s="419">
        <v>27700000</v>
      </c>
      <c r="E19" s="419">
        <v>27700000</v>
      </c>
      <c r="F19" s="419">
        <f t="shared" si="0"/>
        <v>0</v>
      </c>
      <c r="G19" s="419">
        <v>23700000</v>
      </c>
      <c r="H19" s="419">
        <v>22126262</v>
      </c>
      <c r="I19" s="419">
        <v>0</v>
      </c>
      <c r="J19" s="419">
        <v>501377</v>
      </c>
      <c r="K19" s="419">
        <f t="shared" si="1"/>
        <v>501377</v>
      </c>
      <c r="L19" s="419">
        <f t="shared" si="2"/>
        <v>22627639</v>
      </c>
      <c r="M19" s="419">
        <f t="shared" si="15"/>
        <v>1072361</v>
      </c>
      <c r="N19" s="419"/>
      <c r="O19" s="419">
        <f t="shared" si="4"/>
        <v>4000000</v>
      </c>
      <c r="P19" s="419">
        <f t="shared" si="5"/>
        <v>1072361</v>
      </c>
      <c r="Q19" s="419"/>
      <c r="R19" s="419"/>
      <c r="S19" s="419">
        <f t="shared" si="6"/>
        <v>0</v>
      </c>
      <c r="T19" s="419">
        <f t="shared" si="7"/>
        <v>0</v>
      </c>
      <c r="U19" s="419">
        <f t="shared" si="8"/>
        <v>0</v>
      </c>
      <c r="V19" s="419">
        <f t="shared" si="9"/>
        <v>0</v>
      </c>
      <c r="W19" s="419"/>
      <c r="X19" s="419"/>
      <c r="Y19" s="419"/>
      <c r="Z19" s="419"/>
      <c r="AA19" s="469"/>
      <c r="AB19" s="469" t="s">
        <v>883</v>
      </c>
      <c r="AC19" s="469">
        <v>742000</v>
      </c>
      <c r="AD19" s="419"/>
      <c r="AE19" s="419"/>
      <c r="AF19" s="419"/>
      <c r="AG19" s="419"/>
      <c r="AH19" s="419"/>
      <c r="AI19" s="419"/>
      <c r="AJ19" s="419"/>
      <c r="AK19" s="419"/>
      <c r="AL19" s="419"/>
      <c r="AM19" s="419"/>
      <c r="AN19" s="419">
        <f t="shared" si="12"/>
        <v>0</v>
      </c>
      <c r="AO19" s="419">
        <f t="shared" si="10"/>
        <v>0</v>
      </c>
      <c r="AP19" s="449">
        <f t="shared" si="13"/>
        <v>0</v>
      </c>
      <c r="AQ19" s="419"/>
      <c r="AR19" s="419"/>
      <c r="AS19" s="419"/>
      <c r="AT19" s="419"/>
      <c r="AU19" s="419"/>
      <c r="AV19" s="449">
        <f t="shared" si="14"/>
        <v>0</v>
      </c>
      <c r="AW19" s="419"/>
      <c r="AX19" s="419"/>
      <c r="AY19" s="419"/>
      <c r="AZ19" s="419"/>
      <c r="BA19" s="419"/>
    </row>
    <row r="20" spans="1:53" s="548" customFormat="1" ht="30" customHeight="1">
      <c r="A20" s="469">
        <f t="shared" si="11"/>
        <v>15</v>
      </c>
      <c r="B20" s="469">
        <v>1657</v>
      </c>
      <c r="C20" s="469" t="s">
        <v>26</v>
      </c>
      <c r="D20" s="419">
        <v>60000000</v>
      </c>
      <c r="E20" s="419">
        <v>60000000</v>
      </c>
      <c r="F20" s="419">
        <f t="shared" si="0"/>
        <v>0</v>
      </c>
      <c r="G20" s="419">
        <v>36200000</v>
      </c>
      <c r="H20" s="419">
        <v>22215450</v>
      </c>
      <c r="I20" s="419">
        <v>0</v>
      </c>
      <c r="J20" s="419">
        <v>1832757</v>
      </c>
      <c r="K20" s="419">
        <f t="shared" si="1"/>
        <v>1832757</v>
      </c>
      <c r="L20" s="419">
        <f t="shared" si="2"/>
        <v>24048207</v>
      </c>
      <c r="M20" s="419">
        <f t="shared" si="15"/>
        <v>14151793</v>
      </c>
      <c r="N20" s="419">
        <f>21800000-3800000</f>
        <v>18000000</v>
      </c>
      <c r="O20" s="419">
        <f t="shared" si="4"/>
        <v>3800000</v>
      </c>
      <c r="P20" s="419">
        <f t="shared" si="5"/>
        <v>12151793</v>
      </c>
      <c r="Q20" s="626">
        <v>2000000</v>
      </c>
      <c r="R20" s="419"/>
      <c r="S20" s="419">
        <f t="shared" si="6"/>
        <v>2000000</v>
      </c>
      <c r="T20" s="419">
        <f t="shared" si="7"/>
        <v>0</v>
      </c>
      <c r="U20" s="419">
        <f t="shared" si="8"/>
        <v>18000000</v>
      </c>
      <c r="V20" s="419">
        <f t="shared" si="9"/>
        <v>18000000</v>
      </c>
      <c r="W20" s="419"/>
      <c r="X20" s="419"/>
      <c r="Y20" s="419"/>
      <c r="Z20" s="419"/>
      <c r="AA20" s="469"/>
      <c r="AB20" s="448" t="s">
        <v>626</v>
      </c>
      <c r="AC20" s="469">
        <v>742000</v>
      </c>
      <c r="AD20" s="419"/>
      <c r="AE20" s="419"/>
      <c r="AF20" s="419"/>
      <c r="AG20" s="419"/>
      <c r="AH20" s="419"/>
      <c r="AI20" s="419"/>
      <c r="AJ20" s="419">
        <v>5000000</v>
      </c>
      <c r="AK20" s="419"/>
      <c r="AL20" s="419"/>
      <c r="AM20" s="419">
        <v>13000000</v>
      </c>
      <c r="AN20" s="419">
        <f t="shared" si="12"/>
        <v>18000000</v>
      </c>
      <c r="AO20" s="419">
        <f t="shared" si="10"/>
        <v>0</v>
      </c>
      <c r="AP20" s="449">
        <f t="shared" si="13"/>
        <v>18000000</v>
      </c>
      <c r="AQ20" s="419"/>
      <c r="AR20" s="419"/>
      <c r="AS20" s="419"/>
      <c r="AT20" s="419"/>
      <c r="AU20" s="419"/>
      <c r="AV20" s="449">
        <f t="shared" si="14"/>
        <v>13000000</v>
      </c>
      <c r="AW20" s="419"/>
      <c r="AX20" s="419"/>
      <c r="AY20" s="419"/>
      <c r="AZ20" s="419"/>
      <c r="BA20" s="419"/>
    </row>
    <row r="21" spans="1:53" s="452" customFormat="1" ht="30" customHeight="1">
      <c r="A21" s="469">
        <f t="shared" si="11"/>
        <v>16</v>
      </c>
      <c r="B21" s="448">
        <v>1670</v>
      </c>
      <c r="C21" s="448" t="s">
        <v>90</v>
      </c>
      <c r="D21" s="449">
        <v>17800000</v>
      </c>
      <c r="E21" s="449">
        <v>17800000</v>
      </c>
      <c r="F21" s="449">
        <f t="shared" si="0"/>
        <v>0</v>
      </c>
      <c r="G21" s="449">
        <v>1850000</v>
      </c>
      <c r="H21" s="449">
        <v>666390</v>
      </c>
      <c r="I21" s="449">
        <v>0</v>
      </c>
      <c r="J21" s="449">
        <v>166551</v>
      </c>
      <c r="K21" s="419">
        <f t="shared" si="1"/>
        <v>166551</v>
      </c>
      <c r="L21" s="419">
        <f t="shared" si="2"/>
        <v>832941</v>
      </c>
      <c r="M21" s="419">
        <f t="shared" si="15"/>
        <v>1717059</v>
      </c>
      <c r="N21" s="419">
        <f>7000000-7000000</f>
        <v>0</v>
      </c>
      <c r="O21" s="449">
        <f t="shared" si="4"/>
        <v>15250000</v>
      </c>
      <c r="P21" s="449">
        <f t="shared" si="5"/>
        <v>1017059</v>
      </c>
      <c r="Q21" s="482">
        <f>1000000-300000</f>
        <v>700000</v>
      </c>
      <c r="R21" s="449"/>
      <c r="S21" s="449">
        <f t="shared" si="6"/>
        <v>700000</v>
      </c>
      <c r="T21" s="449">
        <f t="shared" si="7"/>
        <v>0</v>
      </c>
      <c r="U21" s="449">
        <f t="shared" si="8"/>
        <v>0</v>
      </c>
      <c r="V21" s="449">
        <f>U21-AA21-W21-Z21</f>
        <v>0</v>
      </c>
      <c r="W21" s="449"/>
      <c r="X21" s="449"/>
      <c r="Y21" s="449"/>
      <c r="Z21" s="449"/>
      <c r="AA21" s="448"/>
      <c r="AB21" s="448" t="s">
        <v>484</v>
      </c>
      <c r="AC21" s="448">
        <v>742000</v>
      </c>
      <c r="AD21" s="419"/>
      <c r="AE21" s="419"/>
      <c r="AF21" s="419"/>
      <c r="AG21" s="419"/>
      <c r="AH21" s="419"/>
      <c r="AI21" s="419"/>
      <c r="AJ21" s="419"/>
      <c r="AK21" s="419"/>
      <c r="AL21" s="419"/>
      <c r="AM21" s="419"/>
      <c r="AN21" s="419">
        <f t="shared" si="12"/>
        <v>0</v>
      </c>
      <c r="AO21" s="419">
        <f t="shared" si="10"/>
        <v>0</v>
      </c>
      <c r="AP21" s="449">
        <f t="shared" si="13"/>
        <v>0</v>
      </c>
      <c r="AQ21" s="419"/>
      <c r="AR21" s="419"/>
      <c r="AS21" s="419"/>
      <c r="AT21" s="419"/>
      <c r="AU21" s="419"/>
      <c r="AV21" s="449">
        <f t="shared" si="14"/>
        <v>0</v>
      </c>
      <c r="AW21" s="419"/>
      <c r="AX21" s="419"/>
      <c r="AY21" s="419"/>
      <c r="AZ21" s="419"/>
      <c r="BA21" s="419"/>
    </row>
    <row r="22" spans="1:53" s="452" customFormat="1" ht="30" customHeight="1">
      <c r="A22" s="469">
        <f t="shared" si="11"/>
        <v>17</v>
      </c>
      <c r="B22" s="448">
        <v>1693</v>
      </c>
      <c r="C22" s="448" t="s">
        <v>100</v>
      </c>
      <c r="D22" s="449">
        <v>4500000</v>
      </c>
      <c r="E22" s="449">
        <v>4500000</v>
      </c>
      <c r="F22" s="449">
        <f t="shared" si="0"/>
        <v>0</v>
      </c>
      <c r="G22" s="449">
        <v>2416703</v>
      </c>
      <c r="H22" s="449">
        <v>376078</v>
      </c>
      <c r="I22" s="449">
        <v>567525</v>
      </c>
      <c r="J22" s="449">
        <v>258337</v>
      </c>
      <c r="K22" s="419">
        <f t="shared" si="1"/>
        <v>825862</v>
      </c>
      <c r="L22" s="419">
        <f t="shared" si="2"/>
        <v>1201940</v>
      </c>
      <c r="M22" s="419">
        <f t="shared" si="15"/>
        <v>1214763</v>
      </c>
      <c r="N22" s="449"/>
      <c r="O22" s="449">
        <f t="shared" si="4"/>
        <v>2083297</v>
      </c>
      <c r="P22" s="449">
        <f t="shared" si="5"/>
        <v>1214763</v>
      </c>
      <c r="Q22" s="449"/>
      <c r="R22" s="449"/>
      <c r="S22" s="449">
        <f t="shared" si="6"/>
        <v>0</v>
      </c>
      <c r="T22" s="449">
        <f t="shared" si="7"/>
        <v>0</v>
      </c>
      <c r="U22" s="449">
        <f t="shared" si="8"/>
        <v>0</v>
      </c>
      <c r="V22" s="449">
        <f>U22-AA22-W22-Z22</f>
        <v>0</v>
      </c>
      <c r="W22" s="449"/>
      <c r="X22" s="449"/>
      <c r="Y22" s="449"/>
      <c r="Z22" s="449"/>
      <c r="AA22" s="449"/>
      <c r="AB22" s="448" t="s">
        <v>774</v>
      </c>
      <c r="AC22" s="448">
        <v>732000</v>
      </c>
      <c r="AD22" s="419"/>
      <c r="AE22" s="419"/>
      <c r="AF22" s="419"/>
      <c r="AG22" s="419"/>
      <c r="AH22" s="419"/>
      <c r="AI22" s="419"/>
      <c r="AJ22" s="419"/>
      <c r="AK22" s="419"/>
      <c r="AL22" s="419"/>
      <c r="AM22" s="419"/>
      <c r="AN22" s="419">
        <f t="shared" si="12"/>
        <v>0</v>
      </c>
      <c r="AO22" s="419">
        <f t="shared" si="10"/>
        <v>0</v>
      </c>
      <c r="AP22" s="449">
        <f t="shared" si="13"/>
        <v>0</v>
      </c>
      <c r="AQ22" s="419"/>
      <c r="AR22" s="419"/>
      <c r="AS22" s="419"/>
      <c r="AT22" s="419"/>
      <c r="AU22" s="419"/>
      <c r="AV22" s="449">
        <f t="shared" si="14"/>
        <v>0</v>
      </c>
      <c r="AW22" s="419"/>
      <c r="AX22" s="419"/>
      <c r="AY22" s="419"/>
      <c r="AZ22" s="419"/>
      <c r="BA22" s="419"/>
    </row>
    <row r="23" spans="1:53" s="548" customFormat="1" ht="30" customHeight="1">
      <c r="A23" s="469">
        <f t="shared" si="11"/>
        <v>18</v>
      </c>
      <c r="B23" s="469">
        <v>1723</v>
      </c>
      <c r="C23" s="469" t="s">
        <v>27</v>
      </c>
      <c r="D23" s="419">
        <f>2178521-200000</f>
        <v>1978521</v>
      </c>
      <c r="E23" s="419">
        <v>2178521</v>
      </c>
      <c r="F23" s="419">
        <f t="shared" si="0"/>
        <v>-200000</v>
      </c>
      <c r="G23" s="419">
        <v>2178521</v>
      </c>
      <c r="H23" s="419">
        <v>1609724</v>
      </c>
      <c r="I23" s="419">
        <v>0</v>
      </c>
      <c r="J23" s="419">
        <f>56665</f>
        <v>56665</v>
      </c>
      <c r="K23" s="419">
        <f t="shared" si="1"/>
        <v>56665</v>
      </c>
      <c r="L23" s="419">
        <f t="shared" si="2"/>
        <v>1666389</v>
      </c>
      <c r="M23" s="419">
        <f>P23+S23-200000</f>
        <v>312132</v>
      </c>
      <c r="N23" s="419"/>
      <c r="O23" s="419">
        <f t="shared" si="4"/>
        <v>0</v>
      </c>
      <c r="P23" s="419">
        <f t="shared" si="5"/>
        <v>512132</v>
      </c>
      <c r="Q23" s="419"/>
      <c r="R23" s="419"/>
      <c r="S23" s="419">
        <f t="shared" si="6"/>
        <v>0</v>
      </c>
      <c r="T23" s="419">
        <f t="shared" si="7"/>
        <v>200000</v>
      </c>
      <c r="U23" s="419">
        <f t="shared" si="8"/>
        <v>-200000</v>
      </c>
      <c r="V23" s="419">
        <f>U23-Z23-X23-AA23-W23</f>
        <v>-200000</v>
      </c>
      <c r="W23" s="419"/>
      <c r="X23" s="419"/>
      <c r="Y23" s="419"/>
      <c r="Z23" s="419"/>
      <c r="AA23" s="449"/>
      <c r="AB23" s="469" t="s">
        <v>1045</v>
      </c>
      <c r="AC23" s="469">
        <v>732000</v>
      </c>
      <c r="AD23" s="419"/>
      <c r="AE23" s="419"/>
      <c r="AF23" s="419"/>
      <c r="AG23" s="419"/>
      <c r="AH23" s="419"/>
      <c r="AI23" s="419">
        <v>-200000</v>
      </c>
      <c r="AJ23" s="419"/>
      <c r="AK23" s="419"/>
      <c r="AL23" s="419"/>
      <c r="AM23" s="419"/>
      <c r="AN23" s="419">
        <f t="shared" si="12"/>
        <v>-200000</v>
      </c>
      <c r="AO23" s="419">
        <f t="shared" si="10"/>
        <v>0</v>
      </c>
      <c r="AP23" s="449">
        <f t="shared" si="13"/>
        <v>-200000</v>
      </c>
      <c r="AQ23" s="419"/>
      <c r="AR23" s="419"/>
      <c r="AS23" s="419"/>
      <c r="AT23" s="419"/>
      <c r="AU23" s="419"/>
      <c r="AV23" s="449">
        <f t="shared" si="14"/>
        <v>0</v>
      </c>
      <c r="AW23" s="419"/>
      <c r="AX23" s="419"/>
      <c r="AY23" s="419"/>
      <c r="AZ23" s="419"/>
      <c r="BA23" s="419"/>
    </row>
    <row r="24" spans="1:53" s="452" customFormat="1" ht="30" customHeight="1">
      <c r="A24" s="469">
        <f t="shared" si="11"/>
        <v>19</v>
      </c>
      <c r="B24" s="448">
        <v>1773</v>
      </c>
      <c r="C24" s="448" t="s">
        <v>91</v>
      </c>
      <c r="D24" s="449">
        <v>1500000</v>
      </c>
      <c r="E24" s="449">
        <v>1500000</v>
      </c>
      <c r="F24" s="449">
        <f t="shared" si="0"/>
        <v>0</v>
      </c>
      <c r="G24" s="449">
        <v>1500000</v>
      </c>
      <c r="H24" s="449">
        <v>867075</v>
      </c>
      <c r="I24" s="449">
        <v>17401</v>
      </c>
      <c r="J24" s="449">
        <v>254339</v>
      </c>
      <c r="K24" s="419">
        <f t="shared" si="1"/>
        <v>271740</v>
      </c>
      <c r="L24" s="419">
        <f t="shared" si="2"/>
        <v>1138815</v>
      </c>
      <c r="M24" s="419">
        <f t="shared" ref="M24:M36" si="16">P24+S24</f>
        <v>361185</v>
      </c>
      <c r="N24" s="419"/>
      <c r="O24" s="449">
        <f t="shared" si="4"/>
        <v>0</v>
      </c>
      <c r="P24" s="449">
        <f t="shared" si="5"/>
        <v>361185</v>
      </c>
      <c r="Q24" s="449"/>
      <c r="R24" s="449"/>
      <c r="S24" s="449">
        <f t="shared" si="6"/>
        <v>0</v>
      </c>
      <c r="T24" s="449">
        <f t="shared" si="7"/>
        <v>0</v>
      </c>
      <c r="U24" s="449">
        <f t="shared" si="8"/>
        <v>0</v>
      </c>
      <c r="V24" s="449"/>
      <c r="W24" s="449">
        <f>U24-V24-AA24</f>
        <v>0</v>
      </c>
      <c r="X24" s="449"/>
      <c r="Y24" s="449"/>
      <c r="Z24" s="449"/>
      <c r="AA24" s="448"/>
      <c r="AB24" s="448" t="s">
        <v>269</v>
      </c>
      <c r="AC24" s="448">
        <v>746000</v>
      </c>
      <c r="AD24" s="419"/>
      <c r="AE24" s="419"/>
      <c r="AF24" s="419"/>
      <c r="AG24" s="419"/>
      <c r="AH24" s="419"/>
      <c r="AI24" s="419"/>
      <c r="AJ24" s="419"/>
      <c r="AK24" s="419"/>
      <c r="AL24" s="419"/>
      <c r="AM24" s="419"/>
      <c r="AN24" s="419">
        <f t="shared" si="12"/>
        <v>0</v>
      </c>
      <c r="AO24" s="419">
        <f t="shared" si="10"/>
        <v>0</v>
      </c>
      <c r="AP24" s="449">
        <f t="shared" si="13"/>
        <v>0</v>
      </c>
      <c r="AQ24" s="419"/>
      <c r="AR24" s="419"/>
      <c r="AS24" s="419"/>
      <c r="AT24" s="419"/>
      <c r="AU24" s="419"/>
      <c r="AV24" s="449">
        <f t="shared" si="14"/>
        <v>0</v>
      </c>
      <c r="AW24" s="419"/>
      <c r="AX24" s="419"/>
      <c r="AY24" s="419"/>
      <c r="AZ24" s="419"/>
      <c r="BA24" s="419"/>
    </row>
    <row r="25" spans="1:53" ht="30" customHeight="1">
      <c r="A25" s="469">
        <f t="shared" si="11"/>
        <v>20</v>
      </c>
      <c r="B25" s="552">
        <v>1819</v>
      </c>
      <c r="C25" s="469" t="s">
        <v>365</v>
      </c>
      <c r="D25" s="419">
        <v>18000000</v>
      </c>
      <c r="E25" s="419">
        <v>18000000</v>
      </c>
      <c r="F25" s="419">
        <f t="shared" si="0"/>
        <v>0</v>
      </c>
      <c r="G25" s="419">
        <v>18000000</v>
      </c>
      <c r="H25" s="419">
        <v>13084929</v>
      </c>
      <c r="I25" s="419">
        <v>0</v>
      </c>
      <c r="J25" s="419">
        <v>1202090</v>
      </c>
      <c r="K25" s="419">
        <f t="shared" si="1"/>
        <v>1202090</v>
      </c>
      <c r="L25" s="419">
        <f t="shared" si="2"/>
        <v>14287019</v>
      </c>
      <c r="M25" s="419">
        <f t="shared" si="16"/>
        <v>3712981</v>
      </c>
      <c r="N25" s="419"/>
      <c r="O25" s="419">
        <f t="shared" si="4"/>
        <v>0</v>
      </c>
      <c r="P25" s="419">
        <f t="shared" si="5"/>
        <v>3712981</v>
      </c>
      <c r="Q25" s="419"/>
      <c r="R25" s="419"/>
      <c r="S25" s="419">
        <f t="shared" si="6"/>
        <v>0</v>
      </c>
      <c r="T25" s="419">
        <f t="shared" si="7"/>
        <v>0</v>
      </c>
      <c r="U25" s="419">
        <f t="shared" si="8"/>
        <v>0</v>
      </c>
      <c r="V25" s="419">
        <f t="shared" ref="V25:V34" si="17">U25-Z25-X25-AA25-W25</f>
        <v>0</v>
      </c>
      <c r="W25" s="419"/>
      <c r="X25" s="419"/>
      <c r="Y25" s="419"/>
      <c r="Z25" s="419"/>
      <c r="AA25" s="469"/>
      <c r="AB25" s="469" t="s">
        <v>467</v>
      </c>
      <c r="AC25" s="469">
        <v>742000</v>
      </c>
      <c r="AD25" s="419"/>
      <c r="AE25" s="419"/>
      <c r="AF25" s="419"/>
      <c r="AG25" s="419"/>
      <c r="AH25" s="419"/>
      <c r="AI25" s="419"/>
      <c r="AJ25" s="419"/>
      <c r="AK25" s="419"/>
      <c r="AL25" s="419"/>
      <c r="AM25" s="419"/>
      <c r="AN25" s="419">
        <f t="shared" si="12"/>
        <v>0</v>
      </c>
      <c r="AO25" s="419">
        <f t="shared" si="10"/>
        <v>0</v>
      </c>
      <c r="AP25" s="449">
        <f t="shared" si="13"/>
        <v>0</v>
      </c>
      <c r="AQ25" s="419"/>
      <c r="AR25" s="419"/>
      <c r="AS25" s="419"/>
      <c r="AT25" s="419"/>
      <c r="AU25" s="419"/>
      <c r="AV25" s="449">
        <f t="shared" si="14"/>
        <v>0</v>
      </c>
      <c r="AW25" s="419"/>
      <c r="AX25" s="419"/>
      <c r="AY25" s="419"/>
      <c r="AZ25" s="419"/>
      <c r="BA25" s="419"/>
    </row>
    <row r="26" spans="1:53" ht="30" customHeight="1">
      <c r="A26" s="469">
        <f t="shared" si="11"/>
        <v>21</v>
      </c>
      <c r="B26" s="552">
        <v>1833</v>
      </c>
      <c r="C26" s="469" t="s">
        <v>102</v>
      </c>
      <c r="D26" s="419">
        <v>29000000</v>
      </c>
      <c r="E26" s="419">
        <v>29000000</v>
      </c>
      <c r="F26" s="419">
        <f t="shared" si="0"/>
        <v>0</v>
      </c>
      <c r="G26" s="419">
        <v>29000000</v>
      </c>
      <c r="H26" s="419">
        <v>28872030</v>
      </c>
      <c r="I26" s="419">
        <v>0</v>
      </c>
      <c r="J26" s="419">
        <v>53980</v>
      </c>
      <c r="K26" s="419">
        <f t="shared" si="1"/>
        <v>53980</v>
      </c>
      <c r="L26" s="419">
        <f t="shared" si="2"/>
        <v>28926010</v>
      </c>
      <c r="M26" s="419">
        <f t="shared" si="16"/>
        <v>73990</v>
      </c>
      <c r="N26" s="419"/>
      <c r="O26" s="419">
        <f t="shared" si="4"/>
        <v>0</v>
      </c>
      <c r="P26" s="419">
        <f t="shared" si="5"/>
        <v>73990</v>
      </c>
      <c r="Q26" s="419"/>
      <c r="R26" s="419"/>
      <c r="S26" s="419">
        <f t="shared" si="6"/>
        <v>0</v>
      </c>
      <c r="T26" s="419">
        <f t="shared" si="7"/>
        <v>0</v>
      </c>
      <c r="U26" s="419">
        <f t="shared" si="8"/>
        <v>0</v>
      </c>
      <c r="V26" s="419">
        <f t="shared" si="17"/>
        <v>0</v>
      </c>
      <c r="W26" s="419"/>
      <c r="X26" s="419"/>
      <c r="Y26" s="419"/>
      <c r="Z26" s="419"/>
      <c r="AA26" s="419">
        <f>3231160-3231160</f>
        <v>0</v>
      </c>
      <c r="AB26" s="469" t="s">
        <v>806</v>
      </c>
      <c r="AC26" s="469">
        <v>829000</v>
      </c>
      <c r="AD26" s="419"/>
      <c r="AE26" s="419"/>
      <c r="AF26" s="419"/>
      <c r="AG26" s="419"/>
      <c r="AH26" s="419"/>
      <c r="AI26" s="419"/>
      <c r="AJ26" s="419"/>
      <c r="AK26" s="419"/>
      <c r="AL26" s="419"/>
      <c r="AM26" s="419"/>
      <c r="AN26" s="419">
        <f t="shared" si="12"/>
        <v>0</v>
      </c>
      <c r="AO26" s="419">
        <f t="shared" si="10"/>
        <v>0</v>
      </c>
      <c r="AP26" s="449">
        <f t="shared" si="13"/>
        <v>0</v>
      </c>
      <c r="AQ26" s="419"/>
      <c r="AR26" s="419"/>
      <c r="AS26" s="419"/>
      <c r="AT26" s="419"/>
      <c r="AU26" s="419"/>
      <c r="AV26" s="449">
        <f t="shared" si="14"/>
        <v>0</v>
      </c>
      <c r="AW26" s="419"/>
      <c r="AX26" s="419"/>
      <c r="AY26" s="419"/>
      <c r="AZ26" s="419"/>
      <c r="BA26" s="419"/>
    </row>
    <row r="27" spans="1:53" s="548" customFormat="1" ht="30" customHeight="1">
      <c r="A27" s="469">
        <f t="shared" si="11"/>
        <v>22</v>
      </c>
      <c r="B27" s="469">
        <v>1834</v>
      </c>
      <c r="C27" s="469" t="s">
        <v>96</v>
      </c>
      <c r="D27" s="631">
        <f>60000000+2000000</f>
        <v>62000000</v>
      </c>
      <c r="E27" s="419">
        <v>60000000</v>
      </c>
      <c r="F27" s="419">
        <f t="shared" si="0"/>
        <v>2000000</v>
      </c>
      <c r="G27" s="419">
        <v>50000000</v>
      </c>
      <c r="H27" s="419">
        <v>45562254</v>
      </c>
      <c r="I27" s="419">
        <v>0</v>
      </c>
      <c r="J27" s="419">
        <v>2314702</v>
      </c>
      <c r="K27" s="419">
        <f t="shared" si="1"/>
        <v>2314702</v>
      </c>
      <c r="L27" s="419">
        <f t="shared" si="2"/>
        <v>47876956</v>
      </c>
      <c r="M27" s="419">
        <f t="shared" si="16"/>
        <v>9623044</v>
      </c>
      <c r="N27" s="419">
        <f>2500000+2000000</f>
        <v>4500000</v>
      </c>
      <c r="O27" s="419">
        <f t="shared" si="4"/>
        <v>0</v>
      </c>
      <c r="P27" s="419">
        <f t="shared" si="5"/>
        <v>2123044</v>
      </c>
      <c r="Q27" s="626">
        <v>7500000</v>
      </c>
      <c r="R27" s="419"/>
      <c r="S27" s="419">
        <f t="shared" si="6"/>
        <v>7500000</v>
      </c>
      <c r="T27" s="419">
        <f t="shared" si="7"/>
        <v>0</v>
      </c>
      <c r="U27" s="419">
        <f t="shared" si="8"/>
        <v>4500000</v>
      </c>
      <c r="V27" s="419">
        <f t="shared" si="17"/>
        <v>0</v>
      </c>
      <c r="W27" s="419">
        <v>4500000</v>
      </c>
      <c r="X27" s="419"/>
      <c r="Y27" s="419"/>
      <c r="Z27" s="419"/>
      <c r="AA27" s="469"/>
      <c r="AB27" s="455" t="s">
        <v>734</v>
      </c>
      <c r="AC27" s="469">
        <v>824000</v>
      </c>
      <c r="AD27" s="419"/>
      <c r="AE27" s="419"/>
      <c r="AF27" s="419"/>
      <c r="AG27" s="419">
        <v>450000</v>
      </c>
      <c r="AH27" s="419">
        <v>3000000</v>
      </c>
      <c r="AI27" s="419"/>
      <c r="AJ27" s="419">
        <v>1050000</v>
      </c>
      <c r="AK27" s="419"/>
      <c r="AL27" s="419"/>
      <c r="AM27" s="419"/>
      <c r="AN27" s="419">
        <f t="shared" si="12"/>
        <v>4500000</v>
      </c>
      <c r="AO27" s="419">
        <f t="shared" si="10"/>
        <v>0</v>
      </c>
      <c r="AP27" s="449">
        <f t="shared" si="13"/>
        <v>0</v>
      </c>
      <c r="AQ27" s="419">
        <v>4500000</v>
      </c>
      <c r="AR27" s="419"/>
      <c r="AS27" s="419"/>
      <c r="AT27" s="419"/>
      <c r="AU27" s="419"/>
      <c r="AV27" s="449">
        <f t="shared" si="14"/>
        <v>0</v>
      </c>
      <c r="AW27" s="419"/>
      <c r="AX27" s="419"/>
      <c r="AY27" s="419"/>
      <c r="AZ27" s="419"/>
      <c r="BA27" s="419"/>
    </row>
    <row r="28" spans="1:53" s="548" customFormat="1" ht="30" customHeight="1">
      <c r="A28" s="469">
        <f t="shared" si="11"/>
        <v>23</v>
      </c>
      <c r="B28" s="469">
        <v>1835</v>
      </c>
      <c r="C28" s="469" t="s">
        <v>330</v>
      </c>
      <c r="D28" s="419">
        <v>51500000</v>
      </c>
      <c r="E28" s="419">
        <v>51500000</v>
      </c>
      <c r="F28" s="419">
        <f t="shared" si="0"/>
        <v>0</v>
      </c>
      <c r="G28" s="419">
        <v>21900000</v>
      </c>
      <c r="H28" s="419">
        <v>13919300</v>
      </c>
      <c r="I28" s="419">
        <v>0</v>
      </c>
      <c r="J28" s="419">
        <v>2805422</v>
      </c>
      <c r="K28" s="419">
        <f t="shared" si="1"/>
        <v>2805422</v>
      </c>
      <c r="L28" s="419">
        <f t="shared" si="2"/>
        <v>16724722</v>
      </c>
      <c r="M28" s="419">
        <f t="shared" si="16"/>
        <v>5175278</v>
      </c>
      <c r="N28" s="419">
        <f>14000000-14000000</f>
        <v>0</v>
      </c>
      <c r="O28" s="419">
        <f t="shared" si="4"/>
        <v>29600000</v>
      </c>
      <c r="P28" s="419">
        <f t="shared" si="5"/>
        <v>5175278</v>
      </c>
      <c r="Q28" s="419">
        <f>500000-500000</f>
        <v>0</v>
      </c>
      <c r="R28" s="419"/>
      <c r="S28" s="419">
        <f t="shared" si="6"/>
        <v>0</v>
      </c>
      <c r="T28" s="419">
        <f t="shared" si="7"/>
        <v>0</v>
      </c>
      <c r="U28" s="419">
        <f t="shared" si="8"/>
        <v>0</v>
      </c>
      <c r="V28" s="419">
        <f t="shared" si="17"/>
        <v>0</v>
      </c>
      <c r="W28" s="419"/>
      <c r="X28" s="419"/>
      <c r="Y28" s="419"/>
      <c r="Z28" s="419"/>
      <c r="AA28" s="469"/>
      <c r="AB28" s="448" t="s">
        <v>671</v>
      </c>
      <c r="AC28" s="469">
        <v>824000</v>
      </c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>
        <f t="shared" si="12"/>
        <v>0</v>
      </c>
      <c r="AO28" s="419">
        <f t="shared" si="10"/>
        <v>0</v>
      </c>
      <c r="AP28" s="449">
        <f t="shared" si="13"/>
        <v>0</v>
      </c>
      <c r="AQ28" s="419"/>
      <c r="AR28" s="419"/>
      <c r="AS28" s="419"/>
      <c r="AT28" s="419"/>
      <c r="AU28" s="419"/>
      <c r="AV28" s="449">
        <f t="shared" si="14"/>
        <v>0</v>
      </c>
      <c r="AW28" s="419"/>
      <c r="AX28" s="419"/>
      <c r="AY28" s="419"/>
      <c r="AZ28" s="419"/>
      <c r="BA28" s="419"/>
    </row>
    <row r="29" spans="1:53" ht="30" customHeight="1">
      <c r="A29" s="469">
        <f t="shared" si="11"/>
        <v>24</v>
      </c>
      <c r="B29" s="552">
        <v>1845</v>
      </c>
      <c r="C29" s="469" t="s">
        <v>103</v>
      </c>
      <c r="D29" s="419">
        <v>6000000</v>
      </c>
      <c r="E29" s="419">
        <v>6000000</v>
      </c>
      <c r="F29" s="419">
        <f t="shared" si="0"/>
        <v>0</v>
      </c>
      <c r="G29" s="419">
        <v>1940000</v>
      </c>
      <c r="H29" s="419">
        <v>1818447</v>
      </c>
      <c r="I29" s="419">
        <v>0</v>
      </c>
      <c r="J29" s="419">
        <v>76290</v>
      </c>
      <c r="K29" s="419">
        <f t="shared" si="1"/>
        <v>76290</v>
      </c>
      <c r="L29" s="419">
        <f t="shared" si="2"/>
        <v>1894737</v>
      </c>
      <c r="M29" s="419">
        <f t="shared" si="16"/>
        <v>545263</v>
      </c>
      <c r="N29" s="419">
        <f>1500000-750000-450000</f>
        <v>300000</v>
      </c>
      <c r="O29" s="419">
        <f t="shared" si="4"/>
        <v>3260000</v>
      </c>
      <c r="P29" s="419">
        <f t="shared" si="5"/>
        <v>45263</v>
      </c>
      <c r="Q29" s="626">
        <f>650000-150000</f>
        <v>500000</v>
      </c>
      <c r="R29" s="419"/>
      <c r="S29" s="419">
        <f t="shared" si="6"/>
        <v>500000</v>
      </c>
      <c r="T29" s="419">
        <f t="shared" si="7"/>
        <v>0</v>
      </c>
      <c r="U29" s="419">
        <f t="shared" si="8"/>
        <v>300000</v>
      </c>
      <c r="V29" s="419">
        <f t="shared" si="17"/>
        <v>300000</v>
      </c>
      <c r="W29" s="419"/>
      <c r="X29" s="419"/>
      <c r="Y29" s="419"/>
      <c r="Z29" s="419"/>
      <c r="AA29" s="469"/>
      <c r="AB29" s="469" t="s">
        <v>547</v>
      </c>
      <c r="AC29" s="469">
        <v>742000</v>
      </c>
      <c r="AD29" s="419"/>
      <c r="AE29" s="419"/>
      <c r="AF29" s="419"/>
      <c r="AG29" s="419"/>
      <c r="AH29" s="419"/>
      <c r="AI29" s="419"/>
      <c r="AJ29" s="419">
        <v>300000</v>
      </c>
      <c r="AK29" s="419"/>
      <c r="AL29" s="419"/>
      <c r="AM29" s="419"/>
      <c r="AN29" s="419">
        <f t="shared" si="12"/>
        <v>300000</v>
      </c>
      <c r="AO29" s="419">
        <f t="shared" si="10"/>
        <v>0</v>
      </c>
      <c r="AP29" s="449">
        <f t="shared" si="13"/>
        <v>300000</v>
      </c>
      <c r="AQ29" s="419"/>
      <c r="AR29" s="419"/>
      <c r="AS29" s="419"/>
      <c r="AT29" s="419"/>
      <c r="AU29" s="419"/>
      <c r="AV29" s="449">
        <f t="shared" si="14"/>
        <v>0</v>
      </c>
      <c r="AW29" s="419"/>
      <c r="AX29" s="419"/>
      <c r="AY29" s="419"/>
      <c r="AZ29" s="419"/>
      <c r="BA29" s="419"/>
    </row>
    <row r="30" spans="1:53" ht="30" customHeight="1">
      <c r="A30" s="469">
        <f t="shared" si="11"/>
        <v>25</v>
      </c>
      <c r="B30" s="552">
        <v>1896</v>
      </c>
      <c r="C30" s="469" t="s">
        <v>331</v>
      </c>
      <c r="D30" s="419">
        <v>7800000</v>
      </c>
      <c r="E30" s="419">
        <v>7800000</v>
      </c>
      <c r="F30" s="419">
        <f t="shared" si="0"/>
        <v>0</v>
      </c>
      <c r="G30" s="419">
        <v>7800000</v>
      </c>
      <c r="H30" s="419">
        <v>3154494</v>
      </c>
      <c r="I30" s="419">
        <v>0</v>
      </c>
      <c r="J30" s="419">
        <v>0</v>
      </c>
      <c r="K30" s="419">
        <f t="shared" si="1"/>
        <v>0</v>
      </c>
      <c r="L30" s="419">
        <f t="shared" si="2"/>
        <v>3154494</v>
      </c>
      <c r="M30" s="419">
        <f t="shared" si="16"/>
        <v>4645506</v>
      </c>
      <c r="N30" s="419"/>
      <c r="O30" s="419">
        <f t="shared" si="4"/>
        <v>0</v>
      </c>
      <c r="P30" s="419">
        <f t="shared" si="5"/>
        <v>4645506</v>
      </c>
      <c r="Q30" s="419"/>
      <c r="R30" s="419"/>
      <c r="S30" s="419">
        <f t="shared" si="6"/>
        <v>0</v>
      </c>
      <c r="T30" s="419">
        <f t="shared" si="7"/>
        <v>0</v>
      </c>
      <c r="U30" s="419">
        <f t="shared" si="8"/>
        <v>0</v>
      </c>
      <c r="V30" s="419">
        <f t="shared" si="17"/>
        <v>0</v>
      </c>
      <c r="W30" s="419"/>
      <c r="X30" s="419"/>
      <c r="Y30" s="419"/>
      <c r="Z30" s="419"/>
      <c r="AA30" s="469"/>
      <c r="AB30" s="469" t="s">
        <v>1046</v>
      </c>
      <c r="AC30" s="469">
        <v>829000</v>
      </c>
      <c r="AD30" s="419"/>
      <c r="AE30" s="419"/>
      <c r="AF30" s="419"/>
      <c r="AG30" s="419"/>
      <c r="AH30" s="419"/>
      <c r="AI30" s="419"/>
      <c r="AJ30" s="419"/>
      <c r="AK30" s="419"/>
      <c r="AL30" s="419"/>
      <c r="AM30" s="419"/>
      <c r="AN30" s="419">
        <f t="shared" si="12"/>
        <v>0</v>
      </c>
      <c r="AO30" s="419">
        <f t="shared" si="10"/>
        <v>0</v>
      </c>
      <c r="AP30" s="449">
        <f t="shared" si="13"/>
        <v>0</v>
      </c>
      <c r="AQ30" s="419"/>
      <c r="AR30" s="419"/>
      <c r="AS30" s="419"/>
      <c r="AT30" s="419"/>
      <c r="AU30" s="419"/>
      <c r="AV30" s="449">
        <f t="shared" si="14"/>
        <v>0</v>
      </c>
      <c r="AW30" s="419"/>
      <c r="AX30" s="419"/>
      <c r="AY30" s="419"/>
      <c r="AZ30" s="419"/>
      <c r="BA30" s="419"/>
    </row>
    <row r="31" spans="1:53" ht="30" customHeight="1">
      <c r="A31" s="469">
        <f t="shared" si="11"/>
        <v>26</v>
      </c>
      <c r="B31" s="552">
        <v>1921</v>
      </c>
      <c r="C31" s="469" t="s">
        <v>105</v>
      </c>
      <c r="D31" s="631">
        <f>9716000+20000000</f>
        <v>29716000</v>
      </c>
      <c r="E31" s="419">
        <v>9716000</v>
      </c>
      <c r="F31" s="419">
        <f t="shared" si="0"/>
        <v>20000000</v>
      </c>
      <c r="G31" s="419">
        <v>9716000</v>
      </c>
      <c r="H31" s="419">
        <v>9564142</v>
      </c>
      <c r="I31" s="419">
        <v>0</v>
      </c>
      <c r="J31" s="419">
        <v>60611</v>
      </c>
      <c r="K31" s="419">
        <f t="shared" si="1"/>
        <v>60611</v>
      </c>
      <c r="L31" s="419">
        <f t="shared" si="2"/>
        <v>9624753</v>
      </c>
      <c r="M31" s="419">
        <f t="shared" si="16"/>
        <v>91247</v>
      </c>
      <c r="N31" s="419">
        <f>10000000-5000000-1000000</f>
        <v>4000000</v>
      </c>
      <c r="O31" s="419">
        <f t="shared" si="4"/>
        <v>16000000</v>
      </c>
      <c r="P31" s="419">
        <f t="shared" si="5"/>
        <v>91247</v>
      </c>
      <c r="Q31" s="419"/>
      <c r="R31" s="419"/>
      <c r="S31" s="419">
        <f t="shared" si="6"/>
        <v>0</v>
      </c>
      <c r="T31" s="419">
        <f t="shared" si="7"/>
        <v>0</v>
      </c>
      <c r="U31" s="419">
        <f t="shared" si="8"/>
        <v>4000000</v>
      </c>
      <c r="V31" s="419">
        <f t="shared" si="17"/>
        <v>4000000</v>
      </c>
      <c r="W31" s="419"/>
      <c r="X31" s="419"/>
      <c r="Y31" s="419"/>
      <c r="Z31" s="419"/>
      <c r="AA31" s="469"/>
      <c r="AB31" s="627" t="s">
        <v>1047</v>
      </c>
      <c r="AC31" s="469">
        <v>829000</v>
      </c>
      <c r="AD31" s="419"/>
      <c r="AE31" s="419"/>
      <c r="AF31" s="419"/>
      <c r="AG31" s="419">
        <v>150000</v>
      </c>
      <c r="AH31" s="419">
        <v>50000</v>
      </c>
      <c r="AI31" s="419"/>
      <c r="AJ31" s="419">
        <v>250000</v>
      </c>
      <c r="AK31" s="419">
        <v>200000</v>
      </c>
      <c r="AL31" s="419"/>
      <c r="AM31" s="419">
        <v>3350000</v>
      </c>
      <c r="AN31" s="419">
        <f t="shared" si="12"/>
        <v>4000000</v>
      </c>
      <c r="AO31" s="419">
        <f t="shared" si="10"/>
        <v>0</v>
      </c>
      <c r="AP31" s="449">
        <f t="shared" si="13"/>
        <v>4000000</v>
      </c>
      <c r="AQ31" s="419"/>
      <c r="AR31" s="419"/>
      <c r="AS31" s="419"/>
      <c r="AT31" s="419"/>
      <c r="AU31" s="419"/>
      <c r="AV31" s="449">
        <f t="shared" si="14"/>
        <v>3350000</v>
      </c>
      <c r="AW31" s="419"/>
      <c r="AX31" s="419"/>
      <c r="AY31" s="419"/>
      <c r="AZ31" s="419"/>
      <c r="BA31" s="419"/>
    </row>
    <row r="32" spans="1:53" ht="30" customHeight="1">
      <c r="A32" s="469">
        <f t="shared" si="11"/>
        <v>27</v>
      </c>
      <c r="B32" s="552">
        <v>1953</v>
      </c>
      <c r="C32" s="469" t="s">
        <v>1048</v>
      </c>
      <c r="D32" s="419">
        <f>5300000+350000-350000</f>
        <v>5300000</v>
      </c>
      <c r="E32" s="419">
        <v>5300000</v>
      </c>
      <c r="F32" s="419">
        <f t="shared" si="0"/>
        <v>0</v>
      </c>
      <c r="G32" s="419">
        <f>5300000</f>
        <v>5300000</v>
      </c>
      <c r="H32" s="419">
        <v>5259109</v>
      </c>
      <c r="I32" s="419">
        <v>0</v>
      </c>
      <c r="J32" s="419">
        <v>35571</v>
      </c>
      <c r="K32" s="419">
        <f t="shared" si="1"/>
        <v>35571</v>
      </c>
      <c r="L32" s="419">
        <f t="shared" si="2"/>
        <v>5294680</v>
      </c>
      <c r="M32" s="419">
        <f t="shared" si="16"/>
        <v>5320</v>
      </c>
      <c r="N32" s="419">
        <f>350000-350000</f>
        <v>0</v>
      </c>
      <c r="O32" s="419">
        <f t="shared" si="4"/>
        <v>0</v>
      </c>
      <c r="P32" s="419">
        <f t="shared" si="5"/>
        <v>5320</v>
      </c>
      <c r="Q32" s="419"/>
      <c r="R32" s="419"/>
      <c r="S32" s="419">
        <f t="shared" si="6"/>
        <v>0</v>
      </c>
      <c r="T32" s="419">
        <f t="shared" si="7"/>
        <v>0</v>
      </c>
      <c r="U32" s="419">
        <f t="shared" si="8"/>
        <v>0</v>
      </c>
      <c r="V32" s="419">
        <f t="shared" si="17"/>
        <v>0</v>
      </c>
      <c r="W32" s="419"/>
      <c r="X32" s="419"/>
      <c r="Y32" s="419"/>
      <c r="Z32" s="419"/>
      <c r="AA32" s="469"/>
      <c r="AB32" s="629" t="s">
        <v>1049</v>
      </c>
      <c r="AC32" s="469">
        <v>742000</v>
      </c>
      <c r="AD32" s="419"/>
      <c r="AE32" s="419"/>
      <c r="AF32" s="419"/>
      <c r="AG32" s="419"/>
      <c r="AH32" s="419"/>
      <c r="AI32" s="419"/>
      <c r="AJ32" s="419"/>
      <c r="AK32" s="419"/>
      <c r="AL32" s="419"/>
      <c r="AM32" s="419"/>
      <c r="AN32" s="419">
        <f t="shared" si="12"/>
        <v>0</v>
      </c>
      <c r="AO32" s="419">
        <f t="shared" si="10"/>
        <v>0</v>
      </c>
      <c r="AP32" s="449">
        <f t="shared" si="13"/>
        <v>0</v>
      </c>
      <c r="AQ32" s="419"/>
      <c r="AR32" s="419"/>
      <c r="AS32" s="419"/>
      <c r="AT32" s="419"/>
      <c r="AU32" s="419"/>
      <c r="AV32" s="449">
        <f t="shared" si="14"/>
        <v>0</v>
      </c>
      <c r="AW32" s="419"/>
      <c r="AX32" s="419"/>
      <c r="AY32" s="419"/>
      <c r="AZ32" s="419"/>
      <c r="BA32" s="419"/>
    </row>
    <row r="33" spans="1:53" ht="30" customHeight="1">
      <c r="A33" s="469">
        <f t="shared" si="11"/>
        <v>28</v>
      </c>
      <c r="B33" s="552">
        <v>1957</v>
      </c>
      <c r="C33" s="469" t="s">
        <v>258</v>
      </c>
      <c r="D33" s="419">
        <v>60000000</v>
      </c>
      <c r="E33" s="419">
        <v>60000000</v>
      </c>
      <c r="F33" s="419">
        <f t="shared" si="0"/>
        <v>0</v>
      </c>
      <c r="G33" s="419">
        <v>19026967</v>
      </c>
      <c r="H33" s="419">
        <v>4856729</v>
      </c>
      <c r="I33" s="419">
        <v>0</v>
      </c>
      <c r="J33" s="419">
        <v>1339476</v>
      </c>
      <c r="K33" s="419">
        <f t="shared" si="1"/>
        <v>1339476</v>
      </c>
      <c r="L33" s="419">
        <f t="shared" si="2"/>
        <v>6196205</v>
      </c>
      <c r="M33" s="419">
        <f t="shared" si="16"/>
        <v>12830762</v>
      </c>
      <c r="N33" s="419">
        <f>35000000-15000000-3000000</f>
        <v>17000000</v>
      </c>
      <c r="O33" s="419">
        <f t="shared" si="4"/>
        <v>23973033</v>
      </c>
      <c r="P33" s="419">
        <f t="shared" si="5"/>
        <v>12830762</v>
      </c>
      <c r="Q33" s="419">
        <f>16393033-16393033</f>
        <v>0</v>
      </c>
      <c r="R33" s="419"/>
      <c r="S33" s="419">
        <f t="shared" si="6"/>
        <v>0</v>
      </c>
      <c r="T33" s="419">
        <f t="shared" si="7"/>
        <v>0</v>
      </c>
      <c r="U33" s="419">
        <f t="shared" si="8"/>
        <v>17000000</v>
      </c>
      <c r="V33" s="419">
        <f t="shared" si="17"/>
        <v>11851666</v>
      </c>
      <c r="W33" s="419"/>
      <c r="X33" s="419"/>
      <c r="Y33" s="419"/>
      <c r="Z33" s="419"/>
      <c r="AA33" s="419">
        <f>2069114+3079220</f>
        <v>5148334</v>
      </c>
      <c r="AB33" s="469" t="s">
        <v>1050</v>
      </c>
      <c r="AC33" s="469">
        <v>810000</v>
      </c>
      <c r="AD33" s="419"/>
      <c r="AE33" s="419"/>
      <c r="AF33" s="419"/>
      <c r="AG33" s="419"/>
      <c r="AH33" s="419">
        <v>4000000</v>
      </c>
      <c r="AI33" s="419"/>
      <c r="AJ33" s="419">
        <v>5000000</v>
      </c>
      <c r="AK33" s="419">
        <v>2000000</v>
      </c>
      <c r="AL33" s="419"/>
      <c r="AM33" s="419">
        <f>1518627+2555855</f>
        <v>4074482</v>
      </c>
      <c r="AN33" s="419">
        <f t="shared" si="12"/>
        <v>15074482</v>
      </c>
      <c r="AO33" s="419">
        <f t="shared" si="10"/>
        <v>1925518</v>
      </c>
      <c r="AP33" s="449">
        <f t="shared" si="13"/>
        <v>13555855</v>
      </c>
      <c r="AQ33" s="419"/>
      <c r="AR33" s="419"/>
      <c r="AS33" s="419"/>
      <c r="AT33" s="419"/>
      <c r="AU33" s="419">
        <f>294000+1224627</f>
        <v>1518627</v>
      </c>
      <c r="AV33" s="449">
        <f t="shared" si="14"/>
        <v>2555855</v>
      </c>
      <c r="AW33" s="419"/>
      <c r="AX33" s="419"/>
      <c r="AY33" s="419"/>
      <c r="AZ33" s="419"/>
      <c r="BA33" s="419">
        <f>294000+1224627</f>
        <v>1518627</v>
      </c>
    </row>
    <row r="34" spans="1:53" ht="30" customHeight="1">
      <c r="A34" s="469">
        <f t="shared" si="11"/>
        <v>29</v>
      </c>
      <c r="B34" s="552">
        <v>1961</v>
      </c>
      <c r="C34" s="469" t="s">
        <v>121</v>
      </c>
      <c r="D34" s="419">
        <f>300000000-172000000</f>
        <v>128000000</v>
      </c>
      <c r="E34" s="419">
        <v>128000000</v>
      </c>
      <c r="F34" s="419">
        <f t="shared" si="0"/>
        <v>0</v>
      </c>
      <c r="G34" s="419">
        <v>500000</v>
      </c>
      <c r="H34" s="419">
        <v>0</v>
      </c>
      <c r="I34" s="419">
        <v>0</v>
      </c>
      <c r="J34" s="419">
        <v>0</v>
      </c>
      <c r="K34" s="419">
        <f t="shared" si="1"/>
        <v>0</v>
      </c>
      <c r="L34" s="419">
        <f t="shared" si="2"/>
        <v>0</v>
      </c>
      <c r="M34" s="419">
        <f t="shared" si="16"/>
        <v>500000</v>
      </c>
      <c r="N34" s="419">
        <f>10000000-9000000</f>
        <v>1000000</v>
      </c>
      <c r="O34" s="419">
        <f t="shared" si="4"/>
        <v>126500000</v>
      </c>
      <c r="P34" s="419">
        <f t="shared" si="5"/>
        <v>500000</v>
      </c>
      <c r="Q34" s="419"/>
      <c r="R34" s="419"/>
      <c r="S34" s="419">
        <f t="shared" si="6"/>
        <v>0</v>
      </c>
      <c r="T34" s="419">
        <f t="shared" si="7"/>
        <v>0</v>
      </c>
      <c r="U34" s="419">
        <f t="shared" si="8"/>
        <v>1000000</v>
      </c>
      <c r="V34" s="419">
        <f t="shared" si="17"/>
        <v>1000000</v>
      </c>
      <c r="W34" s="419"/>
      <c r="X34" s="419"/>
      <c r="Y34" s="419"/>
      <c r="Z34" s="419"/>
      <c r="AA34" s="469"/>
      <c r="AB34" s="632" t="s">
        <v>824</v>
      </c>
      <c r="AC34" s="469">
        <v>742000</v>
      </c>
      <c r="AD34" s="419"/>
      <c r="AE34" s="419"/>
      <c r="AF34" s="419"/>
      <c r="AG34" s="419"/>
      <c r="AH34" s="419"/>
      <c r="AI34" s="419"/>
      <c r="AJ34" s="419"/>
      <c r="AK34" s="419"/>
      <c r="AL34" s="419"/>
      <c r="AM34" s="419"/>
      <c r="AN34" s="419">
        <f t="shared" si="12"/>
        <v>0</v>
      </c>
      <c r="AO34" s="419">
        <f t="shared" si="10"/>
        <v>1000000</v>
      </c>
      <c r="AP34" s="449">
        <f t="shared" si="13"/>
        <v>0</v>
      </c>
      <c r="AQ34" s="419"/>
      <c r="AR34" s="419"/>
      <c r="AS34" s="419"/>
      <c r="AT34" s="419"/>
      <c r="AU34" s="419"/>
      <c r="AV34" s="449">
        <f t="shared" si="14"/>
        <v>0</v>
      </c>
      <c r="AW34" s="419"/>
      <c r="AX34" s="419"/>
      <c r="AY34" s="419"/>
      <c r="AZ34" s="419"/>
      <c r="BA34" s="419"/>
    </row>
    <row r="35" spans="1:53" s="157" customFormat="1" ht="30" customHeight="1">
      <c r="A35" s="469">
        <f t="shared" si="11"/>
        <v>30</v>
      </c>
      <c r="B35" s="448">
        <v>2001</v>
      </c>
      <c r="C35" s="448" t="s">
        <v>126</v>
      </c>
      <c r="D35" s="449">
        <v>18500000</v>
      </c>
      <c r="E35" s="449">
        <v>18500000</v>
      </c>
      <c r="F35" s="449">
        <f t="shared" si="0"/>
        <v>0</v>
      </c>
      <c r="G35" s="449">
        <v>8398700</v>
      </c>
      <c r="H35" s="449">
        <v>592347</v>
      </c>
      <c r="I35" s="449">
        <v>7007029</v>
      </c>
      <c r="J35" s="449">
        <v>35009</v>
      </c>
      <c r="K35" s="449">
        <f>I35+J35</f>
        <v>7042038</v>
      </c>
      <c r="L35" s="449">
        <f>H35+K35</f>
        <v>7634385</v>
      </c>
      <c r="M35" s="449">
        <f t="shared" si="16"/>
        <v>764315</v>
      </c>
      <c r="N35" s="449"/>
      <c r="O35" s="449">
        <f t="shared" si="4"/>
        <v>10101300</v>
      </c>
      <c r="P35" s="449">
        <f t="shared" si="5"/>
        <v>764315</v>
      </c>
      <c r="Q35" s="449"/>
      <c r="R35" s="449"/>
      <c r="S35" s="449">
        <f t="shared" si="6"/>
        <v>0</v>
      </c>
      <c r="T35" s="449">
        <f t="shared" si="7"/>
        <v>0</v>
      </c>
      <c r="U35" s="449">
        <f t="shared" si="8"/>
        <v>0</v>
      </c>
      <c r="V35" s="449">
        <f>U35-AA35</f>
        <v>0</v>
      </c>
      <c r="W35" s="449"/>
      <c r="X35" s="449"/>
      <c r="Y35" s="449"/>
      <c r="Z35" s="449"/>
      <c r="AA35" s="449"/>
      <c r="AB35" s="448" t="s">
        <v>825</v>
      </c>
      <c r="AC35" s="448">
        <v>810000</v>
      </c>
      <c r="AD35" s="419"/>
      <c r="AE35" s="419"/>
      <c r="AF35" s="419"/>
      <c r="AG35" s="419"/>
      <c r="AH35" s="419"/>
      <c r="AI35" s="419"/>
      <c r="AJ35" s="419"/>
      <c r="AK35" s="419"/>
      <c r="AL35" s="419"/>
      <c r="AM35" s="419"/>
      <c r="AN35" s="419">
        <f t="shared" si="12"/>
        <v>0</v>
      </c>
      <c r="AO35" s="419">
        <f t="shared" si="10"/>
        <v>0</v>
      </c>
      <c r="AP35" s="449">
        <f t="shared" si="13"/>
        <v>0</v>
      </c>
      <c r="AQ35" s="419"/>
      <c r="AR35" s="419"/>
      <c r="AS35" s="419"/>
      <c r="AT35" s="419"/>
      <c r="AU35" s="419"/>
      <c r="AV35" s="449">
        <f t="shared" si="14"/>
        <v>0</v>
      </c>
      <c r="AW35" s="419"/>
      <c r="AX35" s="419"/>
      <c r="AY35" s="419"/>
      <c r="AZ35" s="419"/>
      <c r="BA35" s="419"/>
    </row>
    <row r="36" spans="1:53" s="468" customFormat="1" ht="30" customHeight="1">
      <c r="A36" s="469">
        <f t="shared" si="11"/>
        <v>31</v>
      </c>
      <c r="B36" s="469">
        <v>2002</v>
      </c>
      <c r="C36" s="469" t="s">
        <v>132</v>
      </c>
      <c r="D36" s="419">
        <v>1500000</v>
      </c>
      <c r="E36" s="419">
        <v>1500000</v>
      </c>
      <c r="F36" s="419">
        <f t="shared" si="0"/>
        <v>0</v>
      </c>
      <c r="G36" s="419">
        <v>1500000</v>
      </c>
      <c r="H36" s="419">
        <v>1005668</v>
      </c>
      <c r="I36" s="419">
        <v>0</v>
      </c>
      <c r="J36" s="419">
        <v>116278</v>
      </c>
      <c r="K36" s="419">
        <f t="shared" ref="K36:K74" si="18">SUM(I36:J36)</f>
        <v>116278</v>
      </c>
      <c r="L36" s="419">
        <f t="shared" ref="L36:L74" si="19">K36+H36</f>
        <v>1121946</v>
      </c>
      <c r="M36" s="419">
        <f t="shared" si="16"/>
        <v>378054</v>
      </c>
      <c r="N36" s="419"/>
      <c r="O36" s="419">
        <f t="shared" si="4"/>
        <v>0</v>
      </c>
      <c r="P36" s="419">
        <f t="shared" si="5"/>
        <v>378054</v>
      </c>
      <c r="Q36" s="419"/>
      <c r="R36" s="419"/>
      <c r="S36" s="419">
        <f t="shared" si="6"/>
        <v>0</v>
      </c>
      <c r="T36" s="419">
        <f t="shared" si="7"/>
        <v>0</v>
      </c>
      <c r="U36" s="419">
        <f t="shared" si="8"/>
        <v>0</v>
      </c>
      <c r="V36" s="419">
        <f>U36-Z36-X36-AA36-W36</f>
        <v>0</v>
      </c>
      <c r="W36" s="419"/>
      <c r="X36" s="419"/>
      <c r="Y36" s="419"/>
      <c r="Z36" s="419"/>
      <c r="AA36" s="469"/>
      <c r="AB36" s="469" t="s">
        <v>1051</v>
      </c>
      <c r="AC36" s="633">
        <v>742000</v>
      </c>
      <c r="AD36" s="419"/>
      <c r="AE36" s="419"/>
      <c r="AF36" s="419"/>
      <c r="AG36" s="419"/>
      <c r="AH36" s="419"/>
      <c r="AI36" s="419"/>
      <c r="AJ36" s="419"/>
      <c r="AK36" s="419"/>
      <c r="AL36" s="419"/>
      <c r="AM36" s="419"/>
      <c r="AN36" s="419">
        <f t="shared" si="12"/>
        <v>0</v>
      </c>
      <c r="AO36" s="419">
        <f t="shared" si="10"/>
        <v>0</v>
      </c>
      <c r="AP36" s="449">
        <f t="shared" si="13"/>
        <v>0</v>
      </c>
      <c r="AQ36" s="419"/>
      <c r="AR36" s="419"/>
      <c r="AS36" s="419"/>
      <c r="AT36" s="419"/>
      <c r="AU36" s="419"/>
      <c r="AV36" s="449">
        <f t="shared" si="14"/>
        <v>0</v>
      </c>
      <c r="AW36" s="419"/>
      <c r="AX36" s="419"/>
      <c r="AY36" s="419"/>
      <c r="AZ36" s="419"/>
      <c r="BA36" s="419"/>
    </row>
    <row r="37" spans="1:53" s="468" customFormat="1" ht="30" customHeight="1">
      <c r="A37" s="469">
        <f t="shared" si="11"/>
        <v>32</v>
      </c>
      <c r="B37" s="469">
        <v>2008</v>
      </c>
      <c r="C37" s="469" t="s">
        <v>246</v>
      </c>
      <c r="D37" s="419">
        <f>2500000</f>
        <v>2500000</v>
      </c>
      <c r="E37" s="419">
        <v>2500000</v>
      </c>
      <c r="F37" s="419">
        <f t="shared" si="0"/>
        <v>0</v>
      </c>
      <c r="G37" s="419">
        <v>250000</v>
      </c>
      <c r="H37" s="419">
        <v>0</v>
      </c>
      <c r="I37" s="419">
        <v>0</v>
      </c>
      <c r="J37" s="419">
        <v>0</v>
      </c>
      <c r="K37" s="419">
        <f t="shared" si="18"/>
        <v>0</v>
      </c>
      <c r="L37" s="419">
        <f t="shared" si="19"/>
        <v>0</v>
      </c>
      <c r="M37" s="419">
        <f>P37+S37-250000</f>
        <v>0</v>
      </c>
      <c r="N37" s="419">
        <f>1250000+1000000-1500000</f>
        <v>750000</v>
      </c>
      <c r="O37" s="419">
        <f t="shared" si="4"/>
        <v>1750000</v>
      </c>
      <c r="P37" s="419">
        <f t="shared" si="5"/>
        <v>250000</v>
      </c>
      <c r="Q37" s="419">
        <f>1000000-1000000</f>
        <v>0</v>
      </c>
      <c r="R37" s="419"/>
      <c r="S37" s="419">
        <f t="shared" si="6"/>
        <v>0</v>
      </c>
      <c r="T37" s="419">
        <f t="shared" si="7"/>
        <v>250000</v>
      </c>
      <c r="U37" s="419">
        <f t="shared" si="8"/>
        <v>500000</v>
      </c>
      <c r="V37" s="419">
        <f>U37-Z37-X37-AA37-W37</f>
        <v>500000</v>
      </c>
      <c r="W37" s="419"/>
      <c r="X37" s="419"/>
      <c r="Y37" s="419"/>
      <c r="Z37" s="419"/>
      <c r="AA37" s="469"/>
      <c r="AB37" s="634" t="s">
        <v>468</v>
      </c>
      <c r="AC37" s="469">
        <v>742000</v>
      </c>
      <c r="AD37" s="419"/>
      <c r="AE37" s="419"/>
      <c r="AF37" s="419"/>
      <c r="AG37" s="419">
        <v>50000</v>
      </c>
      <c r="AH37" s="419"/>
      <c r="AI37" s="419">
        <v>150000</v>
      </c>
      <c r="AJ37" s="419"/>
      <c r="AK37" s="419"/>
      <c r="AL37" s="419"/>
      <c r="AM37" s="419">
        <v>300000</v>
      </c>
      <c r="AN37" s="419">
        <f t="shared" si="12"/>
        <v>500000</v>
      </c>
      <c r="AO37" s="419">
        <f t="shared" si="10"/>
        <v>0</v>
      </c>
      <c r="AP37" s="449">
        <f t="shared" si="13"/>
        <v>500000</v>
      </c>
      <c r="AQ37" s="419"/>
      <c r="AR37" s="419"/>
      <c r="AS37" s="419"/>
      <c r="AT37" s="419"/>
      <c r="AU37" s="419"/>
      <c r="AV37" s="449">
        <f t="shared" si="14"/>
        <v>300000</v>
      </c>
      <c r="AW37" s="419"/>
      <c r="AX37" s="419"/>
      <c r="AY37" s="419"/>
      <c r="AZ37" s="419"/>
      <c r="BA37" s="419"/>
    </row>
    <row r="38" spans="1:53" s="452" customFormat="1" ht="30" customHeight="1">
      <c r="A38" s="469">
        <f t="shared" si="11"/>
        <v>33</v>
      </c>
      <c r="B38" s="448">
        <v>2009</v>
      </c>
      <c r="C38" s="448" t="s">
        <v>215</v>
      </c>
      <c r="D38" s="449">
        <v>13700000</v>
      </c>
      <c r="E38" s="449">
        <v>13700000</v>
      </c>
      <c r="F38" s="449">
        <f t="shared" si="0"/>
        <v>0</v>
      </c>
      <c r="G38" s="449">
        <v>2200000</v>
      </c>
      <c r="H38" s="449">
        <v>188934</v>
      </c>
      <c r="I38" s="449">
        <v>0</v>
      </c>
      <c r="J38" s="449">
        <v>15817</v>
      </c>
      <c r="K38" s="419">
        <f t="shared" si="18"/>
        <v>15817</v>
      </c>
      <c r="L38" s="419">
        <f t="shared" si="19"/>
        <v>204751</v>
      </c>
      <c r="M38" s="419">
        <f>P38+S38-1000000</f>
        <v>995249</v>
      </c>
      <c r="N38" s="419">
        <f>5500000+500000-2000000-1000000</f>
        <v>3000000</v>
      </c>
      <c r="O38" s="449">
        <f t="shared" si="4"/>
        <v>9500000</v>
      </c>
      <c r="P38" s="449">
        <f t="shared" si="5"/>
        <v>1995249</v>
      </c>
      <c r="Q38" s="449">
        <f>1000000-1000000</f>
        <v>0</v>
      </c>
      <c r="R38" s="449"/>
      <c r="S38" s="449">
        <f t="shared" ref="S38:S69" si="20">SUM(Q38:R38)</f>
        <v>0</v>
      </c>
      <c r="T38" s="449">
        <f t="shared" si="7"/>
        <v>1000000</v>
      </c>
      <c r="U38" s="449">
        <f t="shared" si="8"/>
        <v>2000000</v>
      </c>
      <c r="V38" s="449">
        <f>U38-AA38-W38-Z38</f>
        <v>2000000</v>
      </c>
      <c r="W38" s="449"/>
      <c r="X38" s="449"/>
      <c r="Y38" s="449"/>
      <c r="Z38" s="449"/>
      <c r="AA38" s="448"/>
      <c r="AB38" s="448" t="s">
        <v>482</v>
      </c>
      <c r="AC38" s="448">
        <v>742000</v>
      </c>
      <c r="AD38" s="419"/>
      <c r="AE38" s="419"/>
      <c r="AF38" s="419"/>
      <c r="AG38" s="419"/>
      <c r="AH38" s="419"/>
      <c r="AI38" s="419"/>
      <c r="AJ38" s="419"/>
      <c r="AK38" s="419"/>
      <c r="AL38" s="419"/>
      <c r="AM38" s="419">
        <v>2000000</v>
      </c>
      <c r="AN38" s="419">
        <f t="shared" si="12"/>
        <v>2000000</v>
      </c>
      <c r="AO38" s="419">
        <f t="shared" si="10"/>
        <v>0</v>
      </c>
      <c r="AP38" s="449">
        <f t="shared" si="13"/>
        <v>2000000</v>
      </c>
      <c r="AQ38" s="419"/>
      <c r="AR38" s="419"/>
      <c r="AS38" s="419"/>
      <c r="AT38" s="419"/>
      <c r="AU38" s="419"/>
      <c r="AV38" s="449">
        <f t="shared" si="14"/>
        <v>2000000</v>
      </c>
      <c r="AW38" s="419"/>
      <c r="AX38" s="419"/>
      <c r="AY38" s="419"/>
      <c r="AZ38" s="419"/>
      <c r="BA38" s="419"/>
    </row>
    <row r="39" spans="1:53" s="452" customFormat="1" ht="30" customHeight="1">
      <c r="A39" s="469">
        <f t="shared" si="11"/>
        <v>34</v>
      </c>
      <c r="B39" s="448">
        <v>2011</v>
      </c>
      <c r="C39" s="455" t="s">
        <v>571</v>
      </c>
      <c r="D39" s="449">
        <v>80000000</v>
      </c>
      <c r="E39" s="449">
        <v>80000000</v>
      </c>
      <c r="F39" s="419">
        <f t="shared" si="0"/>
        <v>0</v>
      </c>
      <c r="G39" s="449">
        <v>22562673</v>
      </c>
      <c r="H39" s="449">
        <v>2947419</v>
      </c>
      <c r="I39" s="449">
        <v>0</v>
      </c>
      <c r="J39" s="449">
        <v>908853</v>
      </c>
      <c r="K39" s="419">
        <f t="shared" si="18"/>
        <v>908853</v>
      </c>
      <c r="L39" s="419">
        <f t="shared" si="19"/>
        <v>3856272</v>
      </c>
      <c r="M39" s="419">
        <f>P39+S39</f>
        <v>26706401</v>
      </c>
      <c r="N39" s="419">
        <f>49437327-9437327-15000000-7000000</f>
        <v>18000000</v>
      </c>
      <c r="O39" s="419">
        <f t="shared" si="4"/>
        <v>31437327</v>
      </c>
      <c r="P39" s="419">
        <f t="shared" si="5"/>
        <v>18706401</v>
      </c>
      <c r="Q39" s="626">
        <v>8000000</v>
      </c>
      <c r="R39" s="419"/>
      <c r="S39" s="419">
        <f t="shared" si="20"/>
        <v>8000000</v>
      </c>
      <c r="T39" s="419">
        <f t="shared" si="7"/>
        <v>0</v>
      </c>
      <c r="U39" s="419">
        <f t="shared" si="8"/>
        <v>18000000</v>
      </c>
      <c r="V39" s="419">
        <f t="shared" ref="V39:V74" si="21">U39-Z39-X39-AA39-W39</f>
        <v>18000000</v>
      </c>
      <c r="W39" s="419"/>
      <c r="X39" s="419"/>
      <c r="Y39" s="419"/>
      <c r="Z39" s="419"/>
      <c r="AA39" s="469"/>
      <c r="AB39" s="448" t="s">
        <v>548</v>
      </c>
      <c r="AC39" s="448">
        <v>742000</v>
      </c>
      <c r="AD39" s="419"/>
      <c r="AE39" s="419"/>
      <c r="AF39" s="419"/>
      <c r="AG39" s="419"/>
      <c r="AH39" s="419">
        <v>2000000</v>
      </c>
      <c r="AI39" s="419"/>
      <c r="AJ39" s="419">
        <v>5000000</v>
      </c>
      <c r="AK39" s="419">
        <v>5000000</v>
      </c>
      <c r="AL39" s="419"/>
      <c r="AM39" s="419">
        <v>6000000</v>
      </c>
      <c r="AN39" s="419">
        <f t="shared" si="12"/>
        <v>18000000</v>
      </c>
      <c r="AO39" s="419">
        <f t="shared" si="10"/>
        <v>0</v>
      </c>
      <c r="AP39" s="449">
        <f t="shared" si="13"/>
        <v>18000000</v>
      </c>
      <c r="AQ39" s="419"/>
      <c r="AR39" s="419"/>
      <c r="AS39" s="419"/>
      <c r="AT39" s="419"/>
      <c r="AU39" s="419"/>
      <c r="AV39" s="449">
        <f t="shared" si="14"/>
        <v>6000000</v>
      </c>
      <c r="AW39" s="419"/>
      <c r="AX39" s="419"/>
      <c r="AY39" s="419"/>
      <c r="AZ39" s="419"/>
      <c r="BA39" s="419"/>
    </row>
    <row r="40" spans="1:53" s="468" customFormat="1" ht="30" customHeight="1">
      <c r="A40" s="469">
        <f t="shared" si="11"/>
        <v>35</v>
      </c>
      <c r="B40" s="469">
        <v>2015</v>
      </c>
      <c r="C40" s="629" t="s">
        <v>572</v>
      </c>
      <c r="D40" s="419">
        <v>54000000</v>
      </c>
      <c r="E40" s="419">
        <v>54000000</v>
      </c>
      <c r="F40" s="419">
        <f t="shared" si="0"/>
        <v>0</v>
      </c>
      <c r="G40" s="419">
        <v>30500000</v>
      </c>
      <c r="H40" s="419">
        <v>8925747</v>
      </c>
      <c r="I40" s="419">
        <v>0</v>
      </c>
      <c r="J40" s="419">
        <v>448630</v>
      </c>
      <c r="K40" s="419">
        <f t="shared" si="18"/>
        <v>448630</v>
      </c>
      <c r="L40" s="419">
        <f t="shared" si="19"/>
        <v>9374377</v>
      </c>
      <c r="M40" s="419">
        <f>P40+S40</f>
        <v>25359654</v>
      </c>
      <c r="N40" s="419">
        <f>13500000-2500000</f>
        <v>11000000</v>
      </c>
      <c r="O40" s="419">
        <f t="shared" si="4"/>
        <v>8265969</v>
      </c>
      <c r="P40" s="419">
        <f t="shared" si="5"/>
        <v>21125623</v>
      </c>
      <c r="Q40" s="626">
        <f>10000000-5765969</f>
        <v>4234031</v>
      </c>
      <c r="R40" s="419"/>
      <c r="S40" s="419">
        <f t="shared" si="20"/>
        <v>4234031</v>
      </c>
      <c r="T40" s="419">
        <f t="shared" si="7"/>
        <v>0</v>
      </c>
      <c r="U40" s="419">
        <f t="shared" si="8"/>
        <v>11000000</v>
      </c>
      <c r="V40" s="419">
        <f t="shared" si="21"/>
        <v>11000000</v>
      </c>
      <c r="W40" s="419"/>
      <c r="X40" s="419"/>
      <c r="Y40" s="419"/>
      <c r="Z40" s="419"/>
      <c r="AA40" s="419"/>
      <c r="AB40" s="469" t="s">
        <v>807</v>
      </c>
      <c r="AC40" s="469">
        <v>810000</v>
      </c>
      <c r="AD40" s="419"/>
      <c r="AE40" s="419"/>
      <c r="AF40" s="419"/>
      <c r="AG40" s="419"/>
      <c r="AH40" s="419"/>
      <c r="AI40" s="419">
        <v>5000000</v>
      </c>
      <c r="AJ40" s="419">
        <v>1500000</v>
      </c>
      <c r="AK40" s="419">
        <v>2500000</v>
      </c>
      <c r="AL40" s="419"/>
      <c r="AM40" s="419">
        <v>2000000</v>
      </c>
      <c r="AN40" s="419">
        <f t="shared" si="12"/>
        <v>11000000</v>
      </c>
      <c r="AO40" s="419">
        <f t="shared" si="10"/>
        <v>0</v>
      </c>
      <c r="AP40" s="449">
        <f t="shared" si="13"/>
        <v>11000000</v>
      </c>
      <c r="AQ40" s="419"/>
      <c r="AR40" s="419"/>
      <c r="AS40" s="419"/>
      <c r="AT40" s="419"/>
      <c r="AU40" s="419"/>
      <c r="AV40" s="449">
        <f t="shared" si="14"/>
        <v>2000000</v>
      </c>
      <c r="AW40" s="419"/>
      <c r="AX40" s="419"/>
      <c r="AY40" s="419"/>
      <c r="AZ40" s="419"/>
      <c r="BA40" s="419"/>
    </row>
    <row r="41" spans="1:53" ht="30" customHeight="1">
      <c r="A41" s="469">
        <f t="shared" si="11"/>
        <v>36</v>
      </c>
      <c r="B41" s="469">
        <v>2017</v>
      </c>
      <c r="C41" s="536" t="s">
        <v>573</v>
      </c>
      <c r="D41" s="419">
        <v>37100000</v>
      </c>
      <c r="E41" s="419">
        <v>37100000</v>
      </c>
      <c r="F41" s="419">
        <f t="shared" si="0"/>
        <v>0</v>
      </c>
      <c r="G41" s="419">
        <v>5500000</v>
      </c>
      <c r="H41" s="419">
        <v>3211393</v>
      </c>
      <c r="I41" s="419">
        <v>0</v>
      </c>
      <c r="J41" s="419">
        <v>453666</v>
      </c>
      <c r="K41" s="419">
        <f t="shared" si="18"/>
        <v>453666</v>
      </c>
      <c r="L41" s="419">
        <f t="shared" si="19"/>
        <v>3665059</v>
      </c>
      <c r="M41" s="419">
        <f>P41+S41</f>
        <v>6334941</v>
      </c>
      <c r="N41" s="419">
        <f>27100000-10000000</f>
        <v>17100000</v>
      </c>
      <c r="O41" s="419">
        <f t="shared" si="4"/>
        <v>10000000</v>
      </c>
      <c r="P41" s="419">
        <f t="shared" si="5"/>
        <v>1834941</v>
      </c>
      <c r="Q41" s="626">
        <f>7000000-2500000</f>
        <v>4500000</v>
      </c>
      <c r="R41" s="419"/>
      <c r="S41" s="419">
        <f t="shared" si="20"/>
        <v>4500000</v>
      </c>
      <c r="T41" s="419">
        <f t="shared" si="7"/>
        <v>0</v>
      </c>
      <c r="U41" s="419">
        <f t="shared" si="8"/>
        <v>17100000</v>
      </c>
      <c r="V41" s="419">
        <f t="shared" si="21"/>
        <v>17100000</v>
      </c>
      <c r="W41" s="419"/>
      <c r="X41" s="419"/>
      <c r="Y41" s="419"/>
      <c r="Z41" s="419"/>
      <c r="AA41" s="469"/>
      <c r="AB41" s="469" t="s">
        <v>469</v>
      </c>
      <c r="AC41" s="469">
        <v>824000</v>
      </c>
      <c r="AD41" s="419"/>
      <c r="AE41" s="419"/>
      <c r="AF41" s="419"/>
      <c r="AG41" s="419">
        <v>4000000</v>
      </c>
      <c r="AH41" s="419">
        <v>3100000</v>
      </c>
      <c r="AI41" s="419"/>
      <c r="AJ41" s="419">
        <v>3000000</v>
      </c>
      <c r="AK41" s="419">
        <v>3000000</v>
      </c>
      <c r="AL41" s="419"/>
      <c r="AM41" s="419">
        <v>4000000</v>
      </c>
      <c r="AN41" s="419">
        <f t="shared" si="12"/>
        <v>17100000</v>
      </c>
      <c r="AO41" s="419">
        <f t="shared" si="10"/>
        <v>0</v>
      </c>
      <c r="AP41" s="449">
        <f t="shared" si="13"/>
        <v>17100000</v>
      </c>
      <c r="AQ41" s="419"/>
      <c r="AR41" s="419"/>
      <c r="AS41" s="419"/>
      <c r="AT41" s="419"/>
      <c r="AU41" s="419"/>
      <c r="AV41" s="449">
        <f t="shared" si="14"/>
        <v>4000000</v>
      </c>
      <c r="AW41" s="419"/>
      <c r="AX41" s="419"/>
      <c r="AY41" s="419"/>
      <c r="AZ41" s="419"/>
      <c r="BA41" s="419"/>
    </row>
    <row r="42" spans="1:53" ht="30" customHeight="1">
      <c r="A42" s="469">
        <f t="shared" si="11"/>
        <v>37</v>
      </c>
      <c r="B42" s="469">
        <v>2018</v>
      </c>
      <c r="C42" s="469" t="s">
        <v>259</v>
      </c>
      <c r="D42" s="419">
        <f>6600000-3000000</f>
        <v>3600000</v>
      </c>
      <c r="E42" s="419">
        <v>6600000</v>
      </c>
      <c r="F42" s="419">
        <f t="shared" si="0"/>
        <v>-3000000</v>
      </c>
      <c r="G42" s="419">
        <v>6600000</v>
      </c>
      <c r="H42" s="419">
        <v>2969399</v>
      </c>
      <c r="I42" s="419">
        <v>0</v>
      </c>
      <c r="J42" s="419">
        <v>167410</v>
      </c>
      <c r="K42" s="419">
        <f t="shared" si="18"/>
        <v>167410</v>
      </c>
      <c r="L42" s="419">
        <f t="shared" si="19"/>
        <v>3136809</v>
      </c>
      <c r="M42" s="419">
        <f>P42+S42-3000000</f>
        <v>463191</v>
      </c>
      <c r="N42" s="419"/>
      <c r="O42" s="419">
        <f t="shared" si="4"/>
        <v>0</v>
      </c>
      <c r="P42" s="419">
        <f t="shared" si="5"/>
        <v>3463191</v>
      </c>
      <c r="Q42" s="419"/>
      <c r="R42" s="419"/>
      <c r="S42" s="419">
        <f t="shared" si="20"/>
        <v>0</v>
      </c>
      <c r="T42" s="419">
        <f t="shared" si="7"/>
        <v>3000000</v>
      </c>
      <c r="U42" s="419">
        <f t="shared" si="8"/>
        <v>-3000000</v>
      </c>
      <c r="V42" s="419">
        <f t="shared" si="21"/>
        <v>-3000000</v>
      </c>
      <c r="W42" s="419"/>
      <c r="X42" s="419"/>
      <c r="Y42" s="419"/>
      <c r="Z42" s="419"/>
      <c r="AA42" s="469"/>
      <c r="AB42" s="536" t="s">
        <v>411</v>
      </c>
      <c r="AC42" s="469">
        <v>742000</v>
      </c>
      <c r="AD42" s="419"/>
      <c r="AE42" s="419"/>
      <c r="AF42" s="419"/>
      <c r="AG42" s="419"/>
      <c r="AH42" s="419"/>
      <c r="AI42" s="419">
        <v>-3000000</v>
      </c>
      <c r="AJ42" s="419"/>
      <c r="AK42" s="419"/>
      <c r="AL42" s="419"/>
      <c r="AM42" s="419"/>
      <c r="AN42" s="419">
        <f t="shared" si="12"/>
        <v>-3000000</v>
      </c>
      <c r="AO42" s="419">
        <f t="shared" si="10"/>
        <v>0</v>
      </c>
      <c r="AP42" s="449">
        <f t="shared" si="13"/>
        <v>-3000000</v>
      </c>
      <c r="AQ42" s="419"/>
      <c r="AR42" s="419"/>
      <c r="AS42" s="419"/>
      <c r="AT42" s="419"/>
      <c r="AU42" s="419"/>
      <c r="AV42" s="449">
        <f t="shared" si="14"/>
        <v>0</v>
      </c>
      <c r="AW42" s="419"/>
      <c r="AX42" s="419"/>
      <c r="AY42" s="419"/>
      <c r="AZ42" s="419"/>
      <c r="BA42" s="419"/>
    </row>
    <row r="43" spans="1:53" s="548" customFormat="1" ht="30" customHeight="1">
      <c r="A43" s="469">
        <f t="shared" si="11"/>
        <v>38</v>
      </c>
      <c r="B43" s="469">
        <v>2022</v>
      </c>
      <c r="C43" s="469" t="s">
        <v>574</v>
      </c>
      <c r="D43" s="419">
        <v>14000000</v>
      </c>
      <c r="E43" s="419">
        <v>14000000</v>
      </c>
      <c r="F43" s="419">
        <f t="shared" si="0"/>
        <v>0</v>
      </c>
      <c r="G43" s="419">
        <v>14000000</v>
      </c>
      <c r="H43" s="419">
        <v>9150426</v>
      </c>
      <c r="I43" s="419">
        <v>0</v>
      </c>
      <c r="J43" s="419">
        <v>278775</v>
      </c>
      <c r="K43" s="419">
        <f t="shared" si="18"/>
        <v>278775</v>
      </c>
      <c r="L43" s="419">
        <f t="shared" si="19"/>
        <v>9429201</v>
      </c>
      <c r="M43" s="419">
        <f t="shared" ref="M43:M56" si="22">P43+S43</f>
        <v>4570799</v>
      </c>
      <c r="N43" s="419"/>
      <c r="O43" s="419">
        <f t="shared" si="4"/>
        <v>0</v>
      </c>
      <c r="P43" s="419">
        <f t="shared" si="5"/>
        <v>4570799</v>
      </c>
      <c r="Q43" s="419"/>
      <c r="R43" s="419"/>
      <c r="S43" s="419">
        <f t="shared" si="20"/>
        <v>0</v>
      </c>
      <c r="T43" s="419">
        <f t="shared" si="7"/>
        <v>0</v>
      </c>
      <c r="U43" s="419">
        <f t="shared" si="8"/>
        <v>0</v>
      </c>
      <c r="V43" s="419">
        <f t="shared" si="21"/>
        <v>0</v>
      </c>
      <c r="W43" s="419"/>
      <c r="X43" s="419"/>
      <c r="Y43" s="419"/>
      <c r="Z43" s="419"/>
      <c r="AA43" s="469"/>
      <c r="AB43" s="469" t="s">
        <v>470</v>
      </c>
      <c r="AC43" s="469">
        <v>829000</v>
      </c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>
        <f t="shared" si="12"/>
        <v>0</v>
      </c>
      <c r="AO43" s="419">
        <f t="shared" si="10"/>
        <v>0</v>
      </c>
      <c r="AP43" s="449">
        <f t="shared" si="13"/>
        <v>0</v>
      </c>
      <c r="AQ43" s="419"/>
      <c r="AR43" s="419"/>
      <c r="AS43" s="419"/>
      <c r="AT43" s="419"/>
      <c r="AU43" s="419"/>
      <c r="AV43" s="449">
        <f t="shared" si="14"/>
        <v>0</v>
      </c>
      <c r="AW43" s="419"/>
      <c r="AX43" s="419"/>
      <c r="AY43" s="419"/>
      <c r="AZ43" s="419"/>
      <c r="BA43" s="419"/>
    </row>
    <row r="44" spans="1:53" s="548" customFormat="1" ht="30" customHeight="1">
      <c r="A44" s="469">
        <f t="shared" si="11"/>
        <v>39</v>
      </c>
      <c r="B44" s="469">
        <v>2023</v>
      </c>
      <c r="C44" s="469" t="s">
        <v>735</v>
      </c>
      <c r="D44" s="419">
        <v>7340000</v>
      </c>
      <c r="E44" s="419">
        <v>7340000</v>
      </c>
      <c r="F44" s="419">
        <f t="shared" si="0"/>
        <v>0</v>
      </c>
      <c r="G44" s="419">
        <v>230000</v>
      </c>
      <c r="H44" s="419">
        <v>228151</v>
      </c>
      <c r="I44" s="419">
        <v>0</v>
      </c>
      <c r="J44" s="419">
        <v>0</v>
      </c>
      <c r="K44" s="419">
        <f t="shared" si="18"/>
        <v>0</v>
      </c>
      <c r="L44" s="419">
        <f t="shared" si="19"/>
        <v>228151</v>
      </c>
      <c r="M44" s="419">
        <f t="shared" si="22"/>
        <v>1849</v>
      </c>
      <c r="N44" s="419">
        <f>7110000-7110000</f>
        <v>0</v>
      </c>
      <c r="O44" s="419">
        <f t="shared" si="4"/>
        <v>7110000</v>
      </c>
      <c r="P44" s="419">
        <f t="shared" si="5"/>
        <v>1849</v>
      </c>
      <c r="Q44" s="419"/>
      <c r="R44" s="419"/>
      <c r="S44" s="419">
        <f t="shared" si="20"/>
        <v>0</v>
      </c>
      <c r="T44" s="419">
        <f t="shared" si="7"/>
        <v>0</v>
      </c>
      <c r="U44" s="419">
        <f t="shared" si="8"/>
        <v>0</v>
      </c>
      <c r="V44" s="419">
        <f t="shared" si="21"/>
        <v>0</v>
      </c>
      <c r="W44" s="419"/>
      <c r="X44" s="419"/>
      <c r="Y44" s="419"/>
      <c r="Z44" s="419"/>
      <c r="AA44" s="419">
        <f>2288415-2288415</f>
        <v>0</v>
      </c>
      <c r="AB44" s="469" t="s">
        <v>627</v>
      </c>
      <c r="AC44" s="469">
        <v>810000</v>
      </c>
      <c r="AD44" s="419"/>
      <c r="AE44" s="419"/>
      <c r="AF44" s="419"/>
      <c r="AG44" s="419"/>
      <c r="AH44" s="419"/>
      <c r="AI44" s="419"/>
      <c r="AJ44" s="419"/>
      <c r="AK44" s="419"/>
      <c r="AL44" s="419"/>
      <c r="AM44" s="419"/>
      <c r="AN44" s="419">
        <f t="shared" si="12"/>
        <v>0</v>
      </c>
      <c r="AO44" s="419">
        <f t="shared" si="10"/>
        <v>0</v>
      </c>
      <c r="AP44" s="449">
        <f t="shared" si="13"/>
        <v>0</v>
      </c>
      <c r="AQ44" s="419"/>
      <c r="AR44" s="419"/>
      <c r="AS44" s="419"/>
      <c r="AT44" s="419"/>
      <c r="AU44" s="419"/>
      <c r="AV44" s="449">
        <f t="shared" si="14"/>
        <v>0</v>
      </c>
      <c r="AW44" s="419"/>
      <c r="AX44" s="419"/>
      <c r="AY44" s="419"/>
      <c r="AZ44" s="419"/>
      <c r="BA44" s="419"/>
    </row>
    <row r="45" spans="1:53" s="548" customFormat="1" ht="30" customHeight="1">
      <c r="A45" s="469">
        <f t="shared" si="11"/>
        <v>40</v>
      </c>
      <c r="B45" s="469">
        <v>2024</v>
      </c>
      <c r="C45" s="469" t="s">
        <v>260</v>
      </c>
      <c r="D45" s="419">
        <v>16300000</v>
      </c>
      <c r="E45" s="419">
        <v>16300000</v>
      </c>
      <c r="F45" s="419">
        <f t="shared" si="0"/>
        <v>0</v>
      </c>
      <c r="G45" s="419">
        <v>16300000</v>
      </c>
      <c r="H45" s="419">
        <v>7471750</v>
      </c>
      <c r="I45" s="419">
        <v>0</v>
      </c>
      <c r="J45" s="419">
        <v>386721</v>
      </c>
      <c r="K45" s="419">
        <f t="shared" si="18"/>
        <v>386721</v>
      </c>
      <c r="L45" s="419">
        <f t="shared" si="19"/>
        <v>7858471</v>
      </c>
      <c r="M45" s="419">
        <f t="shared" si="22"/>
        <v>8441529</v>
      </c>
      <c r="N45" s="419"/>
      <c r="O45" s="419">
        <f t="shared" si="4"/>
        <v>0</v>
      </c>
      <c r="P45" s="419">
        <f t="shared" si="5"/>
        <v>8441529</v>
      </c>
      <c r="Q45" s="419"/>
      <c r="R45" s="419"/>
      <c r="S45" s="419">
        <f t="shared" si="20"/>
        <v>0</v>
      </c>
      <c r="T45" s="419">
        <f t="shared" si="7"/>
        <v>0</v>
      </c>
      <c r="U45" s="419">
        <f t="shared" si="8"/>
        <v>0</v>
      </c>
      <c r="V45" s="419">
        <f t="shared" si="21"/>
        <v>0</v>
      </c>
      <c r="W45" s="419"/>
      <c r="X45" s="419"/>
      <c r="Y45" s="419"/>
      <c r="Z45" s="419"/>
      <c r="AA45" s="419"/>
      <c r="AB45" s="469" t="s">
        <v>1052</v>
      </c>
      <c r="AC45" s="469">
        <v>810000</v>
      </c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>
        <f t="shared" si="12"/>
        <v>0</v>
      </c>
      <c r="AO45" s="419">
        <f t="shared" si="10"/>
        <v>0</v>
      </c>
      <c r="AP45" s="449">
        <f t="shared" si="13"/>
        <v>0</v>
      </c>
      <c r="AQ45" s="419"/>
      <c r="AR45" s="419"/>
      <c r="AS45" s="419"/>
      <c r="AT45" s="419"/>
      <c r="AU45" s="419"/>
      <c r="AV45" s="449">
        <f t="shared" si="14"/>
        <v>0</v>
      </c>
      <c r="AW45" s="419"/>
      <c r="AX45" s="419"/>
      <c r="AY45" s="419"/>
      <c r="AZ45" s="419"/>
      <c r="BA45" s="419"/>
    </row>
    <row r="46" spans="1:53" ht="30" customHeight="1">
      <c r="A46" s="469">
        <f t="shared" si="11"/>
        <v>41</v>
      </c>
      <c r="B46" s="552">
        <v>2064</v>
      </c>
      <c r="C46" s="469" t="s">
        <v>213</v>
      </c>
      <c r="D46" s="419">
        <f>6281000-3997295</f>
        <v>2283705</v>
      </c>
      <c r="E46" s="419">
        <v>6281000</v>
      </c>
      <c r="F46" s="419">
        <f t="shared" si="0"/>
        <v>-3997295</v>
      </c>
      <c r="G46" s="419">
        <v>2283705</v>
      </c>
      <c r="H46" s="419">
        <v>873639</v>
      </c>
      <c r="I46" s="419">
        <v>0</v>
      </c>
      <c r="J46" s="419">
        <v>84085</v>
      </c>
      <c r="K46" s="419">
        <f t="shared" si="18"/>
        <v>84085</v>
      </c>
      <c r="L46" s="419">
        <f t="shared" si="19"/>
        <v>957724</v>
      </c>
      <c r="M46" s="419">
        <f t="shared" si="22"/>
        <v>1325981</v>
      </c>
      <c r="N46" s="419"/>
      <c r="O46" s="419">
        <f t="shared" si="4"/>
        <v>0</v>
      </c>
      <c r="P46" s="419">
        <f t="shared" si="5"/>
        <v>1325981</v>
      </c>
      <c r="Q46" s="419"/>
      <c r="R46" s="419"/>
      <c r="S46" s="419">
        <f t="shared" si="20"/>
        <v>0</v>
      </c>
      <c r="T46" s="419">
        <f t="shared" si="7"/>
        <v>0</v>
      </c>
      <c r="U46" s="419">
        <f t="shared" si="8"/>
        <v>0</v>
      </c>
      <c r="V46" s="419">
        <f t="shared" si="21"/>
        <v>0</v>
      </c>
      <c r="W46" s="419"/>
      <c r="X46" s="419"/>
      <c r="Y46" s="419"/>
      <c r="Z46" s="419"/>
      <c r="AA46" s="469"/>
      <c r="AB46" s="469" t="s">
        <v>327</v>
      </c>
      <c r="AC46" s="469">
        <v>829000</v>
      </c>
      <c r="AD46" s="419"/>
      <c r="AE46" s="419"/>
      <c r="AF46" s="419"/>
      <c r="AG46" s="419"/>
      <c r="AH46" s="419"/>
      <c r="AI46" s="419"/>
      <c r="AJ46" s="419"/>
      <c r="AK46" s="419"/>
      <c r="AL46" s="419"/>
      <c r="AM46" s="419"/>
      <c r="AN46" s="419">
        <f t="shared" si="12"/>
        <v>0</v>
      </c>
      <c r="AO46" s="419">
        <f t="shared" si="10"/>
        <v>0</v>
      </c>
      <c r="AP46" s="449">
        <f t="shared" si="13"/>
        <v>0</v>
      </c>
      <c r="AQ46" s="419"/>
      <c r="AR46" s="419"/>
      <c r="AS46" s="419"/>
      <c r="AT46" s="419"/>
      <c r="AU46" s="419"/>
      <c r="AV46" s="449">
        <f t="shared" si="14"/>
        <v>0</v>
      </c>
      <c r="AW46" s="419"/>
      <c r="AX46" s="419"/>
      <c r="AY46" s="419"/>
      <c r="AZ46" s="419"/>
      <c r="BA46" s="419"/>
    </row>
    <row r="47" spans="1:53" ht="30" customHeight="1">
      <c r="A47" s="469">
        <f t="shared" si="11"/>
        <v>42</v>
      </c>
      <c r="B47" s="552">
        <v>2073</v>
      </c>
      <c r="C47" s="536" t="s">
        <v>575</v>
      </c>
      <c r="D47" s="419">
        <v>11350000</v>
      </c>
      <c r="E47" s="419">
        <v>11350000</v>
      </c>
      <c r="F47" s="419">
        <f t="shared" si="0"/>
        <v>0</v>
      </c>
      <c r="G47" s="419">
        <v>1600000</v>
      </c>
      <c r="H47" s="419">
        <v>60797</v>
      </c>
      <c r="I47" s="419">
        <v>0</v>
      </c>
      <c r="J47" s="419">
        <v>124020</v>
      </c>
      <c r="K47" s="419">
        <f t="shared" si="18"/>
        <v>124020</v>
      </c>
      <c r="L47" s="419">
        <f t="shared" si="19"/>
        <v>184817</v>
      </c>
      <c r="M47" s="419">
        <f t="shared" si="22"/>
        <v>1415183</v>
      </c>
      <c r="N47" s="419"/>
      <c r="O47" s="419">
        <f t="shared" si="4"/>
        <v>9750000</v>
      </c>
      <c r="P47" s="419">
        <f t="shared" si="5"/>
        <v>1415183</v>
      </c>
      <c r="Q47" s="419"/>
      <c r="R47" s="419"/>
      <c r="S47" s="419">
        <f t="shared" si="20"/>
        <v>0</v>
      </c>
      <c r="T47" s="419">
        <f t="shared" si="7"/>
        <v>0</v>
      </c>
      <c r="U47" s="419">
        <f t="shared" si="8"/>
        <v>0</v>
      </c>
      <c r="V47" s="419">
        <f t="shared" si="21"/>
        <v>0</v>
      </c>
      <c r="W47" s="419"/>
      <c r="X47" s="419"/>
      <c r="Y47" s="419"/>
      <c r="Z47" s="419"/>
      <c r="AA47" s="469"/>
      <c r="AB47" s="469" t="s">
        <v>884</v>
      </c>
      <c r="AC47" s="469">
        <v>829000</v>
      </c>
      <c r="AD47" s="419"/>
      <c r="AE47" s="419"/>
      <c r="AF47" s="419"/>
      <c r="AG47" s="419"/>
      <c r="AH47" s="419"/>
      <c r="AI47" s="419"/>
      <c r="AJ47" s="419"/>
      <c r="AK47" s="419"/>
      <c r="AL47" s="419"/>
      <c r="AM47" s="419"/>
      <c r="AN47" s="419">
        <f t="shared" si="12"/>
        <v>0</v>
      </c>
      <c r="AO47" s="419">
        <f t="shared" si="10"/>
        <v>0</v>
      </c>
      <c r="AP47" s="449">
        <f t="shared" si="13"/>
        <v>0</v>
      </c>
      <c r="AQ47" s="419"/>
      <c r="AR47" s="419"/>
      <c r="AS47" s="419"/>
      <c r="AT47" s="419"/>
      <c r="AU47" s="419"/>
      <c r="AV47" s="449">
        <f t="shared" si="14"/>
        <v>0</v>
      </c>
      <c r="AW47" s="419"/>
      <c r="AX47" s="419"/>
      <c r="AY47" s="419"/>
      <c r="AZ47" s="419"/>
      <c r="BA47" s="419"/>
    </row>
    <row r="48" spans="1:53" ht="30" customHeight="1">
      <c r="A48" s="469">
        <f t="shared" si="11"/>
        <v>43</v>
      </c>
      <c r="B48" s="552">
        <v>2076</v>
      </c>
      <c r="C48" s="469" t="s">
        <v>261</v>
      </c>
      <c r="D48" s="419">
        <v>2350000</v>
      </c>
      <c r="E48" s="419">
        <v>2350000</v>
      </c>
      <c r="F48" s="419">
        <f t="shared" si="0"/>
        <v>0</v>
      </c>
      <c r="G48" s="419">
        <v>1450000</v>
      </c>
      <c r="H48" s="419">
        <v>52664</v>
      </c>
      <c r="I48" s="419">
        <v>0</v>
      </c>
      <c r="J48" s="419">
        <v>107004</v>
      </c>
      <c r="K48" s="419">
        <f t="shared" si="18"/>
        <v>107004</v>
      </c>
      <c r="L48" s="419">
        <f t="shared" si="19"/>
        <v>159668</v>
      </c>
      <c r="M48" s="419">
        <f t="shared" si="22"/>
        <v>1290332</v>
      </c>
      <c r="N48" s="419">
        <v>900000</v>
      </c>
      <c r="O48" s="419">
        <f t="shared" si="4"/>
        <v>0</v>
      </c>
      <c r="P48" s="419">
        <f t="shared" si="5"/>
        <v>1290332</v>
      </c>
      <c r="Q48" s="419"/>
      <c r="R48" s="419"/>
      <c r="S48" s="419">
        <f t="shared" si="20"/>
        <v>0</v>
      </c>
      <c r="T48" s="419">
        <f t="shared" si="7"/>
        <v>0</v>
      </c>
      <c r="U48" s="419">
        <f t="shared" si="8"/>
        <v>900000</v>
      </c>
      <c r="V48" s="419">
        <f t="shared" si="21"/>
        <v>900000</v>
      </c>
      <c r="W48" s="419"/>
      <c r="X48" s="419"/>
      <c r="Y48" s="419"/>
      <c r="Z48" s="419"/>
      <c r="AA48" s="469"/>
      <c r="AB48" s="469" t="s">
        <v>294</v>
      </c>
      <c r="AC48" s="469">
        <v>850000</v>
      </c>
      <c r="AD48" s="419"/>
      <c r="AE48" s="419"/>
      <c r="AF48" s="419"/>
      <c r="AG48" s="419"/>
      <c r="AH48" s="419"/>
      <c r="AI48" s="419"/>
      <c r="AJ48" s="419"/>
      <c r="AK48" s="419"/>
      <c r="AL48" s="419"/>
      <c r="AM48" s="419">
        <v>900000</v>
      </c>
      <c r="AN48" s="419">
        <f t="shared" si="12"/>
        <v>900000</v>
      </c>
      <c r="AO48" s="419">
        <f t="shared" si="10"/>
        <v>0</v>
      </c>
      <c r="AP48" s="449">
        <f t="shared" si="13"/>
        <v>900000</v>
      </c>
      <c r="AQ48" s="419"/>
      <c r="AR48" s="419"/>
      <c r="AS48" s="419"/>
      <c r="AT48" s="419"/>
      <c r="AU48" s="419"/>
      <c r="AV48" s="449">
        <f t="shared" si="14"/>
        <v>900000</v>
      </c>
      <c r="AW48" s="419"/>
      <c r="AX48" s="419"/>
      <c r="AY48" s="419"/>
      <c r="AZ48" s="419"/>
      <c r="BA48" s="419"/>
    </row>
    <row r="49" spans="1:53" s="452" customFormat="1" ht="30" customHeight="1">
      <c r="A49" s="469">
        <f t="shared" si="11"/>
        <v>44</v>
      </c>
      <c r="B49" s="448">
        <v>2078</v>
      </c>
      <c r="C49" s="448" t="s">
        <v>247</v>
      </c>
      <c r="D49" s="449">
        <f>4200000-1740000</f>
        <v>2460000</v>
      </c>
      <c r="E49" s="449">
        <v>4200000</v>
      </c>
      <c r="F49" s="419">
        <f t="shared" si="0"/>
        <v>-1740000</v>
      </c>
      <c r="G49" s="449">
        <v>1960000</v>
      </c>
      <c r="H49" s="449">
        <v>184645</v>
      </c>
      <c r="I49" s="449">
        <v>0</v>
      </c>
      <c r="J49" s="449">
        <v>103805</v>
      </c>
      <c r="K49" s="419">
        <f t="shared" si="18"/>
        <v>103805</v>
      </c>
      <c r="L49" s="419">
        <f t="shared" si="19"/>
        <v>288450</v>
      </c>
      <c r="M49" s="419">
        <f t="shared" si="22"/>
        <v>1671550</v>
      </c>
      <c r="N49" s="419">
        <v>500000</v>
      </c>
      <c r="O49" s="419">
        <f t="shared" si="4"/>
        <v>0</v>
      </c>
      <c r="P49" s="419">
        <f t="shared" si="5"/>
        <v>1671550</v>
      </c>
      <c r="Q49" s="419"/>
      <c r="R49" s="419"/>
      <c r="S49" s="419">
        <f t="shared" si="20"/>
        <v>0</v>
      </c>
      <c r="T49" s="419">
        <f t="shared" si="7"/>
        <v>0</v>
      </c>
      <c r="U49" s="419">
        <f t="shared" si="8"/>
        <v>500000</v>
      </c>
      <c r="V49" s="419">
        <f t="shared" si="21"/>
        <v>500000</v>
      </c>
      <c r="W49" s="419"/>
      <c r="X49" s="419"/>
      <c r="Y49" s="419"/>
      <c r="Z49" s="419"/>
      <c r="AA49" s="469"/>
      <c r="AB49" s="448" t="s">
        <v>325</v>
      </c>
      <c r="AC49" s="448">
        <v>742000</v>
      </c>
      <c r="AD49" s="419"/>
      <c r="AE49" s="419"/>
      <c r="AF49" s="419"/>
      <c r="AG49" s="419"/>
      <c r="AH49" s="419"/>
      <c r="AI49" s="419"/>
      <c r="AJ49" s="419"/>
      <c r="AK49" s="419"/>
      <c r="AL49" s="419"/>
      <c r="AM49" s="419">
        <v>500000</v>
      </c>
      <c r="AN49" s="419">
        <f t="shared" si="12"/>
        <v>500000</v>
      </c>
      <c r="AO49" s="419">
        <f t="shared" si="10"/>
        <v>0</v>
      </c>
      <c r="AP49" s="449">
        <f t="shared" si="13"/>
        <v>500000</v>
      </c>
      <c r="AQ49" s="419"/>
      <c r="AR49" s="419"/>
      <c r="AS49" s="419"/>
      <c r="AT49" s="419"/>
      <c r="AU49" s="419"/>
      <c r="AV49" s="449">
        <f t="shared" si="14"/>
        <v>500000</v>
      </c>
      <c r="AW49" s="419"/>
      <c r="AX49" s="419"/>
      <c r="AY49" s="419"/>
      <c r="AZ49" s="419"/>
      <c r="BA49" s="419"/>
    </row>
    <row r="50" spans="1:53" ht="30" customHeight="1">
      <c r="A50" s="469">
        <f t="shared" si="11"/>
        <v>45</v>
      </c>
      <c r="B50" s="455">
        <v>2079</v>
      </c>
      <c r="C50" s="469" t="s">
        <v>1053</v>
      </c>
      <c r="D50" s="419">
        <v>3100000</v>
      </c>
      <c r="E50" s="419">
        <v>3100000</v>
      </c>
      <c r="F50" s="419">
        <f t="shared" si="0"/>
        <v>0</v>
      </c>
      <c r="G50" s="419">
        <v>3100000</v>
      </c>
      <c r="H50" s="419">
        <v>3060457</v>
      </c>
      <c r="I50" s="419">
        <v>0</v>
      </c>
      <c r="J50" s="419">
        <v>25792</v>
      </c>
      <c r="K50" s="419">
        <f t="shared" si="18"/>
        <v>25792</v>
      </c>
      <c r="L50" s="419">
        <f t="shared" si="19"/>
        <v>3086249</v>
      </c>
      <c r="M50" s="419">
        <f t="shared" si="22"/>
        <v>13751</v>
      </c>
      <c r="N50" s="419"/>
      <c r="O50" s="419">
        <f t="shared" si="4"/>
        <v>0</v>
      </c>
      <c r="P50" s="419">
        <f t="shared" si="5"/>
        <v>13751</v>
      </c>
      <c r="Q50" s="419"/>
      <c r="R50" s="419"/>
      <c r="S50" s="419">
        <f t="shared" si="20"/>
        <v>0</v>
      </c>
      <c r="T50" s="419">
        <f t="shared" si="7"/>
        <v>0</v>
      </c>
      <c r="U50" s="419">
        <f t="shared" si="8"/>
        <v>0</v>
      </c>
      <c r="V50" s="419">
        <f t="shared" si="21"/>
        <v>0</v>
      </c>
      <c r="W50" s="419"/>
      <c r="X50" s="419"/>
      <c r="Y50" s="419"/>
      <c r="Z50" s="419"/>
      <c r="AA50" s="469"/>
      <c r="AB50" s="483" t="s">
        <v>1054</v>
      </c>
      <c r="AC50" s="469">
        <v>840000</v>
      </c>
      <c r="AD50" s="419"/>
      <c r="AE50" s="419"/>
      <c r="AF50" s="419"/>
      <c r="AG50" s="419"/>
      <c r="AH50" s="419"/>
      <c r="AI50" s="419"/>
      <c r="AJ50" s="419"/>
      <c r="AK50" s="419"/>
      <c r="AL50" s="419"/>
      <c r="AM50" s="419"/>
      <c r="AN50" s="419">
        <f t="shared" si="12"/>
        <v>0</v>
      </c>
      <c r="AO50" s="419">
        <f t="shared" si="10"/>
        <v>0</v>
      </c>
      <c r="AP50" s="449">
        <f t="shared" si="13"/>
        <v>0</v>
      </c>
      <c r="AQ50" s="419"/>
      <c r="AR50" s="419"/>
      <c r="AS50" s="419"/>
      <c r="AT50" s="419"/>
      <c r="AU50" s="419"/>
      <c r="AV50" s="449">
        <f t="shared" si="14"/>
        <v>0</v>
      </c>
      <c r="AW50" s="419"/>
      <c r="AX50" s="419"/>
      <c r="AY50" s="419"/>
      <c r="AZ50" s="419"/>
      <c r="BA50" s="419"/>
    </row>
    <row r="51" spans="1:53" ht="30" customHeight="1">
      <c r="A51" s="469">
        <f t="shared" si="11"/>
        <v>46</v>
      </c>
      <c r="B51" s="455">
        <v>2097</v>
      </c>
      <c r="C51" s="469" t="s">
        <v>262</v>
      </c>
      <c r="D51" s="419">
        <v>79000000</v>
      </c>
      <c r="E51" s="419">
        <v>79000000</v>
      </c>
      <c r="F51" s="419">
        <f t="shared" si="0"/>
        <v>0</v>
      </c>
      <c r="G51" s="419">
        <v>24119617</v>
      </c>
      <c r="H51" s="419">
        <v>2556093</v>
      </c>
      <c r="I51" s="419">
        <v>0</v>
      </c>
      <c r="J51" s="419">
        <v>2102476</v>
      </c>
      <c r="K51" s="419">
        <f t="shared" si="18"/>
        <v>2102476</v>
      </c>
      <c r="L51" s="419">
        <f t="shared" si="19"/>
        <v>4658569</v>
      </c>
      <c r="M51" s="419">
        <f t="shared" si="22"/>
        <v>19461048</v>
      </c>
      <c r="N51" s="419">
        <f>27500000-7500000-3000000</f>
        <v>17000000</v>
      </c>
      <c r="O51" s="419">
        <f t="shared" si="4"/>
        <v>37880383</v>
      </c>
      <c r="P51" s="419">
        <f t="shared" si="5"/>
        <v>19461048</v>
      </c>
      <c r="Q51" s="419"/>
      <c r="R51" s="419"/>
      <c r="S51" s="419">
        <f t="shared" si="20"/>
        <v>0</v>
      </c>
      <c r="T51" s="419">
        <f t="shared" si="7"/>
        <v>0</v>
      </c>
      <c r="U51" s="419">
        <f t="shared" si="8"/>
        <v>17000000</v>
      </c>
      <c r="V51" s="419">
        <f t="shared" si="21"/>
        <v>14147298</v>
      </c>
      <c r="W51" s="419"/>
      <c r="X51" s="419"/>
      <c r="Y51" s="419"/>
      <c r="Z51" s="419"/>
      <c r="AA51" s="419">
        <v>2852702</v>
      </c>
      <c r="AB51" s="536" t="s">
        <v>798</v>
      </c>
      <c r="AC51" s="469">
        <v>810000</v>
      </c>
      <c r="AD51" s="419"/>
      <c r="AE51" s="419"/>
      <c r="AF51" s="419"/>
      <c r="AG51" s="419"/>
      <c r="AH51" s="419"/>
      <c r="AI51" s="419"/>
      <c r="AJ51" s="419">
        <v>2500000</v>
      </c>
      <c r="AK51" s="419">
        <v>2852702</v>
      </c>
      <c r="AL51" s="419"/>
      <c r="AM51" s="419">
        <v>11647298</v>
      </c>
      <c r="AN51" s="419">
        <f t="shared" si="12"/>
        <v>17000000</v>
      </c>
      <c r="AO51" s="419">
        <f t="shared" si="10"/>
        <v>0</v>
      </c>
      <c r="AP51" s="449">
        <f t="shared" si="13"/>
        <v>14147298</v>
      </c>
      <c r="AQ51" s="419"/>
      <c r="AR51" s="419"/>
      <c r="AS51" s="419"/>
      <c r="AT51" s="419"/>
      <c r="AU51" s="419">
        <v>2852702</v>
      </c>
      <c r="AV51" s="449">
        <f t="shared" si="14"/>
        <v>11647298</v>
      </c>
      <c r="AW51" s="419"/>
      <c r="AX51" s="419"/>
      <c r="AY51" s="419"/>
      <c r="AZ51" s="419"/>
      <c r="BA51" s="419"/>
    </row>
    <row r="52" spans="1:53" ht="30" customHeight="1">
      <c r="A52" s="469">
        <f t="shared" si="11"/>
        <v>47</v>
      </c>
      <c r="B52" s="455">
        <v>2099</v>
      </c>
      <c r="C52" s="469" t="s">
        <v>263</v>
      </c>
      <c r="D52" s="631">
        <v>17650000</v>
      </c>
      <c r="E52" s="419">
        <v>12000000</v>
      </c>
      <c r="F52" s="419">
        <f t="shared" si="0"/>
        <v>5650000</v>
      </c>
      <c r="G52" s="419">
        <v>6250000</v>
      </c>
      <c r="H52" s="419">
        <v>789900</v>
      </c>
      <c r="I52" s="419">
        <v>0</v>
      </c>
      <c r="J52" s="419">
        <v>461045</v>
      </c>
      <c r="K52" s="419">
        <f t="shared" si="18"/>
        <v>461045</v>
      </c>
      <c r="L52" s="419">
        <f t="shared" si="19"/>
        <v>1250945</v>
      </c>
      <c r="M52" s="419">
        <f t="shared" si="22"/>
        <v>9749055</v>
      </c>
      <c r="N52" s="419">
        <v>5500000</v>
      </c>
      <c r="O52" s="419">
        <f t="shared" si="4"/>
        <v>1150000</v>
      </c>
      <c r="P52" s="419">
        <f t="shared" si="5"/>
        <v>4999055</v>
      </c>
      <c r="Q52" s="626">
        <v>4750000</v>
      </c>
      <c r="R52" s="419"/>
      <c r="S52" s="419">
        <f t="shared" si="20"/>
        <v>4750000</v>
      </c>
      <c r="T52" s="419">
        <f t="shared" si="7"/>
        <v>0</v>
      </c>
      <c r="U52" s="419">
        <f t="shared" si="8"/>
        <v>5500000</v>
      </c>
      <c r="V52" s="419">
        <f t="shared" si="21"/>
        <v>5500000</v>
      </c>
      <c r="W52" s="419"/>
      <c r="X52" s="419"/>
      <c r="Y52" s="419"/>
      <c r="Z52" s="419"/>
      <c r="AA52" s="419"/>
      <c r="AB52" s="629" t="s">
        <v>565</v>
      </c>
      <c r="AC52" s="469">
        <v>826000</v>
      </c>
      <c r="AD52" s="419"/>
      <c r="AE52" s="419"/>
      <c r="AF52" s="419"/>
      <c r="AG52" s="419"/>
      <c r="AH52" s="419">
        <v>1500000</v>
      </c>
      <c r="AI52" s="419"/>
      <c r="AJ52" s="419">
        <v>2500000</v>
      </c>
      <c r="AK52" s="419">
        <v>1500000</v>
      </c>
      <c r="AL52" s="419"/>
      <c r="AM52" s="419"/>
      <c r="AN52" s="419">
        <f t="shared" si="12"/>
        <v>5500000</v>
      </c>
      <c r="AO52" s="419">
        <f t="shared" si="10"/>
        <v>0</v>
      </c>
      <c r="AP52" s="449">
        <f t="shared" si="13"/>
        <v>5500000</v>
      </c>
      <c r="AQ52" s="419"/>
      <c r="AR52" s="419"/>
      <c r="AS52" s="419"/>
      <c r="AT52" s="419"/>
      <c r="AU52" s="419"/>
      <c r="AV52" s="449">
        <f t="shared" si="14"/>
        <v>0</v>
      </c>
      <c r="AW52" s="419"/>
      <c r="AX52" s="419"/>
      <c r="AY52" s="419"/>
      <c r="AZ52" s="419"/>
      <c r="BA52" s="419"/>
    </row>
    <row r="53" spans="1:53" ht="30" customHeight="1">
      <c r="A53" s="469">
        <f t="shared" si="11"/>
        <v>48</v>
      </c>
      <c r="B53" s="455">
        <v>2101</v>
      </c>
      <c r="C53" s="469" t="s">
        <v>437</v>
      </c>
      <c r="D53" s="419">
        <v>24200000</v>
      </c>
      <c r="E53" s="419">
        <v>24200000</v>
      </c>
      <c r="F53" s="419">
        <f t="shared" si="0"/>
        <v>0</v>
      </c>
      <c r="G53" s="419">
        <v>1500000</v>
      </c>
      <c r="H53" s="419">
        <v>389319</v>
      </c>
      <c r="I53" s="419">
        <v>0</v>
      </c>
      <c r="J53" s="419">
        <v>121642</v>
      </c>
      <c r="K53" s="419">
        <f t="shared" si="18"/>
        <v>121642</v>
      </c>
      <c r="L53" s="419">
        <f t="shared" si="19"/>
        <v>510961</v>
      </c>
      <c r="M53" s="419">
        <f t="shared" si="22"/>
        <v>989039</v>
      </c>
      <c r="N53" s="419">
        <f>20000000-13000000-1000000</f>
        <v>6000000</v>
      </c>
      <c r="O53" s="419">
        <f t="shared" si="4"/>
        <v>16700000</v>
      </c>
      <c r="P53" s="419">
        <f t="shared" si="5"/>
        <v>989039</v>
      </c>
      <c r="Q53" s="419"/>
      <c r="R53" s="419"/>
      <c r="S53" s="419">
        <f t="shared" si="20"/>
        <v>0</v>
      </c>
      <c r="T53" s="419">
        <f t="shared" si="7"/>
        <v>0</v>
      </c>
      <c r="U53" s="419">
        <f t="shared" si="8"/>
        <v>6000000</v>
      </c>
      <c r="V53" s="419">
        <f t="shared" si="21"/>
        <v>2300000</v>
      </c>
      <c r="W53" s="419"/>
      <c r="X53" s="419"/>
      <c r="Y53" s="419"/>
      <c r="Z53" s="419"/>
      <c r="AA53" s="419">
        <f>1500000+2200000</f>
        <v>3700000</v>
      </c>
      <c r="AB53" s="629" t="s">
        <v>826</v>
      </c>
      <c r="AC53" s="469">
        <v>840000</v>
      </c>
      <c r="AD53" s="419"/>
      <c r="AE53" s="419"/>
      <c r="AF53" s="419"/>
      <c r="AG53" s="419"/>
      <c r="AH53" s="419"/>
      <c r="AI53" s="419"/>
      <c r="AJ53" s="419"/>
      <c r="AK53" s="419">
        <v>1500000</v>
      </c>
      <c r="AL53" s="419"/>
      <c r="AM53" s="419">
        <v>4500000</v>
      </c>
      <c r="AN53" s="419">
        <f t="shared" si="12"/>
        <v>6000000</v>
      </c>
      <c r="AO53" s="419">
        <f t="shared" si="10"/>
        <v>0</v>
      </c>
      <c r="AP53" s="449">
        <f t="shared" si="13"/>
        <v>2300000</v>
      </c>
      <c r="AQ53" s="419"/>
      <c r="AR53" s="419"/>
      <c r="AS53" s="419"/>
      <c r="AT53" s="419"/>
      <c r="AU53" s="419">
        <f>2200000+1500000</f>
        <v>3700000</v>
      </c>
      <c r="AV53" s="449">
        <f t="shared" si="14"/>
        <v>800000</v>
      </c>
      <c r="AW53" s="419"/>
      <c r="AX53" s="419"/>
      <c r="AY53" s="419"/>
      <c r="AZ53" s="419"/>
      <c r="BA53" s="419">
        <f>2200000+1500000</f>
        <v>3700000</v>
      </c>
    </row>
    <row r="54" spans="1:53" ht="30" customHeight="1">
      <c r="A54" s="469">
        <f t="shared" si="11"/>
        <v>49</v>
      </c>
      <c r="B54" s="455">
        <v>2103</v>
      </c>
      <c r="C54" s="469" t="s">
        <v>293</v>
      </c>
      <c r="D54" s="419">
        <v>4200000</v>
      </c>
      <c r="E54" s="419">
        <v>4200000</v>
      </c>
      <c r="F54" s="419">
        <f t="shared" si="0"/>
        <v>0</v>
      </c>
      <c r="G54" s="419">
        <v>1000000</v>
      </c>
      <c r="H54" s="419">
        <v>369063</v>
      </c>
      <c r="I54" s="419">
        <v>0</v>
      </c>
      <c r="J54" s="419">
        <v>481501</v>
      </c>
      <c r="K54" s="419">
        <f t="shared" si="18"/>
        <v>481501</v>
      </c>
      <c r="L54" s="419">
        <f t="shared" si="19"/>
        <v>850564</v>
      </c>
      <c r="M54" s="419">
        <f t="shared" si="22"/>
        <v>149436</v>
      </c>
      <c r="N54" s="419">
        <f>1500000-800000</f>
        <v>700000</v>
      </c>
      <c r="O54" s="419">
        <f t="shared" si="4"/>
        <v>2500000</v>
      </c>
      <c r="P54" s="419">
        <f t="shared" si="5"/>
        <v>149436</v>
      </c>
      <c r="Q54" s="419">
        <f>1500000-1500000</f>
        <v>0</v>
      </c>
      <c r="R54" s="419"/>
      <c r="S54" s="419">
        <f t="shared" si="20"/>
        <v>0</v>
      </c>
      <c r="T54" s="419">
        <f t="shared" si="7"/>
        <v>0</v>
      </c>
      <c r="U54" s="419">
        <f t="shared" si="8"/>
        <v>700000</v>
      </c>
      <c r="V54" s="419">
        <f t="shared" si="21"/>
        <v>700000</v>
      </c>
      <c r="W54" s="419"/>
      <c r="X54" s="419"/>
      <c r="Y54" s="419"/>
      <c r="Z54" s="419"/>
      <c r="AA54" s="469"/>
      <c r="AB54" s="536" t="s">
        <v>628</v>
      </c>
      <c r="AC54" s="469">
        <v>848000</v>
      </c>
      <c r="AD54" s="419"/>
      <c r="AE54" s="419"/>
      <c r="AF54" s="419"/>
      <c r="AG54" s="419"/>
      <c r="AH54" s="419"/>
      <c r="AI54" s="419"/>
      <c r="AJ54" s="419"/>
      <c r="AK54" s="419"/>
      <c r="AL54" s="419"/>
      <c r="AM54" s="419">
        <v>700000</v>
      </c>
      <c r="AN54" s="419">
        <f t="shared" si="12"/>
        <v>700000</v>
      </c>
      <c r="AO54" s="419">
        <f t="shared" si="10"/>
        <v>0</v>
      </c>
      <c r="AP54" s="449">
        <f t="shared" si="13"/>
        <v>700000</v>
      </c>
      <c r="AQ54" s="419"/>
      <c r="AR54" s="419"/>
      <c r="AS54" s="419"/>
      <c r="AT54" s="419"/>
      <c r="AU54" s="419"/>
      <c r="AV54" s="449">
        <f t="shared" si="14"/>
        <v>700000</v>
      </c>
      <c r="AW54" s="419"/>
      <c r="AX54" s="419"/>
      <c r="AY54" s="419"/>
      <c r="AZ54" s="419"/>
      <c r="BA54" s="419"/>
    </row>
    <row r="55" spans="1:53" s="456" customFormat="1" ht="30" customHeight="1">
      <c r="A55" s="469">
        <f t="shared" si="11"/>
        <v>50</v>
      </c>
      <c r="B55" s="455">
        <v>2106</v>
      </c>
      <c r="C55" s="448" t="s">
        <v>361</v>
      </c>
      <c r="D55" s="449">
        <v>15000000</v>
      </c>
      <c r="E55" s="449">
        <v>15000000</v>
      </c>
      <c r="F55" s="419">
        <f t="shared" si="0"/>
        <v>0</v>
      </c>
      <c r="G55" s="449">
        <v>4000000</v>
      </c>
      <c r="H55" s="449">
        <v>353313</v>
      </c>
      <c r="I55" s="449">
        <v>0</v>
      </c>
      <c r="J55" s="449">
        <v>416787</v>
      </c>
      <c r="K55" s="419">
        <f t="shared" si="18"/>
        <v>416787</v>
      </c>
      <c r="L55" s="419">
        <f t="shared" si="19"/>
        <v>770100</v>
      </c>
      <c r="M55" s="419">
        <f t="shared" si="22"/>
        <v>3229900</v>
      </c>
      <c r="N55" s="419">
        <f>5000000-4500000</f>
        <v>500000</v>
      </c>
      <c r="O55" s="419">
        <f t="shared" si="4"/>
        <v>10500000</v>
      </c>
      <c r="P55" s="419">
        <f t="shared" si="5"/>
        <v>3229900</v>
      </c>
      <c r="Q55" s="419"/>
      <c r="R55" s="419"/>
      <c r="S55" s="419">
        <f t="shared" si="20"/>
        <v>0</v>
      </c>
      <c r="T55" s="419">
        <f t="shared" si="7"/>
        <v>0</v>
      </c>
      <c r="U55" s="419">
        <f t="shared" si="8"/>
        <v>500000</v>
      </c>
      <c r="V55" s="419">
        <f t="shared" si="21"/>
        <v>500000</v>
      </c>
      <c r="W55" s="419"/>
      <c r="X55" s="419"/>
      <c r="Y55" s="419"/>
      <c r="Z55" s="419"/>
      <c r="AA55" s="469"/>
      <c r="AB55" s="536" t="s">
        <v>519</v>
      </c>
      <c r="AC55" s="448">
        <v>742000</v>
      </c>
      <c r="AD55" s="419"/>
      <c r="AE55" s="419"/>
      <c r="AF55" s="419"/>
      <c r="AG55" s="419"/>
      <c r="AH55" s="419"/>
      <c r="AI55" s="419"/>
      <c r="AJ55" s="419"/>
      <c r="AK55" s="419"/>
      <c r="AL55" s="419"/>
      <c r="AM55" s="419">
        <v>500000</v>
      </c>
      <c r="AN55" s="419">
        <f t="shared" si="12"/>
        <v>500000</v>
      </c>
      <c r="AO55" s="419">
        <f t="shared" si="10"/>
        <v>0</v>
      </c>
      <c r="AP55" s="449">
        <f t="shared" si="13"/>
        <v>500000</v>
      </c>
      <c r="AQ55" s="419"/>
      <c r="AR55" s="419"/>
      <c r="AS55" s="419"/>
      <c r="AT55" s="419"/>
      <c r="AU55" s="419"/>
      <c r="AV55" s="449">
        <f t="shared" si="14"/>
        <v>500000</v>
      </c>
      <c r="AW55" s="419"/>
      <c r="AX55" s="419"/>
      <c r="AY55" s="419"/>
      <c r="AZ55" s="419"/>
      <c r="BA55" s="419"/>
    </row>
    <row r="56" spans="1:53" s="452" customFormat="1" ht="30" customHeight="1">
      <c r="A56" s="469">
        <f t="shared" si="11"/>
        <v>51</v>
      </c>
      <c r="B56" s="455">
        <v>2109</v>
      </c>
      <c r="C56" s="448" t="s">
        <v>248</v>
      </c>
      <c r="D56" s="449">
        <v>2000000</v>
      </c>
      <c r="E56" s="449">
        <v>2000000</v>
      </c>
      <c r="F56" s="419">
        <f t="shared" si="0"/>
        <v>0</v>
      </c>
      <c r="G56" s="449">
        <v>500000</v>
      </c>
      <c r="H56" s="449">
        <v>128792</v>
      </c>
      <c r="I56" s="449">
        <v>0</v>
      </c>
      <c r="J56" s="449">
        <v>119250</v>
      </c>
      <c r="K56" s="419">
        <f t="shared" si="18"/>
        <v>119250</v>
      </c>
      <c r="L56" s="419">
        <f t="shared" si="19"/>
        <v>248042</v>
      </c>
      <c r="M56" s="419">
        <f t="shared" si="22"/>
        <v>601958</v>
      </c>
      <c r="N56" s="419">
        <f>800000-300000-500000</f>
        <v>0</v>
      </c>
      <c r="O56" s="419">
        <f t="shared" si="4"/>
        <v>1150000</v>
      </c>
      <c r="P56" s="419">
        <f t="shared" si="5"/>
        <v>251958</v>
      </c>
      <c r="Q56" s="626">
        <f>700000-350000</f>
        <v>350000</v>
      </c>
      <c r="R56" s="419"/>
      <c r="S56" s="419">
        <f t="shared" si="20"/>
        <v>350000</v>
      </c>
      <c r="T56" s="419">
        <f t="shared" si="7"/>
        <v>0</v>
      </c>
      <c r="U56" s="419">
        <f t="shared" si="8"/>
        <v>0</v>
      </c>
      <c r="V56" s="419">
        <f t="shared" si="21"/>
        <v>0</v>
      </c>
      <c r="W56" s="419"/>
      <c r="X56" s="419"/>
      <c r="Y56" s="419"/>
      <c r="Z56" s="419"/>
      <c r="AA56" s="469"/>
      <c r="AB56" s="448" t="s">
        <v>549</v>
      </c>
      <c r="AC56" s="448">
        <v>742000</v>
      </c>
      <c r="AD56" s="419"/>
      <c r="AE56" s="419"/>
      <c r="AF56" s="419"/>
      <c r="AG56" s="419"/>
      <c r="AH56" s="419"/>
      <c r="AI56" s="419"/>
      <c r="AJ56" s="419"/>
      <c r="AK56" s="419"/>
      <c r="AL56" s="419"/>
      <c r="AM56" s="419"/>
      <c r="AN56" s="419">
        <f t="shared" si="12"/>
        <v>0</v>
      </c>
      <c r="AO56" s="419">
        <f t="shared" si="10"/>
        <v>0</v>
      </c>
      <c r="AP56" s="449">
        <f t="shared" si="13"/>
        <v>0</v>
      </c>
      <c r="AQ56" s="419"/>
      <c r="AR56" s="419"/>
      <c r="AS56" s="419"/>
      <c r="AT56" s="419"/>
      <c r="AU56" s="419"/>
      <c r="AV56" s="449">
        <f t="shared" si="14"/>
        <v>0</v>
      </c>
      <c r="AW56" s="419"/>
      <c r="AX56" s="419"/>
      <c r="AY56" s="419"/>
      <c r="AZ56" s="419"/>
      <c r="BA56" s="419"/>
    </row>
    <row r="57" spans="1:53" s="452" customFormat="1" ht="30" customHeight="1">
      <c r="A57" s="469">
        <f t="shared" si="11"/>
        <v>52</v>
      </c>
      <c r="B57" s="455">
        <v>2110</v>
      </c>
      <c r="C57" s="448" t="s">
        <v>249</v>
      </c>
      <c r="D57" s="449">
        <v>16000000</v>
      </c>
      <c r="E57" s="449">
        <v>16000000</v>
      </c>
      <c r="F57" s="419">
        <f t="shared" si="0"/>
        <v>0</v>
      </c>
      <c r="G57" s="449">
        <v>200000</v>
      </c>
      <c r="H57" s="449">
        <v>0</v>
      </c>
      <c r="I57" s="449">
        <v>0</v>
      </c>
      <c r="J57" s="449">
        <v>0</v>
      </c>
      <c r="K57" s="419">
        <f t="shared" si="18"/>
        <v>0</v>
      </c>
      <c r="L57" s="419">
        <f t="shared" si="19"/>
        <v>0</v>
      </c>
      <c r="M57" s="419">
        <f>P57+S57-150000</f>
        <v>50000</v>
      </c>
      <c r="N57" s="419">
        <f>15800000-15000000-800000</f>
        <v>0</v>
      </c>
      <c r="O57" s="419">
        <f t="shared" si="4"/>
        <v>15950000</v>
      </c>
      <c r="P57" s="419">
        <f t="shared" si="5"/>
        <v>200000</v>
      </c>
      <c r="Q57" s="419"/>
      <c r="R57" s="419"/>
      <c r="S57" s="419">
        <f t="shared" si="20"/>
        <v>0</v>
      </c>
      <c r="T57" s="419">
        <f t="shared" si="7"/>
        <v>150000</v>
      </c>
      <c r="U57" s="419">
        <f t="shared" si="8"/>
        <v>-150000</v>
      </c>
      <c r="V57" s="419">
        <f t="shared" si="21"/>
        <v>-150000</v>
      </c>
      <c r="W57" s="419"/>
      <c r="X57" s="419"/>
      <c r="Y57" s="419"/>
      <c r="Z57" s="419"/>
      <c r="AA57" s="469"/>
      <c r="AB57" s="448" t="s">
        <v>566</v>
      </c>
      <c r="AC57" s="448">
        <v>742000</v>
      </c>
      <c r="AD57" s="419"/>
      <c r="AE57" s="419"/>
      <c r="AF57" s="419"/>
      <c r="AG57" s="419"/>
      <c r="AH57" s="419"/>
      <c r="AI57" s="419">
        <v>-150000</v>
      </c>
      <c r="AJ57" s="419"/>
      <c r="AK57" s="419"/>
      <c r="AL57" s="419"/>
      <c r="AM57" s="419"/>
      <c r="AN57" s="419">
        <f t="shared" si="12"/>
        <v>-150000</v>
      </c>
      <c r="AO57" s="419">
        <f t="shared" si="10"/>
        <v>0</v>
      </c>
      <c r="AP57" s="449">
        <f t="shared" si="13"/>
        <v>-150000</v>
      </c>
      <c r="AQ57" s="419"/>
      <c r="AR57" s="419"/>
      <c r="AS57" s="419"/>
      <c r="AT57" s="419"/>
      <c r="AU57" s="419"/>
      <c r="AV57" s="449">
        <f t="shared" si="14"/>
        <v>0</v>
      </c>
      <c r="AW57" s="419"/>
      <c r="AX57" s="419"/>
      <c r="AY57" s="419"/>
      <c r="AZ57" s="419"/>
      <c r="BA57" s="419"/>
    </row>
    <row r="58" spans="1:53" s="452" customFormat="1" ht="30" customHeight="1">
      <c r="A58" s="469">
        <f t="shared" si="11"/>
        <v>53</v>
      </c>
      <c r="B58" s="455">
        <v>2111</v>
      </c>
      <c r="C58" s="448" t="s">
        <v>250</v>
      </c>
      <c r="D58" s="449">
        <v>15200000</v>
      </c>
      <c r="E58" s="449">
        <v>15200000</v>
      </c>
      <c r="F58" s="419">
        <f t="shared" si="0"/>
        <v>0</v>
      </c>
      <c r="G58" s="449">
        <v>200000</v>
      </c>
      <c r="H58" s="449">
        <v>0</v>
      </c>
      <c r="I58" s="449">
        <v>0</v>
      </c>
      <c r="J58" s="449">
        <v>0</v>
      </c>
      <c r="K58" s="419">
        <f t="shared" si="18"/>
        <v>0</v>
      </c>
      <c r="L58" s="419">
        <f t="shared" si="19"/>
        <v>0</v>
      </c>
      <c r="M58" s="419">
        <f>P58+S58-100000</f>
        <v>100000</v>
      </c>
      <c r="N58" s="419">
        <f>14700000+300000-14200000-800000</f>
        <v>0</v>
      </c>
      <c r="O58" s="419">
        <f t="shared" si="4"/>
        <v>15100000</v>
      </c>
      <c r="P58" s="419">
        <f t="shared" si="5"/>
        <v>200000</v>
      </c>
      <c r="Q58" s="419">
        <f>300000-300000</f>
        <v>0</v>
      </c>
      <c r="R58" s="419"/>
      <c r="S58" s="419">
        <f t="shared" si="20"/>
        <v>0</v>
      </c>
      <c r="T58" s="419">
        <f t="shared" si="7"/>
        <v>100000</v>
      </c>
      <c r="U58" s="419">
        <f t="shared" si="8"/>
        <v>-100000</v>
      </c>
      <c r="V58" s="419">
        <f t="shared" si="21"/>
        <v>-100000</v>
      </c>
      <c r="W58" s="419"/>
      <c r="X58" s="419"/>
      <c r="Y58" s="419"/>
      <c r="Z58" s="419"/>
      <c r="AA58" s="469"/>
      <c r="AB58" s="458" t="s">
        <v>520</v>
      </c>
      <c r="AC58" s="448">
        <v>742000</v>
      </c>
      <c r="AD58" s="419"/>
      <c r="AE58" s="419"/>
      <c r="AF58" s="419"/>
      <c r="AG58" s="419"/>
      <c r="AH58" s="419"/>
      <c r="AI58" s="419">
        <v>-100000</v>
      </c>
      <c r="AJ58" s="419"/>
      <c r="AK58" s="419"/>
      <c r="AL58" s="419"/>
      <c r="AM58" s="419"/>
      <c r="AN58" s="419">
        <f t="shared" si="12"/>
        <v>-100000</v>
      </c>
      <c r="AO58" s="419">
        <f t="shared" si="10"/>
        <v>0</v>
      </c>
      <c r="AP58" s="449">
        <f t="shared" si="13"/>
        <v>-100000</v>
      </c>
      <c r="AQ58" s="419"/>
      <c r="AR58" s="419"/>
      <c r="AS58" s="419"/>
      <c r="AT58" s="419"/>
      <c r="AU58" s="419"/>
      <c r="AV58" s="449">
        <f t="shared" si="14"/>
        <v>0</v>
      </c>
      <c r="AW58" s="419"/>
      <c r="AX58" s="419"/>
      <c r="AY58" s="419"/>
      <c r="AZ58" s="419"/>
      <c r="BA58" s="419"/>
    </row>
    <row r="59" spans="1:53" s="456" customFormat="1" ht="30" customHeight="1">
      <c r="A59" s="469">
        <f t="shared" si="11"/>
        <v>54</v>
      </c>
      <c r="B59" s="455">
        <v>2115</v>
      </c>
      <c r="C59" s="448" t="s">
        <v>252</v>
      </c>
      <c r="D59" s="449">
        <v>3100000</v>
      </c>
      <c r="E59" s="449">
        <v>3100000</v>
      </c>
      <c r="F59" s="419">
        <f t="shared" si="0"/>
        <v>0</v>
      </c>
      <c r="G59" s="449">
        <v>3100000</v>
      </c>
      <c r="H59" s="449">
        <v>1758075</v>
      </c>
      <c r="I59" s="449">
        <v>0</v>
      </c>
      <c r="J59" s="449">
        <v>4000</v>
      </c>
      <c r="K59" s="419">
        <f t="shared" si="18"/>
        <v>4000</v>
      </c>
      <c r="L59" s="419">
        <f t="shared" si="19"/>
        <v>1762075</v>
      </c>
      <c r="M59" s="419">
        <f>P59+S59-800000</f>
        <v>537925</v>
      </c>
      <c r="N59" s="419"/>
      <c r="O59" s="419">
        <f t="shared" si="4"/>
        <v>800000</v>
      </c>
      <c r="P59" s="419">
        <f t="shared" si="5"/>
        <v>1337925</v>
      </c>
      <c r="Q59" s="419"/>
      <c r="R59" s="419"/>
      <c r="S59" s="419">
        <f t="shared" si="20"/>
        <v>0</v>
      </c>
      <c r="T59" s="419">
        <f t="shared" si="7"/>
        <v>800000</v>
      </c>
      <c r="U59" s="419">
        <f t="shared" si="8"/>
        <v>-800000</v>
      </c>
      <c r="V59" s="419">
        <f t="shared" si="21"/>
        <v>-800000</v>
      </c>
      <c r="W59" s="419"/>
      <c r="X59" s="419"/>
      <c r="Y59" s="419"/>
      <c r="Z59" s="419"/>
      <c r="AA59" s="469"/>
      <c r="AB59" s="448" t="s">
        <v>629</v>
      </c>
      <c r="AC59" s="448">
        <v>732000</v>
      </c>
      <c r="AD59" s="419"/>
      <c r="AE59" s="419"/>
      <c r="AF59" s="419"/>
      <c r="AG59" s="419"/>
      <c r="AH59" s="419"/>
      <c r="AI59" s="419">
        <v>-800000</v>
      </c>
      <c r="AJ59" s="419"/>
      <c r="AK59" s="419"/>
      <c r="AL59" s="419"/>
      <c r="AM59" s="419"/>
      <c r="AN59" s="419">
        <f t="shared" si="12"/>
        <v>-800000</v>
      </c>
      <c r="AO59" s="419">
        <f t="shared" si="10"/>
        <v>0</v>
      </c>
      <c r="AP59" s="449">
        <f t="shared" si="13"/>
        <v>-800000</v>
      </c>
      <c r="AQ59" s="419"/>
      <c r="AR59" s="419"/>
      <c r="AS59" s="419"/>
      <c r="AT59" s="419"/>
      <c r="AU59" s="419"/>
      <c r="AV59" s="449">
        <f t="shared" si="14"/>
        <v>0</v>
      </c>
      <c r="AW59" s="419"/>
      <c r="AX59" s="419"/>
      <c r="AY59" s="419"/>
      <c r="AZ59" s="419"/>
      <c r="BA59" s="419"/>
    </row>
    <row r="60" spans="1:53" s="456" customFormat="1" ht="30" customHeight="1">
      <c r="A60" s="469">
        <f t="shared" si="11"/>
        <v>55</v>
      </c>
      <c r="B60" s="455">
        <v>2118</v>
      </c>
      <c r="C60" s="448" t="s">
        <v>253</v>
      </c>
      <c r="D60" s="449">
        <v>2600000</v>
      </c>
      <c r="E60" s="449">
        <v>2600000</v>
      </c>
      <c r="F60" s="419">
        <f t="shared" si="0"/>
        <v>0</v>
      </c>
      <c r="G60" s="449">
        <v>2600000</v>
      </c>
      <c r="H60" s="449">
        <v>2049405</v>
      </c>
      <c r="I60" s="449">
        <v>0</v>
      </c>
      <c r="J60" s="449">
        <v>96981</v>
      </c>
      <c r="K60" s="419">
        <f t="shared" si="18"/>
        <v>96981</v>
      </c>
      <c r="L60" s="419">
        <f t="shared" si="19"/>
        <v>2146386</v>
      </c>
      <c r="M60" s="419">
        <f>P60+S60</f>
        <v>453614</v>
      </c>
      <c r="N60" s="419"/>
      <c r="O60" s="419">
        <f t="shared" si="4"/>
        <v>0</v>
      </c>
      <c r="P60" s="419">
        <f t="shared" si="5"/>
        <v>453614</v>
      </c>
      <c r="Q60" s="419"/>
      <c r="R60" s="419"/>
      <c r="S60" s="419">
        <f t="shared" si="20"/>
        <v>0</v>
      </c>
      <c r="T60" s="419">
        <f t="shared" si="7"/>
        <v>0</v>
      </c>
      <c r="U60" s="419">
        <f t="shared" si="8"/>
        <v>0</v>
      </c>
      <c r="V60" s="419">
        <f t="shared" si="21"/>
        <v>0</v>
      </c>
      <c r="W60" s="419"/>
      <c r="X60" s="419"/>
      <c r="Y60" s="419"/>
      <c r="Z60" s="419"/>
      <c r="AA60" s="469"/>
      <c r="AB60" s="453" t="s">
        <v>471</v>
      </c>
      <c r="AC60" s="448">
        <v>746000</v>
      </c>
      <c r="AD60" s="419"/>
      <c r="AE60" s="419"/>
      <c r="AF60" s="419"/>
      <c r="AG60" s="419"/>
      <c r="AH60" s="419"/>
      <c r="AI60" s="419"/>
      <c r="AJ60" s="419"/>
      <c r="AK60" s="419"/>
      <c r="AL60" s="419"/>
      <c r="AM60" s="419"/>
      <c r="AN60" s="419">
        <f t="shared" si="12"/>
        <v>0</v>
      </c>
      <c r="AO60" s="419">
        <f t="shared" si="10"/>
        <v>0</v>
      </c>
      <c r="AP60" s="449">
        <f t="shared" si="13"/>
        <v>0</v>
      </c>
      <c r="AQ60" s="419"/>
      <c r="AR60" s="419"/>
      <c r="AS60" s="419"/>
      <c r="AT60" s="419"/>
      <c r="AU60" s="419"/>
      <c r="AV60" s="449">
        <f t="shared" si="14"/>
        <v>0</v>
      </c>
      <c r="AW60" s="419"/>
      <c r="AX60" s="419"/>
      <c r="AY60" s="419"/>
      <c r="AZ60" s="419"/>
      <c r="BA60" s="419"/>
    </row>
    <row r="61" spans="1:53" s="452" customFormat="1" ht="30" customHeight="1">
      <c r="A61" s="469">
        <f t="shared" si="11"/>
        <v>56</v>
      </c>
      <c r="B61" s="455">
        <v>2119</v>
      </c>
      <c r="C61" s="448" t="s">
        <v>254</v>
      </c>
      <c r="D61" s="449">
        <f>2500000+1400000</f>
        <v>3900000</v>
      </c>
      <c r="E61" s="449">
        <v>3900000</v>
      </c>
      <c r="F61" s="419">
        <f t="shared" si="0"/>
        <v>0</v>
      </c>
      <c r="G61" s="449">
        <v>1100000</v>
      </c>
      <c r="H61" s="449">
        <v>194788</v>
      </c>
      <c r="I61" s="449">
        <v>0</v>
      </c>
      <c r="J61" s="449">
        <v>71106</v>
      </c>
      <c r="K61" s="419">
        <f t="shared" si="18"/>
        <v>71106</v>
      </c>
      <c r="L61" s="419">
        <f t="shared" si="19"/>
        <v>265894</v>
      </c>
      <c r="M61" s="419">
        <f>P61+S61</f>
        <v>3634106</v>
      </c>
      <c r="N61" s="419"/>
      <c r="O61" s="419">
        <f t="shared" si="4"/>
        <v>0</v>
      </c>
      <c r="P61" s="419">
        <f t="shared" si="5"/>
        <v>834106</v>
      </c>
      <c r="Q61" s="419"/>
      <c r="R61" s="626">
        <v>2800000</v>
      </c>
      <c r="S61" s="419">
        <f t="shared" si="20"/>
        <v>2800000</v>
      </c>
      <c r="T61" s="419">
        <f t="shared" si="7"/>
        <v>0</v>
      </c>
      <c r="U61" s="419">
        <f t="shared" si="8"/>
        <v>0</v>
      </c>
      <c r="V61" s="419">
        <f t="shared" si="21"/>
        <v>0</v>
      </c>
      <c r="W61" s="419"/>
      <c r="X61" s="419"/>
      <c r="Y61" s="419"/>
      <c r="Z61" s="419"/>
      <c r="AA61" s="469"/>
      <c r="AB61" s="448" t="s">
        <v>255</v>
      </c>
      <c r="AC61" s="448">
        <v>742000</v>
      </c>
      <c r="AD61" s="419"/>
      <c r="AE61" s="419"/>
      <c r="AF61" s="419"/>
      <c r="AG61" s="419"/>
      <c r="AH61" s="419"/>
      <c r="AI61" s="419"/>
      <c r="AJ61" s="419"/>
      <c r="AK61" s="419"/>
      <c r="AL61" s="419"/>
      <c r="AM61" s="419"/>
      <c r="AN61" s="419">
        <f t="shared" si="12"/>
        <v>0</v>
      </c>
      <c r="AO61" s="419">
        <f t="shared" si="10"/>
        <v>0</v>
      </c>
      <c r="AP61" s="449">
        <f t="shared" si="13"/>
        <v>0</v>
      </c>
      <c r="AQ61" s="419"/>
      <c r="AR61" s="419"/>
      <c r="AS61" s="419"/>
      <c r="AT61" s="419"/>
      <c r="AU61" s="419"/>
      <c r="AV61" s="449">
        <f t="shared" si="14"/>
        <v>0</v>
      </c>
      <c r="AW61" s="419"/>
      <c r="AX61" s="419"/>
      <c r="AY61" s="419"/>
      <c r="AZ61" s="419"/>
      <c r="BA61" s="419"/>
    </row>
    <row r="62" spans="1:53" s="452" customFormat="1" ht="30" customHeight="1">
      <c r="A62" s="469">
        <f t="shared" si="11"/>
        <v>57</v>
      </c>
      <c r="B62" s="455">
        <v>2126</v>
      </c>
      <c r="C62" s="448" t="s">
        <v>374</v>
      </c>
      <c r="D62" s="449">
        <v>1975000</v>
      </c>
      <c r="E62" s="449">
        <v>1975000</v>
      </c>
      <c r="F62" s="419">
        <f t="shared" si="0"/>
        <v>0</v>
      </c>
      <c r="G62" s="449">
        <v>0</v>
      </c>
      <c r="H62" s="449">
        <v>0</v>
      </c>
      <c r="I62" s="449">
        <v>0</v>
      </c>
      <c r="J62" s="449">
        <v>0</v>
      </c>
      <c r="K62" s="419">
        <f t="shared" si="18"/>
        <v>0</v>
      </c>
      <c r="L62" s="419">
        <f t="shared" si="19"/>
        <v>0</v>
      </c>
      <c r="M62" s="419">
        <f>P62+S62</f>
        <v>0</v>
      </c>
      <c r="N62" s="419"/>
      <c r="O62" s="419">
        <f t="shared" si="4"/>
        <v>1975000</v>
      </c>
      <c r="P62" s="419">
        <f t="shared" si="5"/>
        <v>0</v>
      </c>
      <c r="Q62" s="419"/>
      <c r="R62" s="419"/>
      <c r="S62" s="419">
        <f t="shared" si="20"/>
        <v>0</v>
      </c>
      <c r="T62" s="419">
        <f t="shared" si="7"/>
        <v>0</v>
      </c>
      <c r="U62" s="419">
        <f t="shared" si="8"/>
        <v>0</v>
      </c>
      <c r="V62" s="419">
        <f t="shared" si="21"/>
        <v>0</v>
      </c>
      <c r="W62" s="419"/>
      <c r="X62" s="419"/>
      <c r="Y62" s="419"/>
      <c r="Z62" s="419"/>
      <c r="AA62" s="469"/>
      <c r="AB62" s="448" t="s">
        <v>521</v>
      </c>
      <c r="AC62" s="448">
        <v>742000</v>
      </c>
      <c r="AD62" s="419"/>
      <c r="AE62" s="419"/>
      <c r="AF62" s="419"/>
      <c r="AG62" s="419"/>
      <c r="AH62" s="419"/>
      <c r="AI62" s="419"/>
      <c r="AJ62" s="419"/>
      <c r="AK62" s="419"/>
      <c r="AL62" s="419"/>
      <c r="AM62" s="419"/>
      <c r="AN62" s="419">
        <f t="shared" si="12"/>
        <v>0</v>
      </c>
      <c r="AO62" s="419">
        <f t="shared" si="10"/>
        <v>0</v>
      </c>
      <c r="AP62" s="449">
        <f t="shared" si="13"/>
        <v>0</v>
      </c>
      <c r="AQ62" s="419"/>
      <c r="AR62" s="419"/>
      <c r="AS62" s="419"/>
      <c r="AT62" s="419"/>
      <c r="AU62" s="419"/>
      <c r="AV62" s="449">
        <f t="shared" si="14"/>
        <v>0</v>
      </c>
      <c r="AW62" s="419"/>
      <c r="AX62" s="419"/>
      <c r="AY62" s="419"/>
      <c r="AZ62" s="419"/>
      <c r="BA62" s="419"/>
    </row>
    <row r="63" spans="1:53" s="456" customFormat="1" ht="30" customHeight="1">
      <c r="A63" s="469">
        <f t="shared" si="11"/>
        <v>58</v>
      </c>
      <c r="B63" s="455">
        <v>2127</v>
      </c>
      <c r="C63" s="448" t="s">
        <v>1055</v>
      </c>
      <c r="D63" s="449">
        <v>2259000</v>
      </c>
      <c r="E63" s="449">
        <v>2259000</v>
      </c>
      <c r="F63" s="419">
        <f t="shared" si="0"/>
        <v>0</v>
      </c>
      <c r="G63" s="449">
        <v>1000000</v>
      </c>
      <c r="H63" s="449">
        <v>358899</v>
      </c>
      <c r="I63" s="449">
        <v>0</v>
      </c>
      <c r="J63" s="449">
        <v>641099</v>
      </c>
      <c r="K63" s="419">
        <f t="shared" si="18"/>
        <v>641099</v>
      </c>
      <c r="L63" s="419">
        <f t="shared" si="19"/>
        <v>999998</v>
      </c>
      <c r="M63" s="419">
        <f>P63+S63</f>
        <v>2</v>
      </c>
      <c r="N63" s="419">
        <v>1259000</v>
      </c>
      <c r="O63" s="419">
        <f t="shared" si="4"/>
        <v>0</v>
      </c>
      <c r="P63" s="419">
        <f t="shared" si="5"/>
        <v>2</v>
      </c>
      <c r="Q63" s="419"/>
      <c r="R63" s="419"/>
      <c r="S63" s="419">
        <f t="shared" si="20"/>
        <v>0</v>
      </c>
      <c r="T63" s="419">
        <f t="shared" si="7"/>
        <v>0</v>
      </c>
      <c r="U63" s="419">
        <f t="shared" si="8"/>
        <v>1259000</v>
      </c>
      <c r="V63" s="419">
        <f t="shared" si="21"/>
        <v>0</v>
      </c>
      <c r="W63" s="419"/>
      <c r="X63" s="419"/>
      <c r="Y63" s="419"/>
      <c r="Z63" s="419"/>
      <c r="AA63" s="419">
        <v>1259000</v>
      </c>
      <c r="AB63" s="448" t="s">
        <v>827</v>
      </c>
      <c r="AC63" s="448">
        <v>747000</v>
      </c>
      <c r="AD63" s="419"/>
      <c r="AE63" s="419"/>
      <c r="AF63" s="419"/>
      <c r="AG63" s="419"/>
      <c r="AH63" s="419"/>
      <c r="AI63" s="419"/>
      <c r="AJ63" s="419"/>
      <c r="AK63" s="419"/>
      <c r="AL63" s="419"/>
      <c r="AM63" s="419"/>
      <c r="AN63" s="419">
        <f t="shared" si="12"/>
        <v>0</v>
      </c>
      <c r="AO63" s="419">
        <f t="shared" si="10"/>
        <v>1259000</v>
      </c>
      <c r="AP63" s="449">
        <f t="shared" si="13"/>
        <v>0</v>
      </c>
      <c r="AQ63" s="419"/>
      <c r="AR63" s="419"/>
      <c r="AS63" s="419"/>
      <c r="AT63" s="419"/>
      <c r="AU63" s="419"/>
      <c r="AV63" s="449">
        <f t="shared" si="14"/>
        <v>0</v>
      </c>
      <c r="AW63" s="419"/>
      <c r="AX63" s="419"/>
      <c r="AY63" s="419"/>
      <c r="AZ63" s="419"/>
      <c r="BA63" s="419"/>
    </row>
    <row r="64" spans="1:53" s="456" customFormat="1" ht="30" customHeight="1">
      <c r="A64" s="469">
        <f t="shared" si="11"/>
        <v>59</v>
      </c>
      <c r="B64" s="455">
        <v>2130</v>
      </c>
      <c r="C64" s="448" t="s">
        <v>382</v>
      </c>
      <c r="D64" s="449">
        <v>500000</v>
      </c>
      <c r="E64" s="449">
        <v>500000</v>
      </c>
      <c r="F64" s="419">
        <f t="shared" si="0"/>
        <v>0</v>
      </c>
      <c r="G64" s="449">
        <v>500000</v>
      </c>
      <c r="H64" s="449">
        <v>12501</v>
      </c>
      <c r="I64" s="449">
        <v>0</v>
      </c>
      <c r="J64" s="449">
        <v>118960</v>
      </c>
      <c r="K64" s="419">
        <f t="shared" si="18"/>
        <v>118960</v>
      </c>
      <c r="L64" s="419">
        <f t="shared" si="19"/>
        <v>131461</v>
      </c>
      <c r="M64" s="419">
        <f>P64+S64</f>
        <v>368539</v>
      </c>
      <c r="N64" s="419"/>
      <c r="O64" s="419">
        <f t="shared" si="4"/>
        <v>0</v>
      </c>
      <c r="P64" s="419">
        <f t="shared" si="5"/>
        <v>368539</v>
      </c>
      <c r="Q64" s="419"/>
      <c r="R64" s="419"/>
      <c r="S64" s="419">
        <f t="shared" si="20"/>
        <v>0</v>
      </c>
      <c r="T64" s="419">
        <f t="shared" si="7"/>
        <v>0</v>
      </c>
      <c r="U64" s="419">
        <f t="shared" si="8"/>
        <v>0</v>
      </c>
      <c r="V64" s="419">
        <f t="shared" si="21"/>
        <v>0</v>
      </c>
      <c r="W64" s="419"/>
      <c r="X64" s="419"/>
      <c r="Y64" s="419"/>
      <c r="Z64" s="419"/>
      <c r="AA64" s="469"/>
      <c r="AB64" s="448" t="s">
        <v>550</v>
      </c>
      <c r="AC64" s="448">
        <v>810000</v>
      </c>
      <c r="AD64" s="419"/>
      <c r="AE64" s="419"/>
      <c r="AF64" s="419"/>
      <c r="AG64" s="419"/>
      <c r="AH64" s="419"/>
      <c r="AI64" s="419"/>
      <c r="AJ64" s="419"/>
      <c r="AK64" s="419"/>
      <c r="AL64" s="419"/>
      <c r="AM64" s="419"/>
      <c r="AN64" s="419">
        <f t="shared" si="12"/>
        <v>0</v>
      </c>
      <c r="AO64" s="419">
        <f t="shared" si="10"/>
        <v>0</v>
      </c>
      <c r="AP64" s="449">
        <f t="shared" si="13"/>
        <v>0</v>
      </c>
      <c r="AQ64" s="419"/>
      <c r="AR64" s="419"/>
      <c r="AS64" s="419"/>
      <c r="AT64" s="419"/>
      <c r="AU64" s="419"/>
      <c r="AV64" s="449">
        <f t="shared" si="14"/>
        <v>0</v>
      </c>
      <c r="AW64" s="419"/>
      <c r="AX64" s="419"/>
      <c r="AY64" s="419"/>
      <c r="AZ64" s="419"/>
      <c r="BA64" s="419"/>
    </row>
    <row r="65" spans="1:53" s="452" customFormat="1" ht="30" customHeight="1">
      <c r="A65" s="469">
        <f t="shared" si="11"/>
        <v>60</v>
      </c>
      <c r="B65" s="455">
        <v>2149</v>
      </c>
      <c r="C65" s="455" t="s">
        <v>695</v>
      </c>
      <c r="D65" s="449">
        <v>2000000</v>
      </c>
      <c r="E65" s="449">
        <v>2000000</v>
      </c>
      <c r="F65" s="419">
        <f t="shared" si="0"/>
        <v>0</v>
      </c>
      <c r="G65" s="449">
        <v>2000000</v>
      </c>
      <c r="H65" s="449">
        <v>719068</v>
      </c>
      <c r="I65" s="449">
        <v>0</v>
      </c>
      <c r="J65" s="449">
        <v>69472</v>
      </c>
      <c r="K65" s="419">
        <f t="shared" si="18"/>
        <v>69472</v>
      </c>
      <c r="L65" s="419">
        <f t="shared" si="19"/>
        <v>788540</v>
      </c>
      <c r="M65" s="419">
        <f>P65+S65-800000</f>
        <v>411460</v>
      </c>
      <c r="N65" s="419">
        <v>500000</v>
      </c>
      <c r="O65" s="419">
        <f t="shared" si="4"/>
        <v>300000</v>
      </c>
      <c r="P65" s="419">
        <f t="shared" si="5"/>
        <v>1211460</v>
      </c>
      <c r="Q65" s="419"/>
      <c r="R65" s="419"/>
      <c r="S65" s="419">
        <f t="shared" si="20"/>
        <v>0</v>
      </c>
      <c r="T65" s="419">
        <f t="shared" si="7"/>
        <v>800000</v>
      </c>
      <c r="U65" s="419">
        <f t="shared" si="8"/>
        <v>-300000</v>
      </c>
      <c r="V65" s="419">
        <f t="shared" si="21"/>
        <v>-300000</v>
      </c>
      <c r="W65" s="419"/>
      <c r="X65" s="419"/>
      <c r="Y65" s="419"/>
      <c r="Z65" s="419"/>
      <c r="AA65" s="469"/>
      <c r="AB65" s="448" t="s">
        <v>700</v>
      </c>
      <c r="AC65" s="448">
        <v>810000</v>
      </c>
      <c r="AD65" s="419"/>
      <c r="AE65" s="419"/>
      <c r="AF65" s="419"/>
      <c r="AG65" s="419"/>
      <c r="AH65" s="419"/>
      <c r="AI65" s="419">
        <v>-300000</v>
      </c>
      <c r="AJ65" s="419"/>
      <c r="AK65" s="419"/>
      <c r="AL65" s="419"/>
      <c r="AM65" s="419"/>
      <c r="AN65" s="419">
        <f t="shared" si="12"/>
        <v>-300000</v>
      </c>
      <c r="AO65" s="419">
        <f t="shared" si="10"/>
        <v>0</v>
      </c>
      <c r="AP65" s="449">
        <f t="shared" si="13"/>
        <v>-300000</v>
      </c>
      <c r="AQ65" s="419"/>
      <c r="AR65" s="419"/>
      <c r="AS65" s="419"/>
      <c r="AT65" s="419"/>
      <c r="AU65" s="419"/>
      <c r="AV65" s="449">
        <f t="shared" si="14"/>
        <v>0</v>
      </c>
      <c r="AW65" s="419"/>
      <c r="AX65" s="419"/>
      <c r="AY65" s="419"/>
      <c r="AZ65" s="419"/>
      <c r="BA65" s="419"/>
    </row>
    <row r="66" spans="1:53" s="452" customFormat="1" ht="30" customHeight="1">
      <c r="A66" s="469">
        <f t="shared" si="11"/>
        <v>61</v>
      </c>
      <c r="B66" s="455">
        <v>2150</v>
      </c>
      <c r="C66" s="455" t="s">
        <v>576</v>
      </c>
      <c r="D66" s="449">
        <v>23500000</v>
      </c>
      <c r="E66" s="449">
        <v>23500000</v>
      </c>
      <c r="F66" s="419">
        <f t="shared" si="0"/>
        <v>0</v>
      </c>
      <c r="G66" s="449">
        <v>13150000</v>
      </c>
      <c r="H66" s="449">
        <v>10072483</v>
      </c>
      <c r="I66" s="449">
        <v>0</v>
      </c>
      <c r="J66" s="449">
        <v>346905</v>
      </c>
      <c r="K66" s="419">
        <f t="shared" si="18"/>
        <v>346905</v>
      </c>
      <c r="L66" s="419">
        <f t="shared" si="19"/>
        <v>10419388</v>
      </c>
      <c r="M66" s="419">
        <f t="shared" ref="M66:M73" si="23">P66+S66</f>
        <v>4080612</v>
      </c>
      <c r="N66" s="419">
        <f>9000000-9000000</f>
        <v>0</v>
      </c>
      <c r="O66" s="419">
        <f t="shared" si="4"/>
        <v>9000000</v>
      </c>
      <c r="P66" s="419">
        <f t="shared" si="5"/>
        <v>2730612</v>
      </c>
      <c r="Q66" s="626">
        <f>4350000-3000000</f>
        <v>1350000</v>
      </c>
      <c r="R66" s="419"/>
      <c r="S66" s="419">
        <f t="shared" si="20"/>
        <v>1350000</v>
      </c>
      <c r="T66" s="419">
        <f t="shared" si="7"/>
        <v>0</v>
      </c>
      <c r="U66" s="635"/>
      <c r="V66" s="419">
        <f t="shared" si="21"/>
        <v>0</v>
      </c>
      <c r="W66" s="419"/>
      <c r="X66" s="419"/>
      <c r="Y66" s="419"/>
      <c r="Z66" s="419"/>
      <c r="AA66" s="469"/>
      <c r="AB66" s="455" t="s">
        <v>803</v>
      </c>
      <c r="AC66" s="448">
        <v>746000</v>
      </c>
      <c r="AD66" s="419"/>
      <c r="AE66" s="419"/>
      <c r="AF66" s="419"/>
      <c r="AG66" s="419"/>
      <c r="AH66" s="419"/>
      <c r="AI66" s="419"/>
      <c r="AJ66" s="419"/>
      <c r="AK66" s="419"/>
      <c r="AL66" s="419"/>
      <c r="AM66" s="419"/>
      <c r="AN66" s="419">
        <f t="shared" si="12"/>
        <v>0</v>
      </c>
      <c r="AO66" s="419">
        <f t="shared" si="10"/>
        <v>0</v>
      </c>
      <c r="AP66" s="449">
        <f t="shared" si="13"/>
        <v>0</v>
      </c>
      <c r="AQ66" s="419"/>
      <c r="AR66" s="419"/>
      <c r="AS66" s="419"/>
      <c r="AT66" s="419"/>
      <c r="AU66" s="419"/>
      <c r="AV66" s="449">
        <f t="shared" si="14"/>
        <v>0</v>
      </c>
      <c r="AW66" s="419"/>
      <c r="AX66" s="419"/>
      <c r="AY66" s="419"/>
      <c r="AZ66" s="419"/>
      <c r="BA66" s="419"/>
    </row>
    <row r="67" spans="1:53" s="452" customFormat="1" ht="30" customHeight="1">
      <c r="A67" s="469">
        <f t="shared" si="11"/>
        <v>62</v>
      </c>
      <c r="B67" s="455">
        <v>2151</v>
      </c>
      <c r="C67" s="448" t="s">
        <v>386</v>
      </c>
      <c r="D67" s="449">
        <v>54000000</v>
      </c>
      <c r="E67" s="449">
        <v>54000000</v>
      </c>
      <c r="F67" s="419">
        <f t="shared" si="0"/>
        <v>0</v>
      </c>
      <c r="G67" s="449">
        <v>5000000</v>
      </c>
      <c r="H67" s="449">
        <v>1512168</v>
      </c>
      <c r="I67" s="449">
        <v>0</v>
      </c>
      <c r="J67" s="449">
        <v>176633</v>
      </c>
      <c r="K67" s="419">
        <f t="shared" si="18"/>
        <v>176633</v>
      </c>
      <c r="L67" s="419">
        <f t="shared" si="19"/>
        <v>1688801</v>
      </c>
      <c r="M67" s="419">
        <f>P67+S67-3300000</f>
        <v>11199</v>
      </c>
      <c r="N67" s="419">
        <f>25000000-10000000-7000000-7000000+3300000</f>
        <v>4300000</v>
      </c>
      <c r="O67" s="419">
        <f t="shared" si="4"/>
        <v>48000000</v>
      </c>
      <c r="P67" s="419">
        <f t="shared" si="5"/>
        <v>3311199</v>
      </c>
      <c r="Q67" s="419"/>
      <c r="R67" s="419"/>
      <c r="S67" s="419">
        <f t="shared" si="20"/>
        <v>0</v>
      </c>
      <c r="T67" s="419">
        <f t="shared" si="7"/>
        <v>3300000</v>
      </c>
      <c r="U67" s="419">
        <f t="shared" si="8"/>
        <v>1000000</v>
      </c>
      <c r="V67" s="419">
        <f t="shared" si="21"/>
        <v>1000000</v>
      </c>
      <c r="W67" s="419"/>
      <c r="X67" s="419"/>
      <c r="Y67" s="419"/>
      <c r="Z67" s="419"/>
      <c r="AA67" s="469"/>
      <c r="AB67" s="455" t="s">
        <v>775</v>
      </c>
      <c r="AC67" s="448">
        <v>742000</v>
      </c>
      <c r="AD67" s="419"/>
      <c r="AE67" s="419"/>
      <c r="AF67" s="419"/>
      <c r="AG67" s="419"/>
      <c r="AH67" s="419"/>
      <c r="AI67" s="419"/>
      <c r="AJ67" s="419"/>
      <c r="AK67" s="419"/>
      <c r="AL67" s="419"/>
      <c r="AM67" s="419">
        <v>1000000</v>
      </c>
      <c r="AN67" s="419">
        <f t="shared" si="12"/>
        <v>1000000</v>
      </c>
      <c r="AO67" s="419">
        <f t="shared" si="10"/>
        <v>0</v>
      </c>
      <c r="AP67" s="449">
        <f t="shared" si="13"/>
        <v>1000000</v>
      </c>
      <c r="AQ67" s="419"/>
      <c r="AR67" s="419"/>
      <c r="AS67" s="419"/>
      <c r="AT67" s="419"/>
      <c r="AU67" s="419"/>
      <c r="AV67" s="449">
        <f t="shared" si="14"/>
        <v>1000000</v>
      </c>
      <c r="AW67" s="419"/>
      <c r="AX67" s="419"/>
      <c r="AY67" s="419"/>
      <c r="AZ67" s="419"/>
      <c r="BA67" s="419"/>
    </row>
    <row r="68" spans="1:53" s="452" customFormat="1" ht="30" customHeight="1">
      <c r="A68" s="469">
        <f t="shared" si="11"/>
        <v>63</v>
      </c>
      <c r="B68" s="455">
        <v>2152</v>
      </c>
      <c r="C68" s="448" t="s">
        <v>387</v>
      </c>
      <c r="D68" s="449">
        <v>16000000</v>
      </c>
      <c r="E68" s="449">
        <v>16000000</v>
      </c>
      <c r="F68" s="419">
        <f t="shared" si="0"/>
        <v>0</v>
      </c>
      <c r="G68" s="449">
        <v>1331810</v>
      </c>
      <c r="H68" s="449">
        <v>718751</v>
      </c>
      <c r="I68" s="449">
        <v>0</v>
      </c>
      <c r="J68" s="449">
        <v>122748</v>
      </c>
      <c r="K68" s="419">
        <f t="shared" si="18"/>
        <v>122748</v>
      </c>
      <c r="L68" s="419">
        <f t="shared" si="19"/>
        <v>841499</v>
      </c>
      <c r="M68" s="419">
        <f t="shared" si="23"/>
        <v>490311</v>
      </c>
      <c r="N68" s="419">
        <f>7000000-7000000</f>
        <v>0</v>
      </c>
      <c r="O68" s="419">
        <f t="shared" si="4"/>
        <v>14668190</v>
      </c>
      <c r="P68" s="419">
        <f t="shared" si="5"/>
        <v>490311</v>
      </c>
      <c r="Q68" s="419"/>
      <c r="R68" s="419"/>
      <c r="S68" s="419">
        <f t="shared" si="20"/>
        <v>0</v>
      </c>
      <c r="T68" s="419">
        <f t="shared" si="7"/>
        <v>0</v>
      </c>
      <c r="U68" s="419">
        <f t="shared" si="8"/>
        <v>0</v>
      </c>
      <c r="V68" s="419">
        <f t="shared" si="21"/>
        <v>0</v>
      </c>
      <c r="W68" s="419"/>
      <c r="X68" s="419"/>
      <c r="Y68" s="419"/>
      <c r="Z68" s="419"/>
      <c r="AA68" s="419"/>
      <c r="AB68" s="455" t="s">
        <v>630</v>
      </c>
      <c r="AC68" s="448">
        <v>810000</v>
      </c>
      <c r="AD68" s="419"/>
      <c r="AE68" s="419"/>
      <c r="AF68" s="419"/>
      <c r="AG68" s="419"/>
      <c r="AH68" s="419"/>
      <c r="AI68" s="419"/>
      <c r="AJ68" s="419"/>
      <c r="AK68" s="419"/>
      <c r="AL68" s="419"/>
      <c r="AM68" s="419"/>
      <c r="AN68" s="419">
        <f t="shared" si="12"/>
        <v>0</v>
      </c>
      <c r="AO68" s="419">
        <f t="shared" si="10"/>
        <v>0</v>
      </c>
      <c r="AP68" s="449">
        <f t="shared" si="13"/>
        <v>0</v>
      </c>
      <c r="AQ68" s="419"/>
      <c r="AR68" s="419"/>
      <c r="AS68" s="419"/>
      <c r="AT68" s="419"/>
      <c r="AU68" s="419"/>
      <c r="AV68" s="449">
        <f t="shared" si="14"/>
        <v>0</v>
      </c>
      <c r="AW68" s="419"/>
      <c r="AX68" s="419"/>
      <c r="AY68" s="419"/>
      <c r="AZ68" s="419"/>
      <c r="BA68" s="419"/>
    </row>
    <row r="69" spans="1:53" s="452" customFormat="1" ht="30" customHeight="1">
      <c r="A69" s="469">
        <f t="shared" si="11"/>
        <v>64</v>
      </c>
      <c r="B69" s="455">
        <v>2153</v>
      </c>
      <c r="C69" s="448" t="s">
        <v>409</v>
      </c>
      <c r="D69" s="450">
        <v>225000000</v>
      </c>
      <c r="E69" s="449">
        <v>225000000</v>
      </c>
      <c r="F69" s="419">
        <f t="shared" si="0"/>
        <v>0</v>
      </c>
      <c r="G69" s="449">
        <v>1000000</v>
      </c>
      <c r="H69" s="449">
        <v>524017</v>
      </c>
      <c r="I69" s="449">
        <v>0</v>
      </c>
      <c r="J69" s="449">
        <v>16430</v>
      </c>
      <c r="K69" s="419">
        <f t="shared" si="18"/>
        <v>16430</v>
      </c>
      <c r="L69" s="419">
        <f t="shared" si="19"/>
        <v>540447</v>
      </c>
      <c r="M69" s="419">
        <f t="shared" si="23"/>
        <v>459553</v>
      </c>
      <c r="N69" s="419">
        <f>10000000-2000000-6000000-1000000</f>
        <v>1000000</v>
      </c>
      <c r="O69" s="419">
        <f t="shared" si="4"/>
        <v>223000000</v>
      </c>
      <c r="P69" s="419">
        <f t="shared" si="5"/>
        <v>459553</v>
      </c>
      <c r="Q69" s="419"/>
      <c r="R69" s="419"/>
      <c r="S69" s="419">
        <f t="shared" si="20"/>
        <v>0</v>
      </c>
      <c r="T69" s="419">
        <f t="shared" si="7"/>
        <v>0</v>
      </c>
      <c r="U69" s="419">
        <f t="shared" si="8"/>
        <v>1000000</v>
      </c>
      <c r="V69" s="419">
        <f t="shared" si="21"/>
        <v>1000000</v>
      </c>
      <c r="W69" s="419"/>
      <c r="X69" s="419"/>
      <c r="Y69" s="419"/>
      <c r="Z69" s="419"/>
      <c r="AA69" s="469"/>
      <c r="AB69" s="455" t="s">
        <v>472</v>
      </c>
      <c r="AC69" s="448">
        <v>829000</v>
      </c>
      <c r="AD69" s="419"/>
      <c r="AE69" s="419"/>
      <c r="AF69" s="419"/>
      <c r="AG69" s="419"/>
      <c r="AH69" s="419"/>
      <c r="AI69" s="419"/>
      <c r="AJ69" s="419"/>
      <c r="AK69" s="419"/>
      <c r="AL69" s="419"/>
      <c r="AM69" s="419">
        <v>1000000</v>
      </c>
      <c r="AN69" s="419">
        <f t="shared" si="12"/>
        <v>1000000</v>
      </c>
      <c r="AO69" s="419">
        <f t="shared" si="10"/>
        <v>0</v>
      </c>
      <c r="AP69" s="449">
        <f t="shared" si="13"/>
        <v>1000000</v>
      </c>
      <c r="AQ69" s="419"/>
      <c r="AR69" s="419"/>
      <c r="AS69" s="419"/>
      <c r="AT69" s="419"/>
      <c r="AU69" s="419"/>
      <c r="AV69" s="449">
        <f t="shared" si="14"/>
        <v>1000000</v>
      </c>
      <c r="AW69" s="419"/>
      <c r="AX69" s="419"/>
      <c r="AY69" s="419"/>
      <c r="AZ69" s="419"/>
      <c r="BA69" s="419"/>
    </row>
    <row r="70" spans="1:53" s="157" customFormat="1" ht="30" customHeight="1">
      <c r="A70" s="469">
        <f t="shared" si="11"/>
        <v>65</v>
      </c>
      <c r="B70" s="455">
        <v>2164</v>
      </c>
      <c r="C70" s="448" t="s">
        <v>397</v>
      </c>
      <c r="D70" s="449">
        <v>300000</v>
      </c>
      <c r="E70" s="449">
        <v>300000</v>
      </c>
      <c r="F70" s="449">
        <f t="shared" ref="F70:F102" si="24">D70-E70</f>
        <v>0</v>
      </c>
      <c r="G70" s="449">
        <v>300000</v>
      </c>
      <c r="H70" s="449">
        <v>24087</v>
      </c>
      <c r="I70" s="449">
        <v>0</v>
      </c>
      <c r="J70" s="449">
        <v>16059.21</v>
      </c>
      <c r="K70" s="449">
        <f>I70+J70</f>
        <v>16059.21</v>
      </c>
      <c r="L70" s="449">
        <f>H70+K70</f>
        <v>40146.21</v>
      </c>
      <c r="M70" s="449">
        <f t="shared" si="23"/>
        <v>259853.79</v>
      </c>
      <c r="N70" s="449"/>
      <c r="O70" s="449">
        <f t="shared" ref="O70:O102" si="25">D70-L70-M70-N70</f>
        <v>0</v>
      </c>
      <c r="P70" s="449">
        <f t="shared" ref="P70:P93" si="26">G70-L70</f>
        <v>259853.79</v>
      </c>
      <c r="Q70" s="449"/>
      <c r="R70" s="449"/>
      <c r="S70" s="449">
        <f>SUM(Q70:R70)</f>
        <v>0</v>
      </c>
      <c r="T70" s="449">
        <f t="shared" ref="T70:T93" si="27">P70-M70+S70</f>
        <v>0</v>
      </c>
      <c r="U70" s="449">
        <f t="shared" ref="U70:U102" si="28">N70-T70</f>
        <v>0</v>
      </c>
      <c r="V70" s="449"/>
      <c r="W70" s="419">
        <f>U70-V70-AA70</f>
        <v>0</v>
      </c>
      <c r="X70" s="449"/>
      <c r="Y70" s="449"/>
      <c r="Z70" s="449"/>
      <c r="AA70" s="449"/>
      <c r="AB70" s="448" t="s">
        <v>398</v>
      </c>
      <c r="AC70" s="448">
        <v>742000</v>
      </c>
      <c r="AD70" s="419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>
        <f t="shared" si="12"/>
        <v>0</v>
      </c>
      <c r="AO70" s="419">
        <f t="shared" ref="AO70:AO106" si="29">U70-AN70</f>
        <v>0</v>
      </c>
      <c r="AP70" s="449">
        <f t="shared" si="13"/>
        <v>0</v>
      </c>
      <c r="AQ70" s="419"/>
      <c r="AR70" s="419"/>
      <c r="AS70" s="419"/>
      <c r="AT70" s="419"/>
      <c r="AU70" s="419"/>
      <c r="AV70" s="449">
        <f t="shared" si="14"/>
        <v>0</v>
      </c>
      <c r="AW70" s="419"/>
      <c r="AX70" s="419"/>
      <c r="AY70" s="419"/>
      <c r="AZ70" s="419"/>
      <c r="BA70" s="419"/>
    </row>
    <row r="71" spans="1:53" s="452" customFormat="1" ht="30" customHeight="1">
      <c r="A71" s="469">
        <f t="shared" ref="A71:A106" si="30">A70+1</f>
        <v>66</v>
      </c>
      <c r="B71" s="455">
        <v>2174</v>
      </c>
      <c r="C71" s="448" t="s">
        <v>1056</v>
      </c>
      <c r="D71" s="449">
        <v>10598992</v>
      </c>
      <c r="E71" s="449">
        <v>10598992</v>
      </c>
      <c r="F71" s="419">
        <f t="shared" si="24"/>
        <v>0</v>
      </c>
      <c r="G71" s="449">
        <v>10598992</v>
      </c>
      <c r="H71" s="449">
        <v>10315714</v>
      </c>
      <c r="I71" s="449">
        <v>0</v>
      </c>
      <c r="J71" s="449">
        <v>203718</v>
      </c>
      <c r="K71" s="419">
        <f t="shared" si="18"/>
        <v>203718</v>
      </c>
      <c r="L71" s="419">
        <f t="shared" si="19"/>
        <v>10519432</v>
      </c>
      <c r="M71" s="419">
        <f t="shared" si="23"/>
        <v>79560</v>
      </c>
      <c r="N71" s="419"/>
      <c r="O71" s="419">
        <f t="shared" si="25"/>
        <v>0</v>
      </c>
      <c r="P71" s="419">
        <f t="shared" si="26"/>
        <v>79560</v>
      </c>
      <c r="Q71" s="419"/>
      <c r="R71" s="419"/>
      <c r="S71" s="419">
        <f t="shared" ref="S71:S102" si="31">SUM(Q71:R71)</f>
        <v>0</v>
      </c>
      <c r="T71" s="419">
        <f t="shared" si="27"/>
        <v>0</v>
      </c>
      <c r="U71" s="419">
        <f t="shared" si="28"/>
        <v>0</v>
      </c>
      <c r="V71" s="419">
        <f t="shared" si="21"/>
        <v>0</v>
      </c>
      <c r="W71" s="419"/>
      <c r="X71" s="419"/>
      <c r="Y71" s="419"/>
      <c r="Z71" s="419"/>
      <c r="AA71" s="419"/>
      <c r="AB71" s="448" t="s">
        <v>1057</v>
      </c>
      <c r="AC71" s="448">
        <v>810000</v>
      </c>
      <c r="AD71" s="419"/>
      <c r="AE71" s="419"/>
      <c r="AF71" s="419"/>
      <c r="AG71" s="419"/>
      <c r="AH71" s="419"/>
      <c r="AI71" s="419"/>
      <c r="AJ71" s="419"/>
      <c r="AK71" s="419"/>
      <c r="AL71" s="419"/>
      <c r="AM71" s="419"/>
      <c r="AN71" s="419">
        <f t="shared" ref="AN71:AN106" si="32">SUM(AD71:AM71)</f>
        <v>0</v>
      </c>
      <c r="AO71" s="419">
        <f t="shared" si="29"/>
        <v>0</v>
      </c>
      <c r="AP71" s="449">
        <f t="shared" ref="AP71:AP106" si="33">AN71-AQ71-AU71</f>
        <v>0</v>
      </c>
      <c r="AQ71" s="419"/>
      <c r="AR71" s="419"/>
      <c r="AS71" s="419"/>
      <c r="AT71" s="419"/>
      <c r="AU71" s="419"/>
      <c r="AV71" s="449">
        <f t="shared" ref="AV71:AV106" si="34">AM71-AW71-BA71</f>
        <v>0</v>
      </c>
      <c r="AW71" s="419"/>
      <c r="AX71" s="419"/>
      <c r="AY71" s="419"/>
      <c r="AZ71" s="419"/>
      <c r="BA71" s="419"/>
    </row>
    <row r="72" spans="1:53" s="452" customFormat="1" ht="30" customHeight="1">
      <c r="A72" s="469">
        <f t="shared" si="30"/>
        <v>67</v>
      </c>
      <c r="B72" s="455">
        <v>2175</v>
      </c>
      <c r="C72" s="448" t="s">
        <v>426</v>
      </c>
      <c r="D72" s="449">
        <v>21000000</v>
      </c>
      <c r="E72" s="449">
        <v>21000000</v>
      </c>
      <c r="F72" s="419">
        <f t="shared" si="24"/>
        <v>0</v>
      </c>
      <c r="G72" s="449">
        <v>5665336</v>
      </c>
      <c r="H72" s="449">
        <v>1275603</v>
      </c>
      <c r="I72" s="449">
        <v>0</v>
      </c>
      <c r="J72" s="449">
        <v>528758</v>
      </c>
      <c r="K72" s="419">
        <f t="shared" si="18"/>
        <v>528758</v>
      </c>
      <c r="L72" s="419">
        <f t="shared" si="19"/>
        <v>1804361</v>
      </c>
      <c r="M72" s="419">
        <f t="shared" si="23"/>
        <v>7806272</v>
      </c>
      <c r="N72" s="419">
        <f>10334664-1000000</f>
        <v>9334664</v>
      </c>
      <c r="O72" s="419">
        <f t="shared" si="25"/>
        <v>2054703</v>
      </c>
      <c r="P72" s="419">
        <f t="shared" si="26"/>
        <v>3860975</v>
      </c>
      <c r="Q72" s="626">
        <f>1516647+1671100+835550-52000-26000</f>
        <v>3945297</v>
      </c>
      <c r="R72" s="419"/>
      <c r="S72" s="419">
        <f t="shared" si="31"/>
        <v>3945297</v>
      </c>
      <c r="T72" s="419">
        <f t="shared" si="27"/>
        <v>0</v>
      </c>
      <c r="U72" s="419">
        <f t="shared" si="28"/>
        <v>9334664</v>
      </c>
      <c r="V72" s="419">
        <f t="shared" si="21"/>
        <v>9334664</v>
      </c>
      <c r="W72" s="419"/>
      <c r="X72" s="419"/>
      <c r="Y72" s="419"/>
      <c r="Z72" s="419"/>
      <c r="AA72" s="419"/>
      <c r="AB72" s="448" t="s">
        <v>696</v>
      </c>
      <c r="AC72" s="448">
        <v>810000</v>
      </c>
      <c r="AD72" s="419"/>
      <c r="AE72" s="419"/>
      <c r="AF72" s="419"/>
      <c r="AG72" s="419"/>
      <c r="AH72" s="120">
        <v>3334664</v>
      </c>
      <c r="AI72" s="120"/>
      <c r="AJ72" s="120"/>
      <c r="AK72" s="120">
        <f>1500000+3000000</f>
        <v>4500000</v>
      </c>
      <c r="AL72" s="419"/>
      <c r="AM72" s="419">
        <v>1500000</v>
      </c>
      <c r="AN72" s="419">
        <f t="shared" si="32"/>
        <v>9334664</v>
      </c>
      <c r="AO72" s="419">
        <f t="shared" si="29"/>
        <v>0</v>
      </c>
      <c r="AP72" s="449">
        <f t="shared" si="33"/>
        <v>9334664</v>
      </c>
      <c r="AQ72" s="419"/>
      <c r="AR72" s="419"/>
      <c r="AS72" s="419"/>
      <c r="AT72" s="419"/>
      <c r="AU72" s="419"/>
      <c r="AV72" s="449">
        <f t="shared" si="34"/>
        <v>1500000</v>
      </c>
      <c r="AW72" s="419"/>
      <c r="AX72" s="419"/>
      <c r="AY72" s="419"/>
      <c r="AZ72" s="419"/>
      <c r="BA72" s="419"/>
    </row>
    <row r="73" spans="1:53" s="452" customFormat="1" ht="30" customHeight="1">
      <c r="A73" s="469">
        <f t="shared" si="30"/>
        <v>68</v>
      </c>
      <c r="B73" s="455">
        <v>2180</v>
      </c>
      <c r="C73" s="448" t="s">
        <v>427</v>
      </c>
      <c r="D73" s="449">
        <v>1000000</v>
      </c>
      <c r="E73" s="449">
        <v>1000000</v>
      </c>
      <c r="F73" s="419">
        <f t="shared" si="24"/>
        <v>0</v>
      </c>
      <c r="G73" s="449">
        <v>1000000</v>
      </c>
      <c r="H73" s="449">
        <v>107809</v>
      </c>
      <c r="I73" s="449">
        <v>0</v>
      </c>
      <c r="J73" s="449">
        <v>140229</v>
      </c>
      <c r="K73" s="419">
        <f t="shared" si="18"/>
        <v>140229</v>
      </c>
      <c r="L73" s="419">
        <f t="shared" si="19"/>
        <v>248038</v>
      </c>
      <c r="M73" s="419">
        <f t="shared" si="23"/>
        <v>751962</v>
      </c>
      <c r="N73" s="419"/>
      <c r="O73" s="419">
        <f t="shared" si="25"/>
        <v>0</v>
      </c>
      <c r="P73" s="419">
        <f t="shared" si="26"/>
        <v>751962</v>
      </c>
      <c r="Q73" s="419"/>
      <c r="R73" s="419"/>
      <c r="S73" s="419">
        <f t="shared" si="31"/>
        <v>0</v>
      </c>
      <c r="T73" s="419">
        <f t="shared" si="27"/>
        <v>0</v>
      </c>
      <c r="U73" s="419">
        <f t="shared" si="28"/>
        <v>0</v>
      </c>
      <c r="V73" s="419">
        <f t="shared" si="21"/>
        <v>0</v>
      </c>
      <c r="W73" s="419"/>
      <c r="X73" s="419"/>
      <c r="Y73" s="419"/>
      <c r="Z73" s="419"/>
      <c r="AA73" s="469"/>
      <c r="AB73" s="448" t="s">
        <v>473</v>
      </c>
      <c r="AC73" s="448">
        <v>732000</v>
      </c>
      <c r="AD73" s="419"/>
      <c r="AE73" s="419"/>
      <c r="AF73" s="419"/>
      <c r="AG73" s="419"/>
      <c r="AH73" s="419"/>
      <c r="AI73" s="419"/>
      <c r="AJ73" s="419"/>
      <c r="AK73" s="419"/>
      <c r="AL73" s="419"/>
      <c r="AM73" s="419"/>
      <c r="AN73" s="419">
        <f t="shared" si="32"/>
        <v>0</v>
      </c>
      <c r="AO73" s="419">
        <f t="shared" si="29"/>
        <v>0</v>
      </c>
      <c r="AP73" s="449">
        <f t="shared" si="33"/>
        <v>0</v>
      </c>
      <c r="AQ73" s="419"/>
      <c r="AR73" s="419"/>
      <c r="AS73" s="419"/>
      <c r="AT73" s="419"/>
      <c r="AU73" s="419"/>
      <c r="AV73" s="449">
        <f t="shared" si="34"/>
        <v>0</v>
      </c>
      <c r="AW73" s="419"/>
      <c r="AX73" s="419"/>
      <c r="AY73" s="419"/>
      <c r="AZ73" s="419"/>
      <c r="BA73" s="419"/>
    </row>
    <row r="74" spans="1:53" s="452" customFormat="1" ht="30" customHeight="1">
      <c r="A74" s="469">
        <f t="shared" si="30"/>
        <v>69</v>
      </c>
      <c r="B74" s="455">
        <v>2182</v>
      </c>
      <c r="C74" s="448" t="s">
        <v>428</v>
      </c>
      <c r="D74" s="450">
        <f>2500000+1400000</f>
        <v>3900000</v>
      </c>
      <c r="E74" s="449">
        <v>2500000</v>
      </c>
      <c r="F74" s="419">
        <f t="shared" si="24"/>
        <v>1400000</v>
      </c>
      <c r="G74" s="449">
        <v>2000000</v>
      </c>
      <c r="H74" s="449">
        <v>553411</v>
      </c>
      <c r="I74" s="449">
        <v>0</v>
      </c>
      <c r="J74" s="449">
        <v>306519</v>
      </c>
      <c r="K74" s="419">
        <f t="shared" si="18"/>
        <v>306519</v>
      </c>
      <c r="L74" s="419">
        <f t="shared" si="19"/>
        <v>859930</v>
      </c>
      <c r="M74" s="419">
        <f>P74+S74-1000000</f>
        <v>140070</v>
      </c>
      <c r="N74" s="419">
        <f>2900000-1550000</f>
        <v>1350000</v>
      </c>
      <c r="O74" s="419">
        <f t="shared" si="25"/>
        <v>1550000</v>
      </c>
      <c r="P74" s="419">
        <f t="shared" si="26"/>
        <v>1140070</v>
      </c>
      <c r="Q74" s="419"/>
      <c r="R74" s="419"/>
      <c r="S74" s="419">
        <f t="shared" si="31"/>
        <v>0</v>
      </c>
      <c r="T74" s="419">
        <f t="shared" si="27"/>
        <v>1000000</v>
      </c>
      <c r="U74" s="419">
        <f t="shared" si="28"/>
        <v>350000</v>
      </c>
      <c r="V74" s="419">
        <f t="shared" si="21"/>
        <v>350000</v>
      </c>
      <c r="W74" s="419"/>
      <c r="X74" s="419"/>
      <c r="Y74" s="419"/>
      <c r="Z74" s="419"/>
      <c r="AA74" s="469"/>
      <c r="AB74" s="448" t="s">
        <v>522</v>
      </c>
      <c r="AC74" s="448">
        <v>810000</v>
      </c>
      <c r="AD74" s="419"/>
      <c r="AE74" s="419"/>
      <c r="AF74" s="419"/>
      <c r="AG74" s="419"/>
      <c r="AH74" s="419"/>
      <c r="AI74" s="419"/>
      <c r="AJ74" s="419"/>
      <c r="AK74" s="419"/>
      <c r="AL74" s="419"/>
      <c r="AM74" s="419">
        <v>350000</v>
      </c>
      <c r="AN74" s="419">
        <f t="shared" si="32"/>
        <v>350000</v>
      </c>
      <c r="AO74" s="419">
        <f t="shared" si="29"/>
        <v>0</v>
      </c>
      <c r="AP74" s="449">
        <f t="shared" si="33"/>
        <v>350000</v>
      </c>
      <c r="AQ74" s="419"/>
      <c r="AR74" s="419"/>
      <c r="AS74" s="419"/>
      <c r="AT74" s="419"/>
      <c r="AU74" s="419"/>
      <c r="AV74" s="449">
        <f t="shared" si="34"/>
        <v>350000</v>
      </c>
      <c r="AW74" s="419"/>
      <c r="AX74" s="419"/>
      <c r="AY74" s="419"/>
      <c r="AZ74" s="419"/>
      <c r="BA74" s="419"/>
    </row>
    <row r="75" spans="1:53" s="157" customFormat="1" ht="30" customHeight="1">
      <c r="A75" s="469">
        <f t="shared" si="30"/>
        <v>70</v>
      </c>
      <c r="B75" s="448">
        <v>2184</v>
      </c>
      <c r="C75" s="448" t="s">
        <v>1058</v>
      </c>
      <c r="D75" s="449">
        <v>2180000</v>
      </c>
      <c r="E75" s="449">
        <v>2180000</v>
      </c>
      <c r="F75" s="449">
        <f t="shared" si="24"/>
        <v>0</v>
      </c>
      <c r="G75" s="449">
        <v>560000</v>
      </c>
      <c r="H75" s="449">
        <v>43432</v>
      </c>
      <c r="I75" s="449">
        <v>0</v>
      </c>
      <c r="J75" s="449">
        <v>0</v>
      </c>
      <c r="K75" s="449">
        <f>I75+J75</f>
        <v>0</v>
      </c>
      <c r="L75" s="449">
        <f>H75+K75</f>
        <v>43432</v>
      </c>
      <c r="M75" s="449">
        <f>P75+S75</f>
        <v>516568</v>
      </c>
      <c r="N75" s="449"/>
      <c r="O75" s="449">
        <f t="shared" si="25"/>
        <v>1620000</v>
      </c>
      <c r="P75" s="449">
        <f t="shared" si="26"/>
        <v>516568</v>
      </c>
      <c r="Q75" s="449"/>
      <c r="R75" s="449"/>
      <c r="S75" s="449">
        <f t="shared" si="31"/>
        <v>0</v>
      </c>
      <c r="T75" s="449">
        <f t="shared" si="27"/>
        <v>0</v>
      </c>
      <c r="U75" s="449">
        <f t="shared" si="28"/>
        <v>0</v>
      </c>
      <c r="V75" s="449"/>
      <c r="W75" s="449">
        <f>U75-V75-AA75</f>
        <v>0</v>
      </c>
      <c r="X75" s="449"/>
      <c r="Y75" s="449"/>
      <c r="Z75" s="449"/>
      <c r="AA75" s="448"/>
      <c r="AB75" s="448" t="s">
        <v>516</v>
      </c>
      <c r="AC75" s="448">
        <v>930000</v>
      </c>
      <c r="AD75" s="419"/>
      <c r="AE75" s="419"/>
      <c r="AF75" s="419"/>
      <c r="AG75" s="419"/>
      <c r="AH75" s="419"/>
      <c r="AI75" s="419"/>
      <c r="AJ75" s="419"/>
      <c r="AK75" s="419"/>
      <c r="AL75" s="419"/>
      <c r="AM75" s="419"/>
      <c r="AN75" s="419">
        <f t="shared" si="32"/>
        <v>0</v>
      </c>
      <c r="AO75" s="419">
        <f t="shared" si="29"/>
        <v>0</v>
      </c>
      <c r="AP75" s="449">
        <f t="shared" si="33"/>
        <v>0</v>
      </c>
      <c r="AQ75" s="419"/>
      <c r="AR75" s="419"/>
      <c r="AS75" s="419"/>
      <c r="AT75" s="419"/>
      <c r="AU75" s="419"/>
      <c r="AV75" s="449">
        <f t="shared" si="34"/>
        <v>0</v>
      </c>
      <c r="AW75" s="419"/>
      <c r="AX75" s="419"/>
      <c r="AY75" s="419"/>
      <c r="AZ75" s="419"/>
      <c r="BA75" s="419"/>
    </row>
    <row r="76" spans="1:53" s="452" customFormat="1" ht="30" customHeight="1">
      <c r="A76" s="469">
        <f t="shared" si="30"/>
        <v>71</v>
      </c>
      <c r="B76" s="455">
        <v>2185</v>
      </c>
      <c r="C76" s="448" t="s">
        <v>429</v>
      </c>
      <c r="D76" s="449">
        <v>40000000</v>
      </c>
      <c r="E76" s="449">
        <v>40000000</v>
      </c>
      <c r="F76" s="419">
        <f t="shared" si="24"/>
        <v>0</v>
      </c>
      <c r="G76" s="449">
        <v>981587</v>
      </c>
      <c r="H76" s="449">
        <v>458266</v>
      </c>
      <c r="I76" s="449">
        <v>0</v>
      </c>
      <c r="J76" s="449">
        <v>198595</v>
      </c>
      <c r="K76" s="419">
        <f t="shared" ref="K76:K103" si="35">SUM(I76:J76)</f>
        <v>198595</v>
      </c>
      <c r="L76" s="419">
        <f t="shared" ref="L76:L93" si="36">K76+H76</f>
        <v>656861</v>
      </c>
      <c r="M76" s="419">
        <f>P76+S76-2000000</f>
        <v>2730421</v>
      </c>
      <c r="N76" s="419">
        <f>25000000-15000000-5000000+4398625-4398625+4398625-5000000+2000000</f>
        <v>6398625</v>
      </c>
      <c r="O76" s="419">
        <f t="shared" si="25"/>
        <v>30214093</v>
      </c>
      <c r="P76" s="419">
        <f t="shared" si="26"/>
        <v>324726</v>
      </c>
      <c r="Q76" s="482">
        <v>4405695</v>
      </c>
      <c r="R76" s="419"/>
      <c r="S76" s="419">
        <f t="shared" si="31"/>
        <v>4405695</v>
      </c>
      <c r="T76" s="419">
        <f t="shared" si="27"/>
        <v>2000000</v>
      </c>
      <c r="U76" s="419">
        <f t="shared" si="28"/>
        <v>4398625</v>
      </c>
      <c r="V76" s="419">
        <f>U76-Z76-X76-AA76-W76</f>
        <v>0</v>
      </c>
      <c r="W76" s="419"/>
      <c r="X76" s="419"/>
      <c r="Y76" s="419"/>
      <c r="Z76" s="419"/>
      <c r="AA76" s="419">
        <f>4398625-4398625+4398625</f>
        <v>4398625</v>
      </c>
      <c r="AB76" s="448" t="s">
        <v>828</v>
      </c>
      <c r="AC76" s="448">
        <v>810000</v>
      </c>
      <c r="AD76" s="419"/>
      <c r="AE76" s="419"/>
      <c r="AF76" s="419"/>
      <c r="AG76" s="419"/>
      <c r="AH76" s="419"/>
      <c r="AI76" s="419"/>
      <c r="AJ76" s="419"/>
      <c r="AK76" s="419"/>
      <c r="AL76" s="419"/>
      <c r="AM76" s="419"/>
      <c r="AN76" s="419">
        <f t="shared" si="32"/>
        <v>0</v>
      </c>
      <c r="AO76" s="419">
        <f t="shared" si="29"/>
        <v>4398625</v>
      </c>
      <c r="AP76" s="449">
        <f t="shared" si="33"/>
        <v>0</v>
      </c>
      <c r="AQ76" s="419"/>
      <c r="AR76" s="419"/>
      <c r="AS76" s="419"/>
      <c r="AT76" s="419"/>
      <c r="AU76" s="419"/>
      <c r="AV76" s="449">
        <f t="shared" si="34"/>
        <v>0</v>
      </c>
      <c r="AW76" s="419"/>
      <c r="AX76" s="419"/>
      <c r="AY76" s="419"/>
      <c r="AZ76" s="419"/>
      <c r="BA76" s="419"/>
    </row>
    <row r="77" spans="1:53" s="452" customFormat="1" ht="30" customHeight="1">
      <c r="A77" s="469">
        <f t="shared" si="30"/>
        <v>72</v>
      </c>
      <c r="B77" s="455">
        <v>2191</v>
      </c>
      <c r="C77" s="448" t="s">
        <v>491</v>
      </c>
      <c r="D77" s="449">
        <v>14000000</v>
      </c>
      <c r="E77" s="449">
        <v>14000000</v>
      </c>
      <c r="F77" s="449">
        <f t="shared" si="24"/>
        <v>0</v>
      </c>
      <c r="G77" s="449">
        <v>500000</v>
      </c>
      <c r="H77" s="449">
        <v>300187</v>
      </c>
      <c r="I77" s="449">
        <v>0</v>
      </c>
      <c r="J77" s="449">
        <v>71872</v>
      </c>
      <c r="K77" s="419">
        <f t="shared" si="35"/>
        <v>71872</v>
      </c>
      <c r="L77" s="419">
        <f t="shared" si="36"/>
        <v>372059</v>
      </c>
      <c r="M77" s="419">
        <f>P77+S77</f>
        <v>327941</v>
      </c>
      <c r="N77" s="419">
        <f>13300000-13300000</f>
        <v>0</v>
      </c>
      <c r="O77" s="449">
        <f t="shared" si="25"/>
        <v>13300000</v>
      </c>
      <c r="P77" s="449">
        <f t="shared" si="26"/>
        <v>127941</v>
      </c>
      <c r="Q77" s="482">
        <v>200000</v>
      </c>
      <c r="R77" s="449"/>
      <c r="S77" s="449">
        <f t="shared" si="31"/>
        <v>200000</v>
      </c>
      <c r="T77" s="449">
        <f t="shared" si="27"/>
        <v>0</v>
      </c>
      <c r="U77" s="449">
        <f t="shared" si="28"/>
        <v>0</v>
      </c>
      <c r="V77" s="449">
        <f>U77-AA77-W77-Z77</f>
        <v>0</v>
      </c>
      <c r="W77" s="449"/>
      <c r="X77" s="449"/>
      <c r="Y77" s="449"/>
      <c r="Z77" s="449"/>
      <c r="AA77" s="449"/>
      <c r="AB77" s="448" t="s">
        <v>631</v>
      </c>
      <c r="AC77" s="448">
        <v>742000</v>
      </c>
      <c r="AD77" s="419"/>
      <c r="AE77" s="419"/>
      <c r="AF77" s="419"/>
      <c r="AG77" s="419"/>
      <c r="AH77" s="419"/>
      <c r="AI77" s="419"/>
      <c r="AJ77" s="419"/>
      <c r="AK77" s="419"/>
      <c r="AL77" s="419"/>
      <c r="AM77" s="419"/>
      <c r="AN77" s="419">
        <f t="shared" si="32"/>
        <v>0</v>
      </c>
      <c r="AO77" s="419">
        <f t="shared" si="29"/>
        <v>0</v>
      </c>
      <c r="AP77" s="449">
        <f t="shared" si="33"/>
        <v>0</v>
      </c>
      <c r="AQ77" s="419"/>
      <c r="AR77" s="419"/>
      <c r="AS77" s="419"/>
      <c r="AT77" s="419"/>
      <c r="AU77" s="419"/>
      <c r="AV77" s="449">
        <f t="shared" si="34"/>
        <v>0</v>
      </c>
      <c r="AW77" s="419"/>
      <c r="AX77" s="419"/>
      <c r="AY77" s="419"/>
      <c r="AZ77" s="419"/>
      <c r="BA77" s="419"/>
    </row>
    <row r="78" spans="1:53" s="452" customFormat="1" ht="30" customHeight="1">
      <c r="A78" s="469">
        <f t="shared" si="30"/>
        <v>73</v>
      </c>
      <c r="B78" s="455">
        <v>2194</v>
      </c>
      <c r="C78" s="448" t="s">
        <v>494</v>
      </c>
      <c r="D78" s="449">
        <v>700000</v>
      </c>
      <c r="E78" s="449">
        <v>700000</v>
      </c>
      <c r="F78" s="449">
        <f t="shared" si="24"/>
        <v>0</v>
      </c>
      <c r="G78" s="449">
        <v>500000</v>
      </c>
      <c r="H78" s="449">
        <v>0</v>
      </c>
      <c r="I78" s="449">
        <v>0</v>
      </c>
      <c r="J78" s="449">
        <v>0</v>
      </c>
      <c r="K78" s="419">
        <f t="shared" si="35"/>
        <v>0</v>
      </c>
      <c r="L78" s="419">
        <f t="shared" si="36"/>
        <v>0</v>
      </c>
      <c r="M78" s="419">
        <f>P78+S78-400000</f>
        <v>100000</v>
      </c>
      <c r="N78" s="419">
        <f>200000-200000</f>
        <v>0</v>
      </c>
      <c r="O78" s="449">
        <f t="shared" si="25"/>
        <v>600000</v>
      </c>
      <c r="P78" s="449">
        <f t="shared" si="26"/>
        <v>500000</v>
      </c>
      <c r="Q78" s="449"/>
      <c r="R78" s="449"/>
      <c r="S78" s="449">
        <f t="shared" si="31"/>
        <v>0</v>
      </c>
      <c r="T78" s="449">
        <f t="shared" si="27"/>
        <v>400000</v>
      </c>
      <c r="U78" s="449">
        <f t="shared" si="28"/>
        <v>-400000</v>
      </c>
      <c r="V78" s="449">
        <f>U78-AA78-W78-Z78</f>
        <v>-400000</v>
      </c>
      <c r="W78" s="449"/>
      <c r="X78" s="449"/>
      <c r="Y78" s="449"/>
      <c r="Z78" s="449"/>
      <c r="AA78" s="449"/>
      <c r="AB78" s="448" t="s">
        <v>632</v>
      </c>
      <c r="AC78" s="448">
        <v>742000</v>
      </c>
      <c r="AD78" s="419"/>
      <c r="AE78" s="419"/>
      <c r="AF78" s="419"/>
      <c r="AG78" s="419"/>
      <c r="AH78" s="419"/>
      <c r="AI78" s="419">
        <v>-400000</v>
      </c>
      <c r="AJ78" s="419"/>
      <c r="AK78" s="419"/>
      <c r="AL78" s="419"/>
      <c r="AM78" s="419"/>
      <c r="AN78" s="419">
        <f t="shared" si="32"/>
        <v>-400000</v>
      </c>
      <c r="AO78" s="419">
        <f t="shared" si="29"/>
        <v>0</v>
      </c>
      <c r="AP78" s="449">
        <f t="shared" si="33"/>
        <v>-400000</v>
      </c>
      <c r="AQ78" s="419"/>
      <c r="AR78" s="419"/>
      <c r="AS78" s="419"/>
      <c r="AT78" s="419"/>
      <c r="AU78" s="419"/>
      <c r="AV78" s="449">
        <f t="shared" si="34"/>
        <v>0</v>
      </c>
      <c r="AW78" s="419"/>
      <c r="AX78" s="419"/>
      <c r="AY78" s="419"/>
      <c r="AZ78" s="419"/>
      <c r="BA78" s="419"/>
    </row>
    <row r="79" spans="1:53" s="452" customFormat="1" ht="30" customHeight="1">
      <c r="A79" s="469">
        <f t="shared" si="30"/>
        <v>74</v>
      </c>
      <c r="B79" s="455">
        <v>2196</v>
      </c>
      <c r="C79" s="448" t="s">
        <v>496</v>
      </c>
      <c r="D79" s="449">
        <v>21135000</v>
      </c>
      <c r="E79" s="449">
        <v>21135000</v>
      </c>
      <c r="F79" s="449">
        <f t="shared" si="24"/>
        <v>0</v>
      </c>
      <c r="G79" s="449">
        <v>500000</v>
      </c>
      <c r="H79" s="449">
        <v>317834</v>
      </c>
      <c r="I79" s="449">
        <v>0</v>
      </c>
      <c r="J79" s="449">
        <v>110035</v>
      </c>
      <c r="K79" s="419">
        <f t="shared" si="35"/>
        <v>110035</v>
      </c>
      <c r="L79" s="419">
        <f t="shared" si="36"/>
        <v>427869</v>
      </c>
      <c r="M79" s="419">
        <f t="shared" ref="M79:M106" si="37">P79+S79</f>
        <v>572131</v>
      </c>
      <c r="N79" s="419">
        <f>20135000-15135000-1000000-3000000</f>
        <v>1000000</v>
      </c>
      <c r="O79" s="449">
        <f t="shared" si="25"/>
        <v>19135000</v>
      </c>
      <c r="P79" s="449">
        <f t="shared" si="26"/>
        <v>72131</v>
      </c>
      <c r="Q79" s="482">
        <v>500000</v>
      </c>
      <c r="R79" s="449"/>
      <c r="S79" s="449">
        <f t="shared" si="31"/>
        <v>500000</v>
      </c>
      <c r="T79" s="449">
        <f t="shared" si="27"/>
        <v>0</v>
      </c>
      <c r="U79" s="449">
        <f t="shared" si="28"/>
        <v>1000000</v>
      </c>
      <c r="V79" s="449">
        <f>U79-AA79-W79-Z79</f>
        <v>1000000</v>
      </c>
      <c r="W79" s="449"/>
      <c r="X79" s="449"/>
      <c r="Y79" s="449"/>
      <c r="Z79" s="449"/>
      <c r="AA79" s="449"/>
      <c r="AB79" s="448" t="s">
        <v>633</v>
      </c>
      <c r="AC79" s="448">
        <v>742000</v>
      </c>
      <c r="AD79" s="419"/>
      <c r="AE79" s="419"/>
      <c r="AF79" s="419"/>
      <c r="AG79" s="419"/>
      <c r="AH79" s="419"/>
      <c r="AI79" s="419"/>
      <c r="AJ79" s="419"/>
      <c r="AK79" s="419"/>
      <c r="AL79" s="419"/>
      <c r="AM79" s="419">
        <f>1000000-500000</f>
        <v>500000</v>
      </c>
      <c r="AN79" s="419">
        <f t="shared" si="32"/>
        <v>500000</v>
      </c>
      <c r="AO79" s="419">
        <f t="shared" si="29"/>
        <v>500000</v>
      </c>
      <c r="AP79" s="449">
        <f t="shared" si="33"/>
        <v>500000</v>
      </c>
      <c r="AQ79" s="419"/>
      <c r="AR79" s="419"/>
      <c r="AS79" s="419"/>
      <c r="AT79" s="419"/>
      <c r="AU79" s="419"/>
      <c r="AV79" s="449">
        <f t="shared" si="34"/>
        <v>500000</v>
      </c>
      <c r="AW79" s="419"/>
      <c r="AX79" s="419"/>
      <c r="AY79" s="419"/>
      <c r="AZ79" s="419"/>
      <c r="BA79" s="419"/>
    </row>
    <row r="80" spans="1:53" s="452" customFormat="1" ht="30" customHeight="1">
      <c r="A80" s="469">
        <f t="shared" si="30"/>
        <v>75</v>
      </c>
      <c r="B80" s="455">
        <v>2197</v>
      </c>
      <c r="C80" s="448" t="s">
        <v>497</v>
      </c>
      <c r="D80" s="449">
        <v>15160000</v>
      </c>
      <c r="E80" s="449">
        <v>15160000</v>
      </c>
      <c r="F80" s="449">
        <f t="shared" si="24"/>
        <v>0</v>
      </c>
      <c r="G80" s="449">
        <v>600000</v>
      </c>
      <c r="H80" s="449">
        <v>479168</v>
      </c>
      <c r="I80" s="449">
        <v>0</v>
      </c>
      <c r="J80" s="449">
        <v>12402</v>
      </c>
      <c r="K80" s="419">
        <f t="shared" si="35"/>
        <v>12402</v>
      </c>
      <c r="L80" s="419">
        <f t="shared" si="36"/>
        <v>491570</v>
      </c>
      <c r="M80" s="419">
        <f t="shared" si="37"/>
        <v>208430</v>
      </c>
      <c r="N80" s="419">
        <f>14460000-14460000</f>
        <v>0</v>
      </c>
      <c r="O80" s="449">
        <f t="shared" si="25"/>
        <v>14460000</v>
      </c>
      <c r="P80" s="449">
        <f t="shared" si="26"/>
        <v>108430</v>
      </c>
      <c r="Q80" s="482">
        <v>100000</v>
      </c>
      <c r="R80" s="449"/>
      <c r="S80" s="449">
        <f t="shared" si="31"/>
        <v>100000</v>
      </c>
      <c r="T80" s="449">
        <f t="shared" si="27"/>
        <v>0</v>
      </c>
      <c r="U80" s="449">
        <f t="shared" si="28"/>
        <v>0</v>
      </c>
      <c r="V80" s="449">
        <f>U80-AA80-W80-Z80</f>
        <v>0</v>
      </c>
      <c r="W80" s="449"/>
      <c r="X80" s="449"/>
      <c r="Y80" s="449"/>
      <c r="Z80" s="449"/>
      <c r="AA80" s="449"/>
      <c r="AB80" s="448" t="s">
        <v>885</v>
      </c>
      <c r="AC80" s="448">
        <v>742000</v>
      </c>
      <c r="AD80" s="419"/>
      <c r="AE80" s="419"/>
      <c r="AF80" s="419"/>
      <c r="AG80" s="419"/>
      <c r="AH80" s="419"/>
      <c r="AI80" s="419"/>
      <c r="AJ80" s="419"/>
      <c r="AK80" s="419"/>
      <c r="AL80" s="419"/>
      <c r="AM80" s="419"/>
      <c r="AN80" s="419">
        <f t="shared" si="32"/>
        <v>0</v>
      </c>
      <c r="AO80" s="419">
        <f t="shared" si="29"/>
        <v>0</v>
      </c>
      <c r="AP80" s="449">
        <f t="shared" si="33"/>
        <v>0</v>
      </c>
      <c r="AQ80" s="419"/>
      <c r="AR80" s="419"/>
      <c r="AS80" s="419"/>
      <c r="AT80" s="419"/>
      <c r="AU80" s="419"/>
      <c r="AV80" s="449">
        <f t="shared" si="34"/>
        <v>0</v>
      </c>
      <c r="AW80" s="419"/>
      <c r="AX80" s="419"/>
      <c r="AY80" s="419"/>
      <c r="AZ80" s="419"/>
      <c r="BA80" s="419"/>
    </row>
    <row r="81" spans="1:53" s="452" customFormat="1" ht="30" customHeight="1">
      <c r="A81" s="469">
        <f t="shared" si="30"/>
        <v>76</v>
      </c>
      <c r="B81" s="455">
        <v>2198</v>
      </c>
      <c r="C81" s="448" t="s">
        <v>498</v>
      </c>
      <c r="D81" s="449">
        <v>16030000</v>
      </c>
      <c r="E81" s="449">
        <v>16030000</v>
      </c>
      <c r="F81" s="449">
        <f t="shared" si="24"/>
        <v>0</v>
      </c>
      <c r="G81" s="449">
        <v>500000</v>
      </c>
      <c r="H81" s="449">
        <v>290055</v>
      </c>
      <c r="I81" s="449">
        <v>0</v>
      </c>
      <c r="J81" s="449">
        <v>19997</v>
      </c>
      <c r="K81" s="419">
        <f t="shared" si="35"/>
        <v>19997</v>
      </c>
      <c r="L81" s="419">
        <f t="shared" si="36"/>
        <v>310052</v>
      </c>
      <c r="M81" s="419">
        <f t="shared" si="37"/>
        <v>489948</v>
      </c>
      <c r="N81" s="419">
        <f>7500000-7500000</f>
        <v>0</v>
      </c>
      <c r="O81" s="449">
        <f t="shared" si="25"/>
        <v>15230000</v>
      </c>
      <c r="P81" s="449">
        <f t="shared" si="26"/>
        <v>189948</v>
      </c>
      <c r="Q81" s="482">
        <v>300000</v>
      </c>
      <c r="R81" s="449"/>
      <c r="S81" s="449">
        <f t="shared" si="31"/>
        <v>300000</v>
      </c>
      <c r="T81" s="449">
        <f t="shared" si="27"/>
        <v>0</v>
      </c>
      <c r="U81" s="449">
        <f t="shared" si="28"/>
        <v>0</v>
      </c>
      <c r="V81" s="449">
        <f>U81-AA81-W81-Z81</f>
        <v>0</v>
      </c>
      <c r="W81" s="449"/>
      <c r="X81" s="449"/>
      <c r="Y81" s="449"/>
      <c r="Z81" s="449"/>
      <c r="AA81" s="449"/>
      <c r="AB81" s="448" t="s">
        <v>672</v>
      </c>
      <c r="AC81" s="448">
        <v>742000</v>
      </c>
      <c r="AD81" s="419"/>
      <c r="AE81" s="419"/>
      <c r="AF81" s="419"/>
      <c r="AG81" s="419"/>
      <c r="AH81" s="419"/>
      <c r="AI81" s="419"/>
      <c r="AJ81" s="419"/>
      <c r="AK81" s="419"/>
      <c r="AL81" s="419"/>
      <c r="AM81" s="419"/>
      <c r="AN81" s="419">
        <f t="shared" si="32"/>
        <v>0</v>
      </c>
      <c r="AO81" s="419">
        <f t="shared" si="29"/>
        <v>0</v>
      </c>
      <c r="AP81" s="449">
        <f t="shared" si="33"/>
        <v>0</v>
      </c>
      <c r="AQ81" s="419"/>
      <c r="AR81" s="419"/>
      <c r="AS81" s="419"/>
      <c r="AT81" s="419"/>
      <c r="AU81" s="419"/>
      <c r="AV81" s="449">
        <f t="shared" si="34"/>
        <v>0</v>
      </c>
      <c r="AW81" s="419"/>
      <c r="AX81" s="419"/>
      <c r="AY81" s="419"/>
      <c r="AZ81" s="419"/>
      <c r="BA81" s="419"/>
    </row>
    <row r="82" spans="1:53" s="452" customFormat="1" ht="30" customHeight="1">
      <c r="A82" s="469">
        <f t="shared" si="30"/>
        <v>77</v>
      </c>
      <c r="B82" s="455">
        <v>2201</v>
      </c>
      <c r="C82" s="448" t="s">
        <v>476</v>
      </c>
      <c r="D82" s="449">
        <v>80000000</v>
      </c>
      <c r="E82" s="449">
        <v>80000000</v>
      </c>
      <c r="F82" s="449">
        <f t="shared" si="24"/>
        <v>0</v>
      </c>
      <c r="G82" s="449">
        <v>650000</v>
      </c>
      <c r="H82" s="449">
        <v>340518</v>
      </c>
      <c r="I82" s="449">
        <v>0</v>
      </c>
      <c r="J82" s="449">
        <v>36993</v>
      </c>
      <c r="K82" s="419">
        <f t="shared" si="35"/>
        <v>36993</v>
      </c>
      <c r="L82" s="419">
        <f t="shared" si="36"/>
        <v>377511</v>
      </c>
      <c r="M82" s="419">
        <f t="shared" si="37"/>
        <v>1122489</v>
      </c>
      <c r="N82" s="419">
        <f>28000000-20000000-1000000+19851623-19851623+19851623-6000000</f>
        <v>20851623</v>
      </c>
      <c r="O82" s="449">
        <f t="shared" si="25"/>
        <v>57648377</v>
      </c>
      <c r="P82" s="449">
        <f t="shared" si="26"/>
        <v>272489</v>
      </c>
      <c r="Q82" s="482">
        <v>850000</v>
      </c>
      <c r="R82" s="449"/>
      <c r="S82" s="419">
        <f t="shared" si="31"/>
        <v>850000</v>
      </c>
      <c r="T82" s="419">
        <f t="shared" si="27"/>
        <v>0</v>
      </c>
      <c r="U82" s="419">
        <f t="shared" si="28"/>
        <v>20851623</v>
      </c>
      <c r="V82" s="419">
        <f t="shared" ref="V82:V89" si="38">U82-Z82-X82-AA82-W82</f>
        <v>1000000</v>
      </c>
      <c r="W82" s="449"/>
      <c r="X82" s="449"/>
      <c r="Y82" s="449"/>
      <c r="Z82" s="449"/>
      <c r="AA82" s="449">
        <f>19851623-19851623+19851623</f>
        <v>19851623</v>
      </c>
      <c r="AB82" s="448" t="s">
        <v>829</v>
      </c>
      <c r="AC82" s="448">
        <v>810000</v>
      </c>
      <c r="AD82" s="419"/>
      <c r="AE82" s="419"/>
      <c r="AF82" s="419"/>
      <c r="AG82" s="419"/>
      <c r="AH82" s="419">
        <f>200000+300000</f>
        <v>500000</v>
      </c>
      <c r="AI82" s="419"/>
      <c r="AJ82" s="419">
        <v>500000</v>
      </c>
      <c r="AK82" s="419"/>
      <c r="AL82" s="419"/>
      <c r="AM82" s="419">
        <v>5076755</v>
      </c>
      <c r="AN82" s="419">
        <f t="shared" si="32"/>
        <v>6076755</v>
      </c>
      <c r="AO82" s="419">
        <f t="shared" si="29"/>
        <v>14774868</v>
      </c>
      <c r="AP82" s="449">
        <f t="shared" si="33"/>
        <v>1000000</v>
      </c>
      <c r="AQ82" s="419"/>
      <c r="AR82" s="419"/>
      <c r="AS82" s="419"/>
      <c r="AT82" s="419"/>
      <c r="AU82" s="419">
        <v>5076755</v>
      </c>
      <c r="AV82" s="449">
        <f t="shared" si="34"/>
        <v>0</v>
      </c>
      <c r="AW82" s="419"/>
      <c r="AX82" s="419"/>
      <c r="AY82" s="419"/>
      <c r="AZ82" s="419"/>
      <c r="BA82" s="419">
        <v>5076755</v>
      </c>
    </row>
    <row r="83" spans="1:53" s="452" customFormat="1" ht="30" customHeight="1">
      <c r="A83" s="469">
        <f t="shared" si="30"/>
        <v>78</v>
      </c>
      <c r="B83" s="455">
        <v>2202</v>
      </c>
      <c r="C83" s="448" t="s">
        <v>477</v>
      </c>
      <c r="D83" s="450">
        <v>49000000</v>
      </c>
      <c r="E83" s="449">
        <v>1000000</v>
      </c>
      <c r="F83" s="449">
        <f t="shared" si="24"/>
        <v>48000000</v>
      </c>
      <c r="G83" s="449">
        <v>1000000</v>
      </c>
      <c r="H83" s="449">
        <v>259284</v>
      </c>
      <c r="I83" s="449">
        <v>0</v>
      </c>
      <c r="J83" s="449">
        <v>112775</v>
      </c>
      <c r="K83" s="419">
        <f t="shared" si="35"/>
        <v>112775</v>
      </c>
      <c r="L83" s="419">
        <f t="shared" si="36"/>
        <v>372059</v>
      </c>
      <c r="M83" s="419">
        <f t="shared" si="37"/>
        <v>627941</v>
      </c>
      <c r="N83" s="419">
        <f>5000000-4000000-1000000</f>
        <v>0</v>
      </c>
      <c r="O83" s="449">
        <f t="shared" si="25"/>
        <v>48000000</v>
      </c>
      <c r="P83" s="449">
        <f t="shared" si="26"/>
        <v>627941</v>
      </c>
      <c r="Q83" s="449"/>
      <c r="R83" s="449"/>
      <c r="S83" s="419">
        <f t="shared" si="31"/>
        <v>0</v>
      </c>
      <c r="T83" s="419">
        <f t="shared" si="27"/>
        <v>0</v>
      </c>
      <c r="U83" s="419">
        <f t="shared" si="28"/>
        <v>0</v>
      </c>
      <c r="V83" s="419">
        <f t="shared" si="38"/>
        <v>0</v>
      </c>
      <c r="W83" s="449"/>
      <c r="X83" s="449"/>
      <c r="Y83" s="449"/>
      <c r="Z83" s="449"/>
      <c r="AA83" s="449"/>
      <c r="AB83" s="448" t="s">
        <v>634</v>
      </c>
      <c r="AC83" s="448">
        <v>810000</v>
      </c>
      <c r="AD83" s="419"/>
      <c r="AE83" s="419"/>
      <c r="AF83" s="419"/>
      <c r="AG83" s="419"/>
      <c r="AH83" s="419"/>
      <c r="AI83" s="419"/>
      <c r="AJ83" s="419"/>
      <c r="AK83" s="419"/>
      <c r="AL83" s="419"/>
      <c r="AM83" s="419"/>
      <c r="AN83" s="419">
        <f t="shared" si="32"/>
        <v>0</v>
      </c>
      <c r="AO83" s="419">
        <f t="shared" si="29"/>
        <v>0</v>
      </c>
      <c r="AP83" s="449">
        <f t="shared" si="33"/>
        <v>0</v>
      </c>
      <c r="AQ83" s="419"/>
      <c r="AR83" s="419"/>
      <c r="AS83" s="419"/>
      <c r="AT83" s="419"/>
      <c r="AU83" s="419"/>
      <c r="AV83" s="449">
        <f t="shared" si="34"/>
        <v>0</v>
      </c>
      <c r="AW83" s="419"/>
      <c r="AX83" s="419"/>
      <c r="AY83" s="419"/>
      <c r="AZ83" s="419"/>
      <c r="BA83" s="419"/>
    </row>
    <row r="84" spans="1:53" s="452" customFormat="1" ht="30" customHeight="1">
      <c r="A84" s="469">
        <f t="shared" si="30"/>
        <v>79</v>
      </c>
      <c r="B84" s="455">
        <v>2203</v>
      </c>
      <c r="C84" s="448" t="s">
        <v>719</v>
      </c>
      <c r="D84" s="449">
        <v>1000000</v>
      </c>
      <c r="E84" s="449">
        <v>1000000</v>
      </c>
      <c r="F84" s="449">
        <f t="shared" si="24"/>
        <v>0</v>
      </c>
      <c r="G84" s="449">
        <v>1000000</v>
      </c>
      <c r="H84" s="449">
        <v>0</v>
      </c>
      <c r="I84" s="449">
        <v>0</v>
      </c>
      <c r="J84" s="449">
        <v>124020</v>
      </c>
      <c r="K84" s="419">
        <f t="shared" si="35"/>
        <v>124020</v>
      </c>
      <c r="L84" s="419">
        <f t="shared" si="36"/>
        <v>124020</v>
      </c>
      <c r="M84" s="419">
        <f t="shared" si="37"/>
        <v>875980</v>
      </c>
      <c r="N84" s="419"/>
      <c r="O84" s="449">
        <f t="shared" si="25"/>
        <v>0</v>
      </c>
      <c r="P84" s="449">
        <f t="shared" si="26"/>
        <v>875980</v>
      </c>
      <c r="Q84" s="449"/>
      <c r="R84" s="449"/>
      <c r="S84" s="419">
        <f t="shared" si="31"/>
        <v>0</v>
      </c>
      <c r="T84" s="419">
        <f t="shared" si="27"/>
        <v>0</v>
      </c>
      <c r="U84" s="419">
        <f t="shared" si="28"/>
        <v>0</v>
      </c>
      <c r="V84" s="419">
        <f t="shared" si="38"/>
        <v>0</v>
      </c>
      <c r="W84" s="449"/>
      <c r="X84" s="449"/>
      <c r="Y84" s="449"/>
      <c r="Z84" s="449"/>
      <c r="AA84" s="449"/>
      <c r="AB84" s="448" t="s">
        <v>886</v>
      </c>
      <c r="AC84" s="636">
        <v>829000</v>
      </c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>
        <f t="shared" si="32"/>
        <v>0</v>
      </c>
      <c r="AO84" s="419">
        <f t="shared" si="29"/>
        <v>0</v>
      </c>
      <c r="AP84" s="449">
        <f t="shared" si="33"/>
        <v>0</v>
      </c>
      <c r="AQ84" s="419"/>
      <c r="AR84" s="419"/>
      <c r="AS84" s="419"/>
      <c r="AT84" s="419"/>
      <c r="AU84" s="419"/>
      <c r="AV84" s="449">
        <f t="shared" si="34"/>
        <v>0</v>
      </c>
      <c r="AW84" s="419"/>
      <c r="AX84" s="419"/>
      <c r="AY84" s="419"/>
      <c r="AZ84" s="419"/>
      <c r="BA84" s="419"/>
    </row>
    <row r="85" spans="1:53" s="452" customFormat="1" ht="30" customHeight="1">
      <c r="A85" s="469">
        <f t="shared" si="30"/>
        <v>80</v>
      </c>
      <c r="B85" s="455">
        <v>2205</v>
      </c>
      <c r="C85" s="448" t="s">
        <v>438</v>
      </c>
      <c r="D85" s="450">
        <f>16000000+2000000</f>
        <v>18000000</v>
      </c>
      <c r="E85" s="449">
        <v>16000000</v>
      </c>
      <c r="F85" s="449">
        <f t="shared" si="24"/>
        <v>2000000</v>
      </c>
      <c r="G85" s="449">
        <v>1077600</v>
      </c>
      <c r="H85" s="449">
        <v>642658</v>
      </c>
      <c r="I85" s="449">
        <v>0</v>
      </c>
      <c r="J85" s="449">
        <v>330898</v>
      </c>
      <c r="K85" s="419">
        <f t="shared" si="35"/>
        <v>330898</v>
      </c>
      <c r="L85" s="419">
        <f t="shared" si="36"/>
        <v>973556</v>
      </c>
      <c r="M85" s="419">
        <f t="shared" si="37"/>
        <v>6804044</v>
      </c>
      <c r="N85" s="419">
        <f>8550000+2000000-327600</f>
        <v>10222400</v>
      </c>
      <c r="O85" s="449">
        <f t="shared" si="25"/>
        <v>0</v>
      </c>
      <c r="P85" s="449">
        <f t="shared" si="26"/>
        <v>104044</v>
      </c>
      <c r="Q85" s="482">
        <v>6700000</v>
      </c>
      <c r="R85" s="449"/>
      <c r="S85" s="419">
        <f t="shared" si="31"/>
        <v>6700000</v>
      </c>
      <c r="T85" s="419">
        <f t="shared" si="27"/>
        <v>0</v>
      </c>
      <c r="U85" s="419">
        <f t="shared" si="28"/>
        <v>10222400</v>
      </c>
      <c r="V85" s="419">
        <f t="shared" si="38"/>
        <v>10222400</v>
      </c>
      <c r="W85" s="449"/>
      <c r="X85" s="449"/>
      <c r="Y85" s="449"/>
      <c r="Z85" s="449"/>
      <c r="AA85" s="449"/>
      <c r="AB85" s="455" t="s">
        <v>830</v>
      </c>
      <c r="AC85" s="448">
        <v>810000</v>
      </c>
      <c r="AD85" s="419"/>
      <c r="AE85" s="419"/>
      <c r="AF85" s="419"/>
      <c r="AG85" s="419"/>
      <c r="AH85" s="419">
        <v>2222400</v>
      </c>
      <c r="AI85" s="419"/>
      <c r="AJ85" s="419"/>
      <c r="AK85" s="419">
        <v>2000000</v>
      </c>
      <c r="AL85" s="419"/>
      <c r="AM85" s="419">
        <v>6000000</v>
      </c>
      <c r="AN85" s="419">
        <f t="shared" si="32"/>
        <v>10222400</v>
      </c>
      <c r="AO85" s="419">
        <f t="shared" si="29"/>
        <v>0</v>
      </c>
      <c r="AP85" s="449">
        <f t="shared" si="33"/>
        <v>10222400</v>
      </c>
      <c r="AQ85" s="419"/>
      <c r="AR85" s="419"/>
      <c r="AS85" s="419"/>
      <c r="AT85" s="419"/>
      <c r="AU85" s="419"/>
      <c r="AV85" s="449">
        <f t="shared" si="34"/>
        <v>6000000</v>
      </c>
      <c r="AW85" s="419"/>
      <c r="AX85" s="419"/>
      <c r="AY85" s="419"/>
      <c r="AZ85" s="419"/>
      <c r="BA85" s="419"/>
    </row>
    <row r="86" spans="1:53" s="452" customFormat="1" ht="30" customHeight="1">
      <c r="A86" s="469">
        <f t="shared" si="30"/>
        <v>81</v>
      </c>
      <c r="B86" s="455">
        <v>2206</v>
      </c>
      <c r="C86" s="448" t="s">
        <v>478</v>
      </c>
      <c r="D86" s="450">
        <f>92000000</f>
        <v>92000000</v>
      </c>
      <c r="E86" s="449">
        <v>4000000</v>
      </c>
      <c r="F86" s="449">
        <f t="shared" si="24"/>
        <v>88000000</v>
      </c>
      <c r="G86" s="449">
        <v>1866551</v>
      </c>
      <c r="H86" s="449">
        <v>1445296</v>
      </c>
      <c r="I86" s="449">
        <v>0</v>
      </c>
      <c r="J86" s="449">
        <v>415003</v>
      </c>
      <c r="K86" s="419">
        <f t="shared" si="35"/>
        <v>415003</v>
      </c>
      <c r="L86" s="419">
        <f t="shared" si="36"/>
        <v>1860299</v>
      </c>
      <c r="M86" s="419">
        <f t="shared" si="37"/>
        <v>6252</v>
      </c>
      <c r="N86" s="419">
        <f>40000000-23000000-11000000+12406636-10406636+12406636-7000000</f>
        <v>13406636</v>
      </c>
      <c r="O86" s="449">
        <f t="shared" si="25"/>
        <v>76726813</v>
      </c>
      <c r="P86" s="449">
        <f t="shared" si="26"/>
        <v>6252</v>
      </c>
      <c r="Q86" s="449"/>
      <c r="R86" s="449"/>
      <c r="S86" s="419">
        <f t="shared" si="31"/>
        <v>0</v>
      </c>
      <c r="T86" s="419">
        <f t="shared" si="27"/>
        <v>0</v>
      </c>
      <c r="U86" s="419">
        <f t="shared" si="28"/>
        <v>13406636</v>
      </c>
      <c r="V86" s="419">
        <f t="shared" si="38"/>
        <v>1000000</v>
      </c>
      <c r="W86" s="449"/>
      <c r="X86" s="449"/>
      <c r="Y86" s="449"/>
      <c r="Z86" s="449"/>
      <c r="AA86" s="449">
        <f>12406636-12406636+12406636</f>
        <v>12406636</v>
      </c>
      <c r="AB86" s="454" t="s">
        <v>831</v>
      </c>
      <c r="AC86" s="448">
        <v>810000</v>
      </c>
      <c r="AD86" s="419"/>
      <c r="AE86" s="419"/>
      <c r="AF86" s="419"/>
      <c r="AG86" s="419"/>
      <c r="AH86" s="419"/>
      <c r="AI86" s="419">
        <v>406636</v>
      </c>
      <c r="AJ86" s="419"/>
      <c r="AK86" s="419"/>
      <c r="AL86" s="419"/>
      <c r="AM86" s="419">
        <v>593364</v>
      </c>
      <c r="AN86" s="419">
        <f t="shared" si="32"/>
        <v>1000000</v>
      </c>
      <c r="AO86" s="419">
        <f t="shared" si="29"/>
        <v>12406636</v>
      </c>
      <c r="AP86" s="449">
        <f t="shared" si="33"/>
        <v>1000000</v>
      </c>
      <c r="AQ86" s="419"/>
      <c r="AR86" s="419"/>
      <c r="AS86" s="419"/>
      <c r="AT86" s="419"/>
      <c r="AU86" s="419"/>
      <c r="AV86" s="449">
        <f t="shared" si="34"/>
        <v>593364</v>
      </c>
      <c r="AW86" s="419"/>
      <c r="AX86" s="419"/>
      <c r="AY86" s="419"/>
      <c r="AZ86" s="419"/>
      <c r="BA86" s="419"/>
    </row>
    <row r="87" spans="1:53" s="452" customFormat="1" ht="30" customHeight="1">
      <c r="A87" s="469">
        <f t="shared" si="30"/>
        <v>82</v>
      </c>
      <c r="B87" s="455">
        <v>2207</v>
      </c>
      <c r="C87" s="448" t="s">
        <v>1059</v>
      </c>
      <c r="D87" s="449">
        <v>500000</v>
      </c>
      <c r="E87" s="449">
        <v>500000</v>
      </c>
      <c r="F87" s="449">
        <f t="shared" si="24"/>
        <v>0</v>
      </c>
      <c r="G87" s="449">
        <v>500000</v>
      </c>
      <c r="H87" s="449">
        <v>431699</v>
      </c>
      <c r="I87" s="449">
        <v>0</v>
      </c>
      <c r="J87" s="449">
        <v>23352</v>
      </c>
      <c r="K87" s="419">
        <f t="shared" si="35"/>
        <v>23352</v>
      </c>
      <c r="L87" s="419">
        <f t="shared" si="36"/>
        <v>455051</v>
      </c>
      <c r="M87" s="419">
        <f t="shared" si="37"/>
        <v>44949</v>
      </c>
      <c r="N87" s="419"/>
      <c r="O87" s="449">
        <f t="shared" si="25"/>
        <v>0</v>
      </c>
      <c r="P87" s="449">
        <f t="shared" si="26"/>
        <v>44949</v>
      </c>
      <c r="Q87" s="449"/>
      <c r="R87" s="449"/>
      <c r="S87" s="419">
        <f t="shared" si="31"/>
        <v>0</v>
      </c>
      <c r="T87" s="419">
        <f t="shared" si="27"/>
        <v>0</v>
      </c>
      <c r="U87" s="419">
        <f t="shared" si="28"/>
        <v>0</v>
      </c>
      <c r="V87" s="419">
        <f t="shared" si="38"/>
        <v>0</v>
      </c>
      <c r="W87" s="449"/>
      <c r="X87" s="449"/>
      <c r="Y87" s="449"/>
      <c r="Z87" s="449"/>
      <c r="AA87" s="449"/>
      <c r="AB87" s="448" t="s">
        <v>1060</v>
      </c>
      <c r="AC87" s="636">
        <v>850000</v>
      </c>
      <c r="AD87" s="419"/>
      <c r="AE87" s="419"/>
      <c r="AF87" s="419"/>
      <c r="AG87" s="419"/>
      <c r="AH87" s="419"/>
      <c r="AI87" s="419"/>
      <c r="AJ87" s="419"/>
      <c r="AK87" s="419"/>
      <c r="AL87" s="419"/>
      <c r="AM87" s="419"/>
      <c r="AN87" s="419">
        <f t="shared" si="32"/>
        <v>0</v>
      </c>
      <c r="AO87" s="419">
        <f t="shared" si="29"/>
        <v>0</v>
      </c>
      <c r="AP87" s="449">
        <f t="shared" si="33"/>
        <v>0</v>
      </c>
      <c r="AQ87" s="419"/>
      <c r="AR87" s="419"/>
      <c r="AS87" s="419"/>
      <c r="AT87" s="419"/>
      <c r="AU87" s="419"/>
      <c r="AV87" s="449">
        <f t="shared" si="34"/>
        <v>0</v>
      </c>
      <c r="AW87" s="419"/>
      <c r="AX87" s="419"/>
      <c r="AY87" s="419"/>
      <c r="AZ87" s="419"/>
      <c r="BA87" s="419"/>
    </row>
    <row r="88" spans="1:53" s="452" customFormat="1" ht="30" customHeight="1">
      <c r="A88" s="469">
        <f t="shared" si="30"/>
        <v>83</v>
      </c>
      <c r="B88" s="455">
        <v>2208</v>
      </c>
      <c r="C88" s="448" t="s">
        <v>479</v>
      </c>
      <c r="D88" s="450">
        <f>500000+500000+11750000</f>
        <v>12750000</v>
      </c>
      <c r="E88" s="449">
        <v>500000</v>
      </c>
      <c r="F88" s="449">
        <f t="shared" si="24"/>
        <v>12250000</v>
      </c>
      <c r="G88" s="449">
        <v>500000</v>
      </c>
      <c r="H88" s="449">
        <v>0</v>
      </c>
      <c r="I88" s="449">
        <v>0</v>
      </c>
      <c r="J88" s="449">
        <v>124020</v>
      </c>
      <c r="K88" s="419">
        <f t="shared" si="35"/>
        <v>124020</v>
      </c>
      <c r="L88" s="419">
        <f t="shared" si="36"/>
        <v>124020</v>
      </c>
      <c r="M88" s="419">
        <f t="shared" si="37"/>
        <v>375980</v>
      </c>
      <c r="N88" s="419">
        <f>500000-250000</f>
        <v>250000</v>
      </c>
      <c r="O88" s="449">
        <f t="shared" si="25"/>
        <v>12000000</v>
      </c>
      <c r="P88" s="449">
        <f t="shared" si="26"/>
        <v>375980</v>
      </c>
      <c r="Q88" s="449"/>
      <c r="R88" s="449"/>
      <c r="S88" s="419">
        <f t="shared" si="31"/>
        <v>0</v>
      </c>
      <c r="T88" s="419">
        <f t="shared" si="27"/>
        <v>0</v>
      </c>
      <c r="U88" s="419">
        <f t="shared" si="28"/>
        <v>250000</v>
      </c>
      <c r="V88" s="419">
        <f t="shared" si="38"/>
        <v>250000</v>
      </c>
      <c r="W88" s="449"/>
      <c r="X88" s="449"/>
      <c r="Y88" s="449"/>
      <c r="Z88" s="449"/>
      <c r="AA88" s="449"/>
      <c r="AB88" s="448" t="s">
        <v>551</v>
      </c>
      <c r="AC88" s="636">
        <v>850000</v>
      </c>
      <c r="AD88" s="419"/>
      <c r="AE88" s="419"/>
      <c r="AF88" s="419"/>
      <c r="AG88" s="419"/>
      <c r="AH88" s="419"/>
      <c r="AI88" s="419"/>
      <c r="AJ88" s="419"/>
      <c r="AK88" s="419"/>
      <c r="AL88" s="419"/>
      <c r="AM88" s="419">
        <v>250000</v>
      </c>
      <c r="AN88" s="419">
        <f t="shared" si="32"/>
        <v>250000</v>
      </c>
      <c r="AO88" s="419">
        <f t="shared" si="29"/>
        <v>0</v>
      </c>
      <c r="AP88" s="449">
        <f t="shared" si="33"/>
        <v>250000</v>
      </c>
      <c r="AQ88" s="419"/>
      <c r="AR88" s="419"/>
      <c r="AS88" s="419"/>
      <c r="AT88" s="419"/>
      <c r="AU88" s="419"/>
      <c r="AV88" s="449">
        <f t="shared" si="34"/>
        <v>250000</v>
      </c>
      <c r="AW88" s="419"/>
      <c r="AX88" s="419"/>
      <c r="AY88" s="419"/>
      <c r="AZ88" s="419"/>
      <c r="BA88" s="419"/>
    </row>
    <row r="89" spans="1:53" s="452" customFormat="1" ht="30" customHeight="1">
      <c r="A89" s="469">
        <f t="shared" si="30"/>
        <v>84</v>
      </c>
      <c r="B89" s="455">
        <v>2209</v>
      </c>
      <c r="C89" s="448" t="s">
        <v>480</v>
      </c>
      <c r="D89" s="449">
        <f>46500000</f>
        <v>46500000</v>
      </c>
      <c r="E89" s="449">
        <v>46500000</v>
      </c>
      <c r="F89" s="449">
        <f t="shared" si="24"/>
        <v>0</v>
      </c>
      <c r="G89" s="449">
        <v>500000</v>
      </c>
      <c r="H89" s="449">
        <v>384569</v>
      </c>
      <c r="I89" s="449">
        <v>0</v>
      </c>
      <c r="J89" s="449">
        <v>95673</v>
      </c>
      <c r="K89" s="419">
        <f t="shared" si="35"/>
        <v>95673</v>
      </c>
      <c r="L89" s="419">
        <f t="shared" si="36"/>
        <v>480242</v>
      </c>
      <c r="M89" s="419">
        <f t="shared" si="37"/>
        <v>1019758</v>
      </c>
      <c r="N89" s="419"/>
      <c r="O89" s="449">
        <f t="shared" si="25"/>
        <v>45000000</v>
      </c>
      <c r="P89" s="449">
        <f t="shared" si="26"/>
        <v>19758</v>
      </c>
      <c r="Q89" s="482">
        <v>1000000</v>
      </c>
      <c r="R89" s="449"/>
      <c r="S89" s="419">
        <f t="shared" si="31"/>
        <v>1000000</v>
      </c>
      <c r="T89" s="419">
        <f t="shared" si="27"/>
        <v>0</v>
      </c>
      <c r="U89" s="419">
        <f t="shared" si="28"/>
        <v>0</v>
      </c>
      <c r="V89" s="419">
        <f t="shared" si="38"/>
        <v>0</v>
      </c>
      <c r="W89" s="449"/>
      <c r="X89" s="449"/>
      <c r="Y89" s="449"/>
      <c r="Z89" s="449"/>
      <c r="AA89" s="449">
        <f>3594305-3594305</f>
        <v>0</v>
      </c>
      <c r="AB89" s="455" t="s">
        <v>832</v>
      </c>
      <c r="AC89" s="448">
        <v>810000</v>
      </c>
      <c r="AD89" s="419"/>
      <c r="AE89" s="419"/>
      <c r="AF89" s="419"/>
      <c r="AG89" s="419"/>
      <c r="AH89" s="419"/>
      <c r="AI89" s="419"/>
      <c r="AJ89" s="419"/>
      <c r="AK89" s="419"/>
      <c r="AL89" s="419"/>
      <c r="AM89" s="419"/>
      <c r="AN89" s="419">
        <f t="shared" si="32"/>
        <v>0</v>
      </c>
      <c r="AO89" s="419">
        <f t="shared" si="29"/>
        <v>0</v>
      </c>
      <c r="AP89" s="449">
        <f t="shared" si="33"/>
        <v>0</v>
      </c>
      <c r="AQ89" s="419"/>
      <c r="AR89" s="419"/>
      <c r="AS89" s="419"/>
      <c r="AT89" s="419"/>
      <c r="AU89" s="419"/>
      <c r="AV89" s="449">
        <f t="shared" si="34"/>
        <v>0</v>
      </c>
      <c r="AW89" s="419"/>
      <c r="AX89" s="419"/>
      <c r="AY89" s="419"/>
      <c r="AZ89" s="419"/>
      <c r="BA89" s="419"/>
    </row>
    <row r="90" spans="1:53" s="556" customFormat="1" ht="30" customHeight="1">
      <c r="A90" s="469">
        <f t="shared" si="30"/>
        <v>85</v>
      </c>
      <c r="B90" s="486">
        <v>2213</v>
      </c>
      <c r="C90" s="448" t="s">
        <v>449</v>
      </c>
      <c r="D90" s="449">
        <v>7100000</v>
      </c>
      <c r="E90" s="449">
        <v>7100000</v>
      </c>
      <c r="F90" s="449">
        <f t="shared" si="24"/>
        <v>0</v>
      </c>
      <c r="G90" s="449">
        <v>7100000</v>
      </c>
      <c r="H90" s="449">
        <v>14882</v>
      </c>
      <c r="I90" s="449">
        <v>109137</v>
      </c>
      <c r="J90" s="419">
        <v>124020</v>
      </c>
      <c r="K90" s="419">
        <f t="shared" si="35"/>
        <v>233157</v>
      </c>
      <c r="L90" s="419">
        <f t="shared" si="36"/>
        <v>248039</v>
      </c>
      <c r="M90" s="419">
        <f t="shared" si="37"/>
        <v>6851961</v>
      </c>
      <c r="N90" s="449"/>
      <c r="O90" s="449">
        <f t="shared" si="25"/>
        <v>0</v>
      </c>
      <c r="P90" s="449">
        <f t="shared" si="26"/>
        <v>6851961</v>
      </c>
      <c r="Q90" s="461"/>
      <c r="R90" s="461"/>
      <c r="S90" s="449">
        <f t="shared" si="31"/>
        <v>0</v>
      </c>
      <c r="T90" s="449">
        <f t="shared" si="27"/>
        <v>0</v>
      </c>
      <c r="U90" s="449">
        <f t="shared" si="28"/>
        <v>0</v>
      </c>
      <c r="V90" s="449"/>
      <c r="W90" s="449">
        <f>U90-V90-AA90-Z90</f>
        <v>0</v>
      </c>
      <c r="X90" s="449"/>
      <c r="Y90" s="449"/>
      <c r="Z90" s="449"/>
      <c r="AA90" s="449"/>
      <c r="AB90" s="448" t="s">
        <v>1061</v>
      </c>
      <c r="AC90" s="448">
        <v>870000</v>
      </c>
      <c r="AD90" s="419"/>
      <c r="AE90" s="419"/>
      <c r="AF90" s="419"/>
      <c r="AG90" s="419"/>
      <c r="AH90" s="419"/>
      <c r="AI90" s="419"/>
      <c r="AJ90" s="419"/>
      <c r="AK90" s="419"/>
      <c r="AL90" s="419"/>
      <c r="AM90" s="419"/>
      <c r="AN90" s="419">
        <f t="shared" si="32"/>
        <v>0</v>
      </c>
      <c r="AO90" s="419">
        <f t="shared" si="29"/>
        <v>0</v>
      </c>
      <c r="AP90" s="449">
        <f t="shared" si="33"/>
        <v>0</v>
      </c>
      <c r="AQ90" s="419"/>
      <c r="AR90" s="419"/>
      <c r="AS90" s="419"/>
      <c r="AT90" s="419"/>
      <c r="AU90" s="419"/>
      <c r="AV90" s="449">
        <f t="shared" si="34"/>
        <v>0</v>
      </c>
      <c r="AW90" s="419"/>
      <c r="AX90" s="419"/>
      <c r="AY90" s="419"/>
      <c r="AZ90" s="419"/>
      <c r="BA90" s="419"/>
    </row>
    <row r="91" spans="1:53" s="452" customFormat="1" ht="30" customHeight="1">
      <c r="A91" s="469">
        <f t="shared" si="30"/>
        <v>86</v>
      </c>
      <c r="B91" s="455">
        <v>2220</v>
      </c>
      <c r="C91" s="448" t="s">
        <v>459</v>
      </c>
      <c r="D91" s="449">
        <f>4000000+2750000-4550000</f>
        <v>2200000</v>
      </c>
      <c r="E91" s="449">
        <v>1000000</v>
      </c>
      <c r="F91" s="449">
        <f t="shared" si="24"/>
        <v>1200000</v>
      </c>
      <c r="G91" s="449">
        <v>50000</v>
      </c>
      <c r="H91" s="449">
        <v>9170</v>
      </c>
      <c r="I91" s="449">
        <v>0</v>
      </c>
      <c r="J91" s="449">
        <v>40437</v>
      </c>
      <c r="K91" s="419">
        <f t="shared" si="35"/>
        <v>40437</v>
      </c>
      <c r="L91" s="419">
        <f t="shared" si="36"/>
        <v>49607</v>
      </c>
      <c r="M91" s="419">
        <f t="shared" si="37"/>
        <v>950393</v>
      </c>
      <c r="N91" s="449">
        <f>5750000-4550000</f>
        <v>1200000</v>
      </c>
      <c r="O91" s="449">
        <f t="shared" si="25"/>
        <v>0</v>
      </c>
      <c r="P91" s="449">
        <f t="shared" si="26"/>
        <v>393</v>
      </c>
      <c r="Q91" s="482">
        <v>950000</v>
      </c>
      <c r="R91" s="449"/>
      <c r="S91" s="449">
        <f t="shared" si="31"/>
        <v>950000</v>
      </c>
      <c r="T91" s="449">
        <f t="shared" si="27"/>
        <v>0</v>
      </c>
      <c r="U91" s="449">
        <f t="shared" si="28"/>
        <v>1200000</v>
      </c>
      <c r="V91" s="449">
        <f t="shared" ref="V91:V102" si="39">U91-AA91-W91-Z91</f>
        <v>1200000</v>
      </c>
      <c r="W91" s="449"/>
      <c r="X91" s="449"/>
      <c r="Y91" s="449"/>
      <c r="Z91" s="449"/>
      <c r="AA91" s="449"/>
      <c r="AB91" s="448" t="s">
        <v>658</v>
      </c>
      <c r="AC91" s="448">
        <v>746000</v>
      </c>
      <c r="AD91" s="419"/>
      <c r="AE91" s="419"/>
      <c r="AF91" s="419"/>
      <c r="AG91" s="419"/>
      <c r="AH91" s="419"/>
      <c r="AI91" s="419"/>
      <c r="AJ91" s="419"/>
      <c r="AK91" s="419"/>
      <c r="AL91" s="419"/>
      <c r="AM91" s="419">
        <v>1200000</v>
      </c>
      <c r="AN91" s="419">
        <f t="shared" si="32"/>
        <v>1200000</v>
      </c>
      <c r="AO91" s="419">
        <f t="shared" si="29"/>
        <v>0</v>
      </c>
      <c r="AP91" s="449">
        <f t="shared" si="33"/>
        <v>1200000</v>
      </c>
      <c r="AQ91" s="419"/>
      <c r="AR91" s="419"/>
      <c r="AS91" s="419"/>
      <c r="AT91" s="419"/>
      <c r="AU91" s="419"/>
      <c r="AV91" s="449">
        <f t="shared" si="34"/>
        <v>1200000</v>
      </c>
      <c r="AW91" s="419"/>
      <c r="AX91" s="419"/>
      <c r="AY91" s="419"/>
      <c r="AZ91" s="419"/>
      <c r="BA91" s="419"/>
    </row>
    <row r="92" spans="1:53" s="452" customFormat="1" ht="30" customHeight="1">
      <c r="A92" s="469">
        <f t="shared" si="30"/>
        <v>87</v>
      </c>
      <c r="B92" s="455">
        <v>2232</v>
      </c>
      <c r="C92" s="448" t="s">
        <v>578</v>
      </c>
      <c r="D92" s="449">
        <v>17200000</v>
      </c>
      <c r="E92" s="449">
        <v>17200000</v>
      </c>
      <c r="F92" s="449">
        <f t="shared" si="24"/>
        <v>0</v>
      </c>
      <c r="G92" s="449">
        <v>500000</v>
      </c>
      <c r="H92" s="449">
        <v>403686</v>
      </c>
      <c r="I92" s="449">
        <v>0</v>
      </c>
      <c r="J92" s="449">
        <v>92394</v>
      </c>
      <c r="K92" s="419">
        <f t="shared" si="35"/>
        <v>92394</v>
      </c>
      <c r="L92" s="419">
        <f t="shared" si="36"/>
        <v>496080</v>
      </c>
      <c r="M92" s="419">
        <f t="shared" si="37"/>
        <v>3920</v>
      </c>
      <c r="N92" s="449">
        <v>100000</v>
      </c>
      <c r="O92" s="449">
        <f t="shared" si="25"/>
        <v>16600000</v>
      </c>
      <c r="P92" s="449">
        <f t="shared" si="26"/>
        <v>3920</v>
      </c>
      <c r="Q92" s="449"/>
      <c r="R92" s="449"/>
      <c r="S92" s="449">
        <f t="shared" si="31"/>
        <v>0</v>
      </c>
      <c r="T92" s="449">
        <f t="shared" si="27"/>
        <v>0</v>
      </c>
      <c r="U92" s="449">
        <f t="shared" si="28"/>
        <v>100000</v>
      </c>
      <c r="V92" s="449">
        <f t="shared" si="39"/>
        <v>100000</v>
      </c>
      <c r="W92" s="449"/>
      <c r="X92" s="449"/>
      <c r="Y92" s="449"/>
      <c r="Z92" s="449"/>
      <c r="AA92" s="449"/>
      <c r="AB92" s="448" t="s">
        <v>833</v>
      </c>
      <c r="AC92" s="448">
        <v>745000</v>
      </c>
      <c r="AD92" s="419"/>
      <c r="AE92" s="419"/>
      <c r="AF92" s="419"/>
      <c r="AG92" s="419">
        <v>50000</v>
      </c>
      <c r="AH92" s="419">
        <v>50000</v>
      </c>
      <c r="AI92" s="419"/>
      <c r="AJ92" s="419"/>
      <c r="AK92" s="419"/>
      <c r="AL92" s="419"/>
      <c r="AM92" s="419"/>
      <c r="AN92" s="419">
        <f t="shared" si="32"/>
        <v>100000</v>
      </c>
      <c r="AO92" s="419">
        <f t="shared" si="29"/>
        <v>0</v>
      </c>
      <c r="AP92" s="449">
        <f t="shared" si="33"/>
        <v>100000</v>
      </c>
      <c r="AQ92" s="419"/>
      <c r="AR92" s="419"/>
      <c r="AS92" s="419"/>
      <c r="AT92" s="419"/>
      <c r="AU92" s="419"/>
      <c r="AV92" s="449">
        <f t="shared" si="34"/>
        <v>0</v>
      </c>
      <c r="AW92" s="419"/>
      <c r="AX92" s="419"/>
      <c r="AY92" s="419"/>
      <c r="AZ92" s="419"/>
      <c r="BA92" s="419"/>
    </row>
    <row r="93" spans="1:53" s="452" customFormat="1" ht="30" customHeight="1">
      <c r="A93" s="469">
        <f t="shared" si="30"/>
        <v>88</v>
      </c>
      <c r="B93" s="455">
        <v>2233</v>
      </c>
      <c r="C93" s="448" t="s">
        <v>579</v>
      </c>
      <c r="D93" s="449">
        <f>20250000+4450000-4450000</f>
        <v>20250000</v>
      </c>
      <c r="E93" s="449">
        <v>20250000</v>
      </c>
      <c r="F93" s="449">
        <f t="shared" si="24"/>
        <v>0</v>
      </c>
      <c r="G93" s="449">
        <v>500000</v>
      </c>
      <c r="H93" s="449">
        <v>176542</v>
      </c>
      <c r="I93" s="449">
        <v>0</v>
      </c>
      <c r="J93" s="449">
        <v>133508</v>
      </c>
      <c r="K93" s="419">
        <f t="shared" si="35"/>
        <v>133508</v>
      </c>
      <c r="L93" s="419">
        <f t="shared" si="36"/>
        <v>310050</v>
      </c>
      <c r="M93" s="419">
        <f t="shared" si="37"/>
        <v>189950</v>
      </c>
      <c r="N93" s="449">
        <f>19750000-14750000-5000000</f>
        <v>0</v>
      </c>
      <c r="O93" s="449">
        <f t="shared" si="25"/>
        <v>19750000</v>
      </c>
      <c r="P93" s="449">
        <f t="shared" si="26"/>
        <v>189950</v>
      </c>
      <c r="Q93" s="449"/>
      <c r="R93" s="449"/>
      <c r="S93" s="449">
        <f t="shared" si="31"/>
        <v>0</v>
      </c>
      <c r="T93" s="449">
        <f t="shared" si="27"/>
        <v>0</v>
      </c>
      <c r="U93" s="449">
        <f t="shared" si="28"/>
        <v>0</v>
      </c>
      <c r="V93" s="449">
        <f t="shared" si="39"/>
        <v>0</v>
      </c>
      <c r="W93" s="449"/>
      <c r="X93" s="449"/>
      <c r="Y93" s="449"/>
      <c r="Z93" s="449"/>
      <c r="AA93" s="449"/>
      <c r="AB93" s="448" t="s">
        <v>834</v>
      </c>
      <c r="AC93" s="448">
        <v>745000</v>
      </c>
      <c r="AD93" s="419"/>
      <c r="AE93" s="419"/>
      <c r="AF93" s="419"/>
      <c r="AG93" s="419"/>
      <c r="AH93" s="419"/>
      <c r="AI93" s="419"/>
      <c r="AJ93" s="419"/>
      <c r="AK93" s="419"/>
      <c r="AL93" s="419"/>
      <c r="AM93" s="419"/>
      <c r="AN93" s="419">
        <f t="shared" si="32"/>
        <v>0</v>
      </c>
      <c r="AO93" s="419">
        <f t="shared" si="29"/>
        <v>0</v>
      </c>
      <c r="AP93" s="449">
        <f t="shared" si="33"/>
        <v>0</v>
      </c>
      <c r="AQ93" s="419"/>
      <c r="AR93" s="419"/>
      <c r="AS93" s="419"/>
      <c r="AT93" s="419"/>
      <c r="AU93" s="419"/>
      <c r="AV93" s="449">
        <f t="shared" si="34"/>
        <v>0</v>
      </c>
      <c r="AW93" s="419"/>
      <c r="AX93" s="419"/>
      <c r="AY93" s="419"/>
      <c r="AZ93" s="419"/>
      <c r="BA93" s="419"/>
    </row>
    <row r="94" spans="1:53" s="452" customFormat="1" ht="30" customHeight="1">
      <c r="A94" s="448">
        <f t="shared" si="30"/>
        <v>89</v>
      </c>
      <c r="B94" s="455">
        <v>20004</v>
      </c>
      <c r="C94" s="448" t="s">
        <v>589</v>
      </c>
      <c r="D94" s="449">
        <v>24750000</v>
      </c>
      <c r="E94" s="449">
        <v>24750000</v>
      </c>
      <c r="F94" s="449">
        <f t="shared" si="24"/>
        <v>0</v>
      </c>
      <c r="G94" s="449">
        <v>0</v>
      </c>
      <c r="H94" s="449">
        <v>0</v>
      </c>
      <c r="I94" s="449">
        <v>0</v>
      </c>
      <c r="J94" s="449">
        <v>0</v>
      </c>
      <c r="K94" s="449">
        <f t="shared" si="35"/>
        <v>0</v>
      </c>
      <c r="L94" s="449">
        <f>H94+K94</f>
        <v>0</v>
      </c>
      <c r="M94" s="449">
        <f t="shared" si="37"/>
        <v>250000</v>
      </c>
      <c r="N94" s="449"/>
      <c r="O94" s="449">
        <f t="shared" si="25"/>
        <v>24500000</v>
      </c>
      <c r="P94" s="449"/>
      <c r="Q94" s="482">
        <v>250000</v>
      </c>
      <c r="R94" s="449"/>
      <c r="S94" s="449">
        <f t="shared" si="31"/>
        <v>250000</v>
      </c>
      <c r="T94" s="449"/>
      <c r="U94" s="449">
        <f t="shared" si="28"/>
        <v>0</v>
      </c>
      <c r="V94" s="449">
        <f t="shared" si="39"/>
        <v>0</v>
      </c>
      <c r="W94" s="449"/>
      <c r="X94" s="449"/>
      <c r="Y94" s="449"/>
      <c r="Z94" s="449"/>
      <c r="AA94" s="449"/>
      <c r="AB94" s="448" t="s">
        <v>835</v>
      </c>
      <c r="AC94" s="448">
        <v>742000</v>
      </c>
      <c r="AD94" s="419"/>
      <c r="AE94" s="419"/>
      <c r="AF94" s="419"/>
      <c r="AG94" s="419"/>
      <c r="AH94" s="419"/>
      <c r="AI94" s="419"/>
      <c r="AJ94" s="419"/>
      <c r="AK94" s="419"/>
      <c r="AL94" s="419"/>
      <c r="AM94" s="419"/>
      <c r="AN94" s="419">
        <f t="shared" si="32"/>
        <v>0</v>
      </c>
      <c r="AO94" s="419">
        <f t="shared" si="29"/>
        <v>0</v>
      </c>
      <c r="AP94" s="449">
        <f t="shared" si="33"/>
        <v>0</v>
      </c>
      <c r="AQ94" s="419"/>
      <c r="AR94" s="419"/>
      <c r="AS94" s="419"/>
      <c r="AT94" s="419"/>
      <c r="AU94" s="419"/>
      <c r="AV94" s="449">
        <f t="shared" si="34"/>
        <v>0</v>
      </c>
      <c r="AW94" s="419"/>
      <c r="AX94" s="419"/>
      <c r="AY94" s="419"/>
      <c r="AZ94" s="419"/>
      <c r="BA94" s="419"/>
    </row>
    <row r="95" spans="1:53" s="452" customFormat="1" ht="30" customHeight="1">
      <c r="A95" s="448">
        <f t="shared" si="30"/>
        <v>90</v>
      </c>
      <c r="B95" s="455">
        <v>20010</v>
      </c>
      <c r="C95" s="448" t="s">
        <v>635</v>
      </c>
      <c r="D95" s="449">
        <v>7000000</v>
      </c>
      <c r="E95" s="449">
        <v>7000000</v>
      </c>
      <c r="F95" s="449">
        <f t="shared" si="24"/>
        <v>0</v>
      </c>
      <c r="G95" s="449">
        <v>0</v>
      </c>
      <c r="H95" s="449">
        <v>0</v>
      </c>
      <c r="I95" s="449">
        <v>0</v>
      </c>
      <c r="J95" s="449">
        <v>0</v>
      </c>
      <c r="K95" s="419">
        <f t="shared" si="35"/>
        <v>0</v>
      </c>
      <c r="L95" s="419">
        <f t="shared" ref="L95:L103" si="40">K95+H95</f>
        <v>0</v>
      </c>
      <c r="M95" s="419">
        <f t="shared" si="37"/>
        <v>500000</v>
      </c>
      <c r="N95" s="449"/>
      <c r="O95" s="449">
        <f t="shared" si="25"/>
        <v>6500000</v>
      </c>
      <c r="P95" s="449">
        <f t="shared" ref="P95:P104" si="41">G95-L95</f>
        <v>0</v>
      </c>
      <c r="Q95" s="482">
        <v>500000</v>
      </c>
      <c r="R95" s="449"/>
      <c r="S95" s="449">
        <f t="shared" si="31"/>
        <v>500000</v>
      </c>
      <c r="T95" s="449">
        <f t="shared" ref="T95:T104" si="42">P95-M95+S95</f>
        <v>0</v>
      </c>
      <c r="U95" s="449">
        <f t="shared" si="28"/>
        <v>0</v>
      </c>
      <c r="V95" s="449">
        <f t="shared" si="39"/>
        <v>0</v>
      </c>
      <c r="W95" s="449"/>
      <c r="X95" s="449"/>
      <c r="Y95" s="449"/>
      <c r="Z95" s="449"/>
      <c r="AA95" s="449"/>
      <c r="AB95" s="448" t="s">
        <v>673</v>
      </c>
      <c r="AC95" s="448">
        <v>810000</v>
      </c>
      <c r="AD95" s="419"/>
      <c r="AE95" s="419"/>
      <c r="AF95" s="419"/>
      <c r="AG95" s="419"/>
      <c r="AH95" s="419"/>
      <c r="AI95" s="419"/>
      <c r="AJ95" s="419"/>
      <c r="AK95" s="419"/>
      <c r="AL95" s="419"/>
      <c r="AM95" s="419"/>
      <c r="AN95" s="419">
        <f t="shared" si="32"/>
        <v>0</v>
      </c>
      <c r="AO95" s="419">
        <f t="shared" si="29"/>
        <v>0</v>
      </c>
      <c r="AP95" s="449">
        <f t="shared" si="33"/>
        <v>0</v>
      </c>
      <c r="AQ95" s="419"/>
      <c r="AR95" s="419"/>
      <c r="AS95" s="419"/>
      <c r="AT95" s="419"/>
      <c r="AU95" s="419"/>
      <c r="AV95" s="449">
        <f t="shared" si="34"/>
        <v>0</v>
      </c>
      <c r="AW95" s="419"/>
      <c r="AX95" s="419"/>
      <c r="AY95" s="419"/>
      <c r="AZ95" s="419"/>
      <c r="BA95" s="419"/>
    </row>
    <row r="96" spans="1:53" s="452" customFormat="1" ht="30" customHeight="1">
      <c r="A96" s="469">
        <f t="shared" si="30"/>
        <v>91</v>
      </c>
      <c r="B96" s="455">
        <v>20011</v>
      </c>
      <c r="C96" s="448" t="s">
        <v>636</v>
      </c>
      <c r="D96" s="449">
        <v>18500000</v>
      </c>
      <c r="E96" s="449">
        <v>18500000</v>
      </c>
      <c r="F96" s="449">
        <f t="shared" si="24"/>
        <v>0</v>
      </c>
      <c r="G96" s="449">
        <v>200000</v>
      </c>
      <c r="H96" s="449">
        <v>59530</v>
      </c>
      <c r="I96" s="449">
        <v>0</v>
      </c>
      <c r="J96" s="449">
        <v>64490</v>
      </c>
      <c r="K96" s="419">
        <f t="shared" si="35"/>
        <v>64490</v>
      </c>
      <c r="L96" s="419">
        <f t="shared" si="40"/>
        <v>124020</v>
      </c>
      <c r="M96" s="419">
        <f t="shared" si="37"/>
        <v>375980</v>
      </c>
      <c r="N96" s="449">
        <v>500000</v>
      </c>
      <c r="O96" s="449">
        <f t="shared" si="25"/>
        <v>17500000</v>
      </c>
      <c r="P96" s="449">
        <f t="shared" si="41"/>
        <v>75980</v>
      </c>
      <c r="Q96" s="482">
        <f>450000-150000</f>
        <v>300000</v>
      </c>
      <c r="R96" s="449"/>
      <c r="S96" s="449">
        <f t="shared" si="31"/>
        <v>300000</v>
      </c>
      <c r="T96" s="449">
        <f t="shared" si="42"/>
        <v>0</v>
      </c>
      <c r="U96" s="449">
        <f t="shared" si="28"/>
        <v>500000</v>
      </c>
      <c r="V96" s="449">
        <f t="shared" si="39"/>
        <v>500000</v>
      </c>
      <c r="W96" s="449"/>
      <c r="X96" s="449"/>
      <c r="Y96" s="449"/>
      <c r="Z96" s="449"/>
      <c r="AA96" s="449">
        <f>3051220-3051220</f>
        <v>0</v>
      </c>
      <c r="AB96" s="448" t="s">
        <v>655</v>
      </c>
      <c r="AC96" s="448">
        <v>810000</v>
      </c>
      <c r="AD96" s="419"/>
      <c r="AE96" s="419"/>
      <c r="AF96" s="419"/>
      <c r="AG96" s="419">
        <v>100000</v>
      </c>
      <c r="AH96" s="419"/>
      <c r="AI96" s="419"/>
      <c r="AJ96" s="419"/>
      <c r="AK96" s="419"/>
      <c r="AL96" s="419"/>
      <c r="AM96" s="419">
        <v>400000</v>
      </c>
      <c r="AN96" s="419">
        <f t="shared" si="32"/>
        <v>500000</v>
      </c>
      <c r="AO96" s="419">
        <f t="shared" si="29"/>
        <v>0</v>
      </c>
      <c r="AP96" s="449">
        <f t="shared" si="33"/>
        <v>500000</v>
      </c>
      <c r="AQ96" s="419"/>
      <c r="AR96" s="419"/>
      <c r="AS96" s="419"/>
      <c r="AT96" s="419"/>
      <c r="AU96" s="419"/>
      <c r="AV96" s="449">
        <f t="shared" si="34"/>
        <v>400000</v>
      </c>
      <c r="AW96" s="419"/>
      <c r="AX96" s="419"/>
      <c r="AY96" s="419"/>
      <c r="AZ96" s="419"/>
      <c r="BA96" s="419"/>
    </row>
    <row r="97" spans="1:54" s="452" customFormat="1" ht="30" customHeight="1">
      <c r="A97" s="469">
        <f t="shared" si="30"/>
        <v>92</v>
      </c>
      <c r="B97" s="455">
        <v>20013</v>
      </c>
      <c r="C97" s="448" t="s">
        <v>736</v>
      </c>
      <c r="D97" s="450">
        <f>500000+500000</f>
        <v>1000000</v>
      </c>
      <c r="E97" s="449">
        <v>500000</v>
      </c>
      <c r="F97" s="449">
        <f t="shared" si="24"/>
        <v>500000</v>
      </c>
      <c r="G97" s="449">
        <v>150000</v>
      </c>
      <c r="H97" s="449">
        <v>8393</v>
      </c>
      <c r="I97" s="449">
        <v>0</v>
      </c>
      <c r="J97" s="449">
        <v>115627</v>
      </c>
      <c r="K97" s="419">
        <f t="shared" si="35"/>
        <v>115627</v>
      </c>
      <c r="L97" s="419">
        <f t="shared" si="40"/>
        <v>124020</v>
      </c>
      <c r="M97" s="419">
        <f t="shared" si="37"/>
        <v>25980</v>
      </c>
      <c r="N97" s="449">
        <v>850000</v>
      </c>
      <c r="O97" s="449">
        <f t="shared" si="25"/>
        <v>0</v>
      </c>
      <c r="P97" s="449">
        <f t="shared" si="41"/>
        <v>25980</v>
      </c>
      <c r="Q97" s="449"/>
      <c r="R97" s="449"/>
      <c r="S97" s="449">
        <f t="shared" si="31"/>
        <v>0</v>
      </c>
      <c r="T97" s="449">
        <f t="shared" si="42"/>
        <v>0</v>
      </c>
      <c r="U97" s="449">
        <f t="shared" si="28"/>
        <v>850000</v>
      </c>
      <c r="V97" s="449">
        <f t="shared" si="39"/>
        <v>850000</v>
      </c>
      <c r="W97" s="449"/>
      <c r="X97" s="449"/>
      <c r="Y97" s="449"/>
      <c r="Z97" s="449"/>
      <c r="AA97" s="449"/>
      <c r="AB97" s="448" t="s">
        <v>656</v>
      </c>
      <c r="AC97" s="448">
        <v>810000</v>
      </c>
      <c r="AD97" s="419"/>
      <c r="AE97" s="419"/>
      <c r="AF97" s="419"/>
      <c r="AG97" s="419">
        <v>100000</v>
      </c>
      <c r="AH97" s="419">
        <v>250000</v>
      </c>
      <c r="AI97" s="419"/>
      <c r="AJ97" s="419">
        <v>50000</v>
      </c>
      <c r="AK97" s="419"/>
      <c r="AL97" s="419"/>
      <c r="AM97" s="419">
        <v>450000</v>
      </c>
      <c r="AN97" s="419">
        <f t="shared" si="32"/>
        <v>850000</v>
      </c>
      <c r="AO97" s="419">
        <f t="shared" si="29"/>
        <v>0</v>
      </c>
      <c r="AP97" s="449">
        <f t="shared" si="33"/>
        <v>850000</v>
      </c>
      <c r="AQ97" s="419"/>
      <c r="AR97" s="419"/>
      <c r="AS97" s="419"/>
      <c r="AT97" s="419"/>
      <c r="AU97" s="419"/>
      <c r="AV97" s="449">
        <f t="shared" si="34"/>
        <v>450000</v>
      </c>
      <c r="AW97" s="419"/>
      <c r="AX97" s="419"/>
      <c r="AY97" s="419"/>
      <c r="AZ97" s="419"/>
      <c r="BA97" s="419"/>
    </row>
    <row r="98" spans="1:54" s="452" customFormat="1" ht="30" customHeight="1">
      <c r="A98" s="469">
        <f t="shared" si="30"/>
        <v>93</v>
      </c>
      <c r="B98" s="455">
        <v>20014</v>
      </c>
      <c r="C98" s="448" t="s">
        <v>1062</v>
      </c>
      <c r="D98" s="450">
        <f>200000+600000</f>
        <v>800000</v>
      </c>
      <c r="E98" s="449">
        <v>200000</v>
      </c>
      <c r="F98" s="449">
        <f t="shared" si="24"/>
        <v>600000</v>
      </c>
      <c r="G98" s="449">
        <v>100000</v>
      </c>
      <c r="H98" s="449">
        <v>0</v>
      </c>
      <c r="I98" s="449">
        <v>0</v>
      </c>
      <c r="J98" s="449">
        <v>0</v>
      </c>
      <c r="K98" s="419">
        <f t="shared" si="35"/>
        <v>0</v>
      </c>
      <c r="L98" s="419">
        <f t="shared" si="40"/>
        <v>0</v>
      </c>
      <c r="M98" s="419">
        <f t="shared" si="37"/>
        <v>100000</v>
      </c>
      <c r="N98" s="449">
        <f>700000-500000</f>
        <v>200000</v>
      </c>
      <c r="O98" s="449">
        <f t="shared" si="25"/>
        <v>500000</v>
      </c>
      <c r="P98" s="449">
        <f t="shared" si="41"/>
        <v>100000</v>
      </c>
      <c r="Q98" s="449"/>
      <c r="R98" s="449"/>
      <c r="S98" s="449">
        <f t="shared" si="31"/>
        <v>0</v>
      </c>
      <c r="T98" s="449">
        <f t="shared" si="42"/>
        <v>0</v>
      </c>
      <c r="U98" s="449">
        <f t="shared" si="28"/>
        <v>200000</v>
      </c>
      <c r="V98" s="449">
        <f t="shared" si="39"/>
        <v>200000</v>
      </c>
      <c r="W98" s="449"/>
      <c r="X98" s="449"/>
      <c r="Y98" s="449"/>
      <c r="Z98" s="449"/>
      <c r="AA98" s="449"/>
      <c r="AB98" s="448" t="s">
        <v>1063</v>
      </c>
      <c r="AC98" s="448">
        <v>829000</v>
      </c>
      <c r="AD98" s="419"/>
      <c r="AE98" s="419"/>
      <c r="AF98" s="419"/>
      <c r="AG98" s="419"/>
      <c r="AH98" s="419"/>
      <c r="AI98" s="419">
        <v>200000</v>
      </c>
      <c r="AJ98" s="419"/>
      <c r="AK98" s="419"/>
      <c r="AL98" s="419"/>
      <c r="AM98" s="419"/>
      <c r="AN98" s="419">
        <f t="shared" si="32"/>
        <v>200000</v>
      </c>
      <c r="AO98" s="419">
        <f t="shared" si="29"/>
        <v>0</v>
      </c>
      <c r="AP98" s="449">
        <f t="shared" si="33"/>
        <v>200000</v>
      </c>
      <c r="AQ98" s="419"/>
      <c r="AR98" s="419"/>
      <c r="AS98" s="419"/>
      <c r="AT98" s="419"/>
      <c r="AU98" s="419"/>
      <c r="AV98" s="449">
        <f t="shared" si="34"/>
        <v>0</v>
      </c>
      <c r="AW98" s="419"/>
      <c r="AX98" s="419"/>
      <c r="AY98" s="419"/>
      <c r="AZ98" s="419"/>
      <c r="BA98" s="419"/>
    </row>
    <row r="99" spans="1:54" s="452" customFormat="1" ht="30" customHeight="1">
      <c r="A99" s="469">
        <f t="shared" si="30"/>
        <v>94</v>
      </c>
      <c r="B99" s="455">
        <v>20015</v>
      </c>
      <c r="C99" s="448" t="s">
        <v>637</v>
      </c>
      <c r="D99" s="450">
        <f>2000000+500000</f>
        <v>2500000</v>
      </c>
      <c r="E99" s="449">
        <v>2000000</v>
      </c>
      <c r="F99" s="449">
        <f t="shared" si="24"/>
        <v>500000</v>
      </c>
      <c r="G99" s="449">
        <v>1100000</v>
      </c>
      <c r="H99" s="449">
        <v>286195</v>
      </c>
      <c r="I99" s="449">
        <v>0</v>
      </c>
      <c r="J99" s="449">
        <v>50950</v>
      </c>
      <c r="K99" s="419">
        <f t="shared" si="35"/>
        <v>50950</v>
      </c>
      <c r="L99" s="419">
        <f t="shared" si="40"/>
        <v>337145</v>
      </c>
      <c r="M99" s="419">
        <f t="shared" si="37"/>
        <v>1662855</v>
      </c>
      <c r="N99" s="449">
        <v>500000</v>
      </c>
      <c r="O99" s="449">
        <f t="shared" si="25"/>
        <v>0</v>
      </c>
      <c r="P99" s="449">
        <f t="shared" si="41"/>
        <v>762855</v>
      </c>
      <c r="Q99" s="482">
        <v>400000</v>
      </c>
      <c r="R99" s="482">
        <v>500000</v>
      </c>
      <c r="S99" s="449">
        <f t="shared" si="31"/>
        <v>900000</v>
      </c>
      <c r="T99" s="449">
        <f t="shared" si="42"/>
        <v>0</v>
      </c>
      <c r="U99" s="449">
        <f t="shared" si="28"/>
        <v>500000</v>
      </c>
      <c r="V99" s="449">
        <f t="shared" si="39"/>
        <v>500000</v>
      </c>
      <c r="W99" s="449"/>
      <c r="X99" s="449"/>
      <c r="Y99" s="449"/>
      <c r="Z99" s="449"/>
      <c r="AA99" s="449"/>
      <c r="AB99" s="448" t="s">
        <v>665</v>
      </c>
      <c r="AC99" s="448">
        <v>829000</v>
      </c>
      <c r="AD99" s="419"/>
      <c r="AE99" s="419"/>
      <c r="AF99" s="419"/>
      <c r="AG99" s="419"/>
      <c r="AH99" s="419"/>
      <c r="AI99" s="419"/>
      <c r="AJ99" s="419"/>
      <c r="AK99" s="419">
        <v>100000</v>
      </c>
      <c r="AL99" s="419"/>
      <c r="AM99" s="419">
        <v>400000</v>
      </c>
      <c r="AN99" s="419">
        <f t="shared" si="32"/>
        <v>500000</v>
      </c>
      <c r="AO99" s="419">
        <f t="shared" si="29"/>
        <v>0</v>
      </c>
      <c r="AP99" s="449">
        <f t="shared" si="33"/>
        <v>500000</v>
      </c>
      <c r="AQ99" s="419"/>
      <c r="AR99" s="419"/>
      <c r="AS99" s="419"/>
      <c r="AT99" s="419"/>
      <c r="AU99" s="419"/>
      <c r="AV99" s="449">
        <f t="shared" si="34"/>
        <v>400000</v>
      </c>
      <c r="AW99" s="419"/>
      <c r="AX99" s="419"/>
      <c r="AY99" s="419"/>
      <c r="AZ99" s="419"/>
      <c r="BA99" s="419"/>
    </row>
    <row r="100" spans="1:54" s="452" customFormat="1" ht="30" customHeight="1">
      <c r="A100" s="469">
        <f t="shared" si="30"/>
        <v>95</v>
      </c>
      <c r="B100" s="455">
        <v>20016</v>
      </c>
      <c r="C100" s="448" t="s">
        <v>664</v>
      </c>
      <c r="D100" s="450">
        <f>700000+300000</f>
        <v>1000000</v>
      </c>
      <c r="E100" s="449">
        <v>700000</v>
      </c>
      <c r="F100" s="449">
        <f t="shared" si="24"/>
        <v>300000</v>
      </c>
      <c r="G100" s="449">
        <v>150000</v>
      </c>
      <c r="H100" s="449">
        <v>13950</v>
      </c>
      <c r="I100" s="449">
        <v>0</v>
      </c>
      <c r="J100" s="449">
        <v>110070</v>
      </c>
      <c r="K100" s="419">
        <f t="shared" si="35"/>
        <v>110070</v>
      </c>
      <c r="L100" s="419">
        <f t="shared" si="40"/>
        <v>124020</v>
      </c>
      <c r="M100" s="419">
        <f t="shared" si="37"/>
        <v>375980</v>
      </c>
      <c r="N100" s="449">
        <v>500000</v>
      </c>
      <c r="O100" s="449">
        <f t="shared" si="25"/>
        <v>0</v>
      </c>
      <c r="P100" s="449">
        <f t="shared" si="41"/>
        <v>25980</v>
      </c>
      <c r="Q100" s="482">
        <v>350000</v>
      </c>
      <c r="R100" s="449"/>
      <c r="S100" s="449">
        <f t="shared" si="31"/>
        <v>350000</v>
      </c>
      <c r="T100" s="449">
        <f t="shared" si="42"/>
        <v>0</v>
      </c>
      <c r="U100" s="449">
        <f t="shared" si="28"/>
        <v>500000</v>
      </c>
      <c r="V100" s="449">
        <f t="shared" si="39"/>
        <v>500000</v>
      </c>
      <c r="W100" s="449"/>
      <c r="X100" s="449"/>
      <c r="Y100" s="449"/>
      <c r="Z100" s="449"/>
      <c r="AA100" s="449"/>
      <c r="AB100" s="448" t="s">
        <v>661</v>
      </c>
      <c r="AC100" s="448">
        <v>826000</v>
      </c>
      <c r="AD100" s="419"/>
      <c r="AE100" s="419"/>
      <c r="AF100" s="419"/>
      <c r="AG100" s="419"/>
      <c r="AH100" s="419"/>
      <c r="AI100" s="419"/>
      <c r="AJ100" s="419"/>
      <c r="AK100" s="419">
        <v>200000</v>
      </c>
      <c r="AL100" s="419"/>
      <c r="AM100" s="419">
        <v>300000</v>
      </c>
      <c r="AN100" s="419">
        <f t="shared" si="32"/>
        <v>500000</v>
      </c>
      <c r="AO100" s="419">
        <f t="shared" si="29"/>
        <v>0</v>
      </c>
      <c r="AP100" s="449">
        <f t="shared" si="33"/>
        <v>500000</v>
      </c>
      <c r="AQ100" s="419"/>
      <c r="AR100" s="419"/>
      <c r="AS100" s="419"/>
      <c r="AT100" s="419"/>
      <c r="AU100" s="419"/>
      <c r="AV100" s="449">
        <f t="shared" si="34"/>
        <v>300000</v>
      </c>
      <c r="AW100" s="419"/>
      <c r="AX100" s="419"/>
      <c r="AY100" s="419"/>
      <c r="AZ100" s="419"/>
      <c r="BA100" s="419"/>
    </row>
    <row r="101" spans="1:54" s="452" customFormat="1" ht="30" customHeight="1">
      <c r="A101" s="469">
        <f t="shared" si="30"/>
        <v>96</v>
      </c>
      <c r="B101" s="455">
        <v>20017</v>
      </c>
      <c r="C101" s="448" t="s">
        <v>737</v>
      </c>
      <c r="D101" s="449">
        <v>10000000</v>
      </c>
      <c r="E101" s="449">
        <v>10000000</v>
      </c>
      <c r="F101" s="449">
        <f t="shared" si="24"/>
        <v>0</v>
      </c>
      <c r="G101" s="449">
        <v>350000</v>
      </c>
      <c r="H101" s="449">
        <v>28649</v>
      </c>
      <c r="I101" s="449">
        <v>0</v>
      </c>
      <c r="J101" s="449">
        <v>95371</v>
      </c>
      <c r="K101" s="419">
        <f t="shared" si="35"/>
        <v>95371</v>
      </c>
      <c r="L101" s="419">
        <f t="shared" si="40"/>
        <v>124020</v>
      </c>
      <c r="M101" s="419">
        <f t="shared" si="37"/>
        <v>225980</v>
      </c>
      <c r="N101" s="449">
        <f>9600000-6000000-1600000</f>
        <v>2000000</v>
      </c>
      <c r="O101" s="449">
        <f t="shared" si="25"/>
        <v>7650000</v>
      </c>
      <c r="P101" s="449">
        <f t="shared" si="41"/>
        <v>225980</v>
      </c>
      <c r="Q101" s="449"/>
      <c r="R101" s="449"/>
      <c r="S101" s="449">
        <f t="shared" si="31"/>
        <v>0</v>
      </c>
      <c r="T101" s="449">
        <f t="shared" si="42"/>
        <v>0</v>
      </c>
      <c r="U101" s="449">
        <f t="shared" si="28"/>
        <v>2000000</v>
      </c>
      <c r="V101" s="449">
        <f t="shared" si="39"/>
        <v>2000000</v>
      </c>
      <c r="W101" s="449"/>
      <c r="X101" s="449"/>
      <c r="Y101" s="449"/>
      <c r="Z101" s="449"/>
      <c r="AA101" s="449"/>
      <c r="AB101" s="448" t="s">
        <v>1064</v>
      </c>
      <c r="AC101" s="448">
        <v>850000</v>
      </c>
      <c r="AD101" s="419"/>
      <c r="AE101" s="419"/>
      <c r="AF101" s="419"/>
      <c r="AG101" s="419"/>
      <c r="AH101" s="419"/>
      <c r="AI101" s="419"/>
      <c r="AJ101" s="419"/>
      <c r="AK101" s="419"/>
      <c r="AL101" s="419"/>
      <c r="AM101" s="419">
        <v>2000000</v>
      </c>
      <c r="AN101" s="419">
        <f t="shared" si="32"/>
        <v>2000000</v>
      </c>
      <c r="AO101" s="419">
        <f t="shared" si="29"/>
        <v>0</v>
      </c>
      <c r="AP101" s="449">
        <f t="shared" si="33"/>
        <v>2000000</v>
      </c>
      <c r="AQ101" s="419"/>
      <c r="AR101" s="419"/>
      <c r="AS101" s="419"/>
      <c r="AT101" s="419"/>
      <c r="AU101" s="419"/>
      <c r="AV101" s="449">
        <f t="shared" si="34"/>
        <v>2000000</v>
      </c>
      <c r="AW101" s="419"/>
      <c r="AX101" s="419"/>
      <c r="AY101" s="419"/>
      <c r="AZ101" s="419"/>
      <c r="BA101" s="419"/>
    </row>
    <row r="102" spans="1:54" s="452" customFormat="1" ht="30" customHeight="1">
      <c r="A102" s="469">
        <f t="shared" si="30"/>
        <v>97</v>
      </c>
      <c r="B102" s="455">
        <v>20018</v>
      </c>
      <c r="C102" s="448" t="s">
        <v>662</v>
      </c>
      <c r="D102" s="450">
        <f>150000+850000</f>
        <v>1000000</v>
      </c>
      <c r="E102" s="449">
        <v>1000000</v>
      </c>
      <c r="F102" s="449">
        <f t="shared" si="24"/>
        <v>0</v>
      </c>
      <c r="G102" s="449">
        <v>150000</v>
      </c>
      <c r="H102" s="449">
        <v>57992</v>
      </c>
      <c r="I102" s="449">
        <v>0</v>
      </c>
      <c r="J102" s="449">
        <v>66028</v>
      </c>
      <c r="K102" s="419">
        <f t="shared" si="35"/>
        <v>66028</v>
      </c>
      <c r="L102" s="419">
        <f t="shared" si="40"/>
        <v>124020</v>
      </c>
      <c r="M102" s="419">
        <f t="shared" si="37"/>
        <v>875980</v>
      </c>
      <c r="N102" s="449">
        <f>850000-850000</f>
        <v>0</v>
      </c>
      <c r="O102" s="449">
        <f t="shared" si="25"/>
        <v>0</v>
      </c>
      <c r="P102" s="449">
        <f t="shared" si="41"/>
        <v>25980</v>
      </c>
      <c r="Q102" s="449"/>
      <c r="R102" s="482">
        <v>850000</v>
      </c>
      <c r="S102" s="449">
        <f t="shared" si="31"/>
        <v>850000</v>
      </c>
      <c r="T102" s="449">
        <f t="shared" si="42"/>
        <v>0</v>
      </c>
      <c r="U102" s="449">
        <f t="shared" si="28"/>
        <v>0</v>
      </c>
      <c r="V102" s="449">
        <f t="shared" si="39"/>
        <v>0</v>
      </c>
      <c r="W102" s="449"/>
      <c r="X102" s="449"/>
      <c r="Y102" s="449"/>
      <c r="Z102" s="449"/>
      <c r="AA102" s="449"/>
      <c r="AB102" s="448" t="s">
        <v>663</v>
      </c>
      <c r="AC102" s="448">
        <v>826000</v>
      </c>
      <c r="AD102" s="419"/>
      <c r="AE102" s="419"/>
      <c r="AF102" s="419"/>
      <c r="AG102" s="419"/>
      <c r="AH102" s="419"/>
      <c r="AI102" s="419"/>
      <c r="AJ102" s="419"/>
      <c r="AK102" s="419"/>
      <c r="AL102" s="419"/>
      <c r="AM102" s="419"/>
      <c r="AN102" s="419">
        <f t="shared" si="32"/>
        <v>0</v>
      </c>
      <c r="AO102" s="419">
        <f t="shared" si="29"/>
        <v>0</v>
      </c>
      <c r="AP102" s="449">
        <f t="shared" si="33"/>
        <v>0</v>
      </c>
      <c r="AQ102" s="419"/>
      <c r="AR102" s="419"/>
      <c r="AS102" s="419"/>
      <c r="AT102" s="419"/>
      <c r="AU102" s="419"/>
      <c r="AV102" s="449">
        <f t="shared" si="34"/>
        <v>0</v>
      </c>
      <c r="AW102" s="419"/>
      <c r="AX102" s="419"/>
      <c r="AY102" s="419"/>
      <c r="AZ102" s="419"/>
      <c r="BA102" s="419"/>
    </row>
    <row r="103" spans="1:54" s="556" customFormat="1" ht="30" customHeight="1">
      <c r="A103" s="469">
        <f t="shared" si="30"/>
        <v>98</v>
      </c>
      <c r="B103" s="455">
        <v>20024</v>
      </c>
      <c r="C103" s="448" t="s">
        <v>704</v>
      </c>
      <c r="D103" s="449">
        <f>1300000-170000</f>
        <v>1130000</v>
      </c>
      <c r="E103" s="449">
        <v>1300000</v>
      </c>
      <c r="F103" s="449">
        <f>D103-E103</f>
        <v>-170000</v>
      </c>
      <c r="G103" s="449">
        <v>1130000</v>
      </c>
      <c r="H103" s="449">
        <v>532530</v>
      </c>
      <c r="I103" s="449">
        <v>0</v>
      </c>
      <c r="J103" s="449">
        <v>211588</v>
      </c>
      <c r="K103" s="419">
        <f t="shared" si="35"/>
        <v>211588</v>
      </c>
      <c r="L103" s="419">
        <f t="shared" si="40"/>
        <v>744118</v>
      </c>
      <c r="M103" s="419">
        <f t="shared" si="37"/>
        <v>385882</v>
      </c>
      <c r="N103" s="449"/>
      <c r="O103" s="449">
        <f>D103-L103-M103-N103</f>
        <v>0</v>
      </c>
      <c r="P103" s="449">
        <f t="shared" si="41"/>
        <v>385882</v>
      </c>
      <c r="Q103" s="449"/>
      <c r="R103" s="449"/>
      <c r="S103" s="449"/>
      <c r="T103" s="449">
        <f t="shared" si="42"/>
        <v>0</v>
      </c>
      <c r="U103" s="449">
        <f>N103-T103</f>
        <v>0</v>
      </c>
      <c r="V103" s="449"/>
      <c r="W103" s="449">
        <f>U103-V103-AA103</f>
        <v>0</v>
      </c>
      <c r="X103" s="449"/>
      <c r="Y103" s="449"/>
      <c r="Z103" s="449"/>
      <c r="AA103" s="449"/>
      <c r="AB103" s="448" t="s">
        <v>836</v>
      </c>
      <c r="AC103" s="448">
        <v>747000</v>
      </c>
      <c r="AD103" s="419"/>
      <c r="AE103" s="419"/>
      <c r="AF103" s="419"/>
      <c r="AG103" s="419"/>
      <c r="AH103" s="419"/>
      <c r="AI103" s="419"/>
      <c r="AJ103" s="419"/>
      <c r="AK103" s="419"/>
      <c r="AL103" s="419"/>
      <c r="AM103" s="419"/>
      <c r="AN103" s="419">
        <f t="shared" si="32"/>
        <v>0</v>
      </c>
      <c r="AO103" s="419">
        <f t="shared" si="29"/>
        <v>0</v>
      </c>
      <c r="AP103" s="449">
        <f t="shared" si="33"/>
        <v>0</v>
      </c>
      <c r="AQ103" s="419"/>
      <c r="AR103" s="419"/>
      <c r="AS103" s="419"/>
      <c r="AT103" s="419"/>
      <c r="AU103" s="419"/>
      <c r="AV103" s="449">
        <f t="shared" si="34"/>
        <v>0</v>
      </c>
      <c r="AW103" s="419"/>
      <c r="AX103" s="419"/>
      <c r="AY103" s="419"/>
      <c r="AZ103" s="419"/>
      <c r="BA103" s="419"/>
    </row>
    <row r="104" spans="1:54" s="157" customFormat="1" ht="30" customHeight="1">
      <c r="A104" s="469">
        <f t="shared" si="30"/>
        <v>99</v>
      </c>
      <c r="B104" s="455">
        <v>20028</v>
      </c>
      <c r="C104" s="448" t="s">
        <v>660</v>
      </c>
      <c r="D104" s="449">
        <v>620000</v>
      </c>
      <c r="E104" s="449">
        <v>620000</v>
      </c>
      <c r="F104" s="449">
        <f>D104-E104</f>
        <v>0</v>
      </c>
      <c r="G104" s="449">
        <v>620000</v>
      </c>
      <c r="H104" s="449">
        <v>20241</v>
      </c>
      <c r="I104" s="449">
        <v>0</v>
      </c>
      <c r="J104" s="449">
        <v>304014</v>
      </c>
      <c r="K104" s="449">
        <f>I104+J104</f>
        <v>304014</v>
      </c>
      <c r="L104" s="449">
        <f>H104+K104</f>
        <v>324255</v>
      </c>
      <c r="M104" s="449">
        <f t="shared" si="37"/>
        <v>295745</v>
      </c>
      <c r="N104" s="449">
        <v>0</v>
      </c>
      <c r="O104" s="449">
        <f>D104-L104-M104-N104</f>
        <v>0</v>
      </c>
      <c r="P104" s="449">
        <f t="shared" si="41"/>
        <v>295745</v>
      </c>
      <c r="Q104" s="449"/>
      <c r="R104" s="449"/>
      <c r="S104" s="449">
        <f>SUM(Q104:R104)</f>
        <v>0</v>
      </c>
      <c r="T104" s="449">
        <f t="shared" si="42"/>
        <v>0</v>
      </c>
      <c r="U104" s="449">
        <f>N104-T104</f>
        <v>0</v>
      </c>
      <c r="V104" s="449"/>
      <c r="W104" s="449">
        <f>U104-V104-AA104</f>
        <v>0</v>
      </c>
      <c r="X104" s="449"/>
      <c r="Y104" s="449"/>
      <c r="Z104" s="449"/>
      <c r="AA104" s="449"/>
      <c r="AB104" s="448" t="s">
        <v>638</v>
      </c>
      <c r="AC104" s="448">
        <v>810000</v>
      </c>
      <c r="AD104" s="419"/>
      <c r="AE104" s="419"/>
      <c r="AF104" s="419"/>
      <c r="AG104" s="419"/>
      <c r="AH104" s="419"/>
      <c r="AI104" s="419"/>
      <c r="AJ104" s="419"/>
      <c r="AK104" s="419"/>
      <c r="AL104" s="419"/>
      <c r="AM104" s="419"/>
      <c r="AN104" s="419">
        <f t="shared" si="32"/>
        <v>0</v>
      </c>
      <c r="AO104" s="419">
        <f t="shared" si="29"/>
        <v>0</v>
      </c>
      <c r="AP104" s="449">
        <f t="shared" si="33"/>
        <v>0</v>
      </c>
      <c r="AQ104" s="419"/>
      <c r="AR104" s="419"/>
      <c r="AS104" s="419"/>
      <c r="AT104" s="419"/>
      <c r="AU104" s="419"/>
      <c r="AV104" s="449">
        <f t="shared" si="34"/>
        <v>0</v>
      </c>
      <c r="AW104" s="419"/>
      <c r="AX104" s="419"/>
      <c r="AY104" s="419"/>
      <c r="AZ104" s="419"/>
      <c r="BA104" s="419"/>
    </row>
    <row r="105" spans="1:54" s="452" customFormat="1" ht="41.4">
      <c r="A105" s="469">
        <f t="shared" si="30"/>
        <v>100</v>
      </c>
      <c r="B105" s="455">
        <v>20063</v>
      </c>
      <c r="C105" s="448" t="s">
        <v>913</v>
      </c>
      <c r="D105" s="449">
        <v>1000000</v>
      </c>
      <c r="E105" s="449"/>
      <c r="F105" s="449">
        <f>D105-E105</f>
        <v>1000000</v>
      </c>
      <c r="G105" s="449">
        <v>0</v>
      </c>
      <c r="H105" s="449">
        <v>0</v>
      </c>
      <c r="I105" s="449">
        <v>0</v>
      </c>
      <c r="J105" s="449">
        <v>0</v>
      </c>
      <c r="K105" s="449"/>
      <c r="L105" s="449"/>
      <c r="M105" s="449">
        <f t="shared" si="37"/>
        <v>0</v>
      </c>
      <c r="N105" s="449">
        <f>1000000-500000</f>
        <v>500000</v>
      </c>
      <c r="O105" s="449">
        <f>D105-L105-M105-N105</f>
        <v>500000</v>
      </c>
      <c r="P105" s="449"/>
      <c r="Q105" s="449"/>
      <c r="R105" s="449"/>
      <c r="S105" s="449"/>
      <c r="T105" s="449"/>
      <c r="U105" s="449">
        <f>N105-T105</f>
        <v>500000</v>
      </c>
      <c r="V105" s="449">
        <f>U105-AA105-W105-Z105</f>
        <v>500000</v>
      </c>
      <c r="W105" s="449"/>
      <c r="X105" s="449"/>
      <c r="Y105" s="449"/>
      <c r="Z105" s="449"/>
      <c r="AA105" s="449"/>
      <c r="AB105" s="448" t="s">
        <v>837</v>
      </c>
      <c r="AC105" s="448">
        <v>850000</v>
      </c>
      <c r="AD105" s="419"/>
      <c r="AE105" s="419"/>
      <c r="AF105" s="419"/>
      <c r="AG105" s="419"/>
      <c r="AH105" s="419">
        <v>100000</v>
      </c>
      <c r="AI105" s="419"/>
      <c r="AJ105" s="419">
        <v>50000</v>
      </c>
      <c r="AK105" s="419"/>
      <c r="AL105" s="419"/>
      <c r="AM105" s="419">
        <v>350000</v>
      </c>
      <c r="AN105" s="419">
        <f t="shared" si="32"/>
        <v>500000</v>
      </c>
      <c r="AO105" s="419">
        <f t="shared" si="29"/>
        <v>0</v>
      </c>
      <c r="AP105" s="449">
        <f t="shared" si="33"/>
        <v>500000</v>
      </c>
      <c r="AQ105" s="419"/>
      <c r="AR105" s="419"/>
      <c r="AS105" s="419"/>
      <c r="AT105" s="419"/>
      <c r="AU105" s="419"/>
      <c r="AV105" s="449">
        <f t="shared" si="34"/>
        <v>350000</v>
      </c>
      <c r="AW105" s="419"/>
      <c r="AX105" s="419"/>
      <c r="AY105" s="419"/>
      <c r="AZ105" s="419"/>
      <c r="BA105" s="419"/>
    </row>
    <row r="106" spans="1:54" s="452" customFormat="1" ht="30" customHeight="1">
      <c r="A106" s="469">
        <f t="shared" si="30"/>
        <v>101</v>
      </c>
      <c r="B106" s="448">
        <v>20064</v>
      </c>
      <c r="C106" s="448" t="s">
        <v>783</v>
      </c>
      <c r="D106" s="449">
        <v>2000000</v>
      </c>
      <c r="E106" s="449"/>
      <c r="F106" s="449">
        <f>D106-E106</f>
        <v>2000000</v>
      </c>
      <c r="G106" s="449">
        <v>0</v>
      </c>
      <c r="H106" s="449">
        <v>0</v>
      </c>
      <c r="I106" s="449">
        <v>0</v>
      </c>
      <c r="J106" s="449">
        <v>0</v>
      </c>
      <c r="K106" s="449">
        <f>SUM(I106:J106)</f>
        <v>0</v>
      </c>
      <c r="L106" s="449">
        <f>H106+K106</f>
        <v>0</v>
      </c>
      <c r="M106" s="449">
        <f t="shared" si="37"/>
        <v>0</v>
      </c>
      <c r="N106" s="449">
        <f>2000000-1250000-250000</f>
        <v>500000</v>
      </c>
      <c r="O106" s="449">
        <f>D106-L106-M106-N106</f>
        <v>1500000</v>
      </c>
      <c r="P106" s="449">
        <f>G106-L106</f>
        <v>0</v>
      </c>
      <c r="Q106" s="449"/>
      <c r="R106" s="449"/>
      <c r="S106" s="449">
        <f>SUM(Q106:R106)</f>
        <v>0</v>
      </c>
      <c r="T106" s="449">
        <f>P106-M106+S106</f>
        <v>0</v>
      </c>
      <c r="U106" s="449">
        <f>N106-T106</f>
        <v>500000</v>
      </c>
      <c r="V106" s="449">
        <f>U106-AA106-W106-Z106</f>
        <v>500000</v>
      </c>
      <c r="W106" s="449"/>
      <c r="X106" s="449"/>
      <c r="Y106" s="449"/>
      <c r="Z106" s="449"/>
      <c r="AA106" s="449"/>
      <c r="AB106" s="448" t="s">
        <v>887</v>
      </c>
      <c r="AC106" s="448">
        <v>732000</v>
      </c>
      <c r="AD106" s="419"/>
      <c r="AE106" s="419"/>
      <c r="AF106" s="419"/>
      <c r="AG106" s="419"/>
      <c r="AH106" s="419">
        <v>100000</v>
      </c>
      <c r="AI106" s="419"/>
      <c r="AJ106" s="419"/>
      <c r="AK106" s="419"/>
      <c r="AL106" s="419"/>
      <c r="AM106" s="419">
        <v>400000</v>
      </c>
      <c r="AN106" s="419">
        <f t="shared" si="32"/>
        <v>500000</v>
      </c>
      <c r="AO106" s="419">
        <f t="shared" si="29"/>
        <v>0</v>
      </c>
      <c r="AP106" s="449">
        <f t="shared" si="33"/>
        <v>500000</v>
      </c>
      <c r="AQ106" s="419"/>
      <c r="AR106" s="419"/>
      <c r="AS106" s="419"/>
      <c r="AT106" s="419"/>
      <c r="AU106" s="419"/>
      <c r="AV106" s="449">
        <f t="shared" si="34"/>
        <v>400000</v>
      </c>
      <c r="AW106" s="419"/>
      <c r="AX106" s="419"/>
      <c r="AY106" s="419"/>
      <c r="AZ106" s="419"/>
      <c r="BA106" s="419"/>
    </row>
    <row r="107" spans="1:54" s="514" customFormat="1" ht="30" customHeight="1">
      <c r="A107" s="513"/>
      <c r="B107" s="637"/>
      <c r="C107" s="513" t="s">
        <v>167</v>
      </c>
      <c r="D107" s="638">
        <f t="shared" ref="D107:BA107" si="43">SUM(D6:D106)</f>
        <v>2438188548</v>
      </c>
      <c r="E107" s="638">
        <f t="shared" si="43"/>
        <v>2290913843</v>
      </c>
      <c r="F107" s="638">
        <f t="shared" si="43"/>
        <v>147274705</v>
      </c>
      <c r="G107" s="638">
        <f t="shared" si="43"/>
        <v>955367092</v>
      </c>
      <c r="H107" s="638">
        <f t="shared" si="43"/>
        <v>725749716</v>
      </c>
      <c r="I107" s="638">
        <f t="shared" si="43"/>
        <v>7701092</v>
      </c>
      <c r="J107" s="638">
        <f t="shared" si="43"/>
        <v>29267714.210000001</v>
      </c>
      <c r="K107" s="638">
        <f t="shared" si="43"/>
        <v>36968806.210000001</v>
      </c>
      <c r="L107" s="638">
        <f t="shared" si="43"/>
        <v>762718522.21000004</v>
      </c>
      <c r="M107" s="638">
        <f t="shared" si="43"/>
        <v>249753592.78999999</v>
      </c>
      <c r="N107" s="638">
        <f t="shared" si="43"/>
        <v>212972948</v>
      </c>
      <c r="O107" s="638">
        <f t="shared" si="43"/>
        <v>1212743485</v>
      </c>
      <c r="P107" s="638">
        <f t="shared" si="43"/>
        <v>192648569.78999999</v>
      </c>
      <c r="Q107" s="638">
        <f t="shared" si="43"/>
        <v>64955023</v>
      </c>
      <c r="R107" s="638">
        <f t="shared" si="43"/>
        <v>6150000</v>
      </c>
      <c r="S107" s="638">
        <f t="shared" si="43"/>
        <v>71105023</v>
      </c>
      <c r="T107" s="638">
        <f t="shared" si="43"/>
        <v>14000000</v>
      </c>
      <c r="U107" s="638">
        <f t="shared" si="43"/>
        <v>198972948</v>
      </c>
      <c r="V107" s="638">
        <f t="shared" si="43"/>
        <v>142856028</v>
      </c>
      <c r="W107" s="638">
        <f t="shared" si="43"/>
        <v>4500000</v>
      </c>
      <c r="X107" s="638">
        <f t="shared" si="43"/>
        <v>0</v>
      </c>
      <c r="Y107" s="638">
        <f t="shared" si="43"/>
        <v>0</v>
      </c>
      <c r="Z107" s="638">
        <f t="shared" si="43"/>
        <v>0</v>
      </c>
      <c r="AA107" s="638">
        <f t="shared" si="43"/>
        <v>51616920</v>
      </c>
      <c r="AB107" s="638">
        <f t="shared" si="43"/>
        <v>0</v>
      </c>
      <c r="AC107" s="638">
        <f t="shared" si="43"/>
        <v>79244000</v>
      </c>
      <c r="AD107" s="638">
        <f t="shared" si="43"/>
        <v>0</v>
      </c>
      <c r="AE107" s="638">
        <f>SUM(AE6:AE106)</f>
        <v>0</v>
      </c>
      <c r="AF107" s="638">
        <f>SUM(AF6:AF106)</f>
        <v>0</v>
      </c>
      <c r="AG107" s="638">
        <f t="shared" si="43"/>
        <v>4900000</v>
      </c>
      <c r="AH107" s="638">
        <f t="shared" ref="AH107:AM107" si="44">SUM(AH6:AH106)</f>
        <v>20557064</v>
      </c>
      <c r="AI107" s="638">
        <f t="shared" si="44"/>
        <v>806636</v>
      </c>
      <c r="AJ107" s="638">
        <f t="shared" si="44"/>
        <v>26700000</v>
      </c>
      <c r="AK107" s="638">
        <f t="shared" si="44"/>
        <v>25702702</v>
      </c>
      <c r="AL107" s="638">
        <f t="shared" si="44"/>
        <v>0</v>
      </c>
      <c r="AM107" s="638">
        <f t="shared" si="44"/>
        <v>84041899</v>
      </c>
      <c r="AN107" s="638">
        <f t="shared" si="43"/>
        <v>162708301</v>
      </c>
      <c r="AO107" s="638">
        <f t="shared" si="43"/>
        <v>36264647</v>
      </c>
      <c r="AP107" s="638">
        <f t="shared" si="43"/>
        <v>143060217</v>
      </c>
      <c r="AQ107" s="638">
        <f t="shared" si="43"/>
        <v>4500000</v>
      </c>
      <c r="AR107" s="638">
        <f t="shared" si="43"/>
        <v>0</v>
      </c>
      <c r="AS107" s="638">
        <f t="shared" si="43"/>
        <v>0</v>
      </c>
      <c r="AT107" s="638">
        <f t="shared" si="43"/>
        <v>0</v>
      </c>
      <c r="AU107" s="638">
        <f t="shared" si="43"/>
        <v>15148084</v>
      </c>
      <c r="AV107" s="638">
        <f t="shared" si="43"/>
        <v>71746517</v>
      </c>
      <c r="AW107" s="638">
        <f t="shared" si="43"/>
        <v>0</v>
      </c>
      <c r="AX107" s="638">
        <f t="shared" si="43"/>
        <v>0</v>
      </c>
      <c r="AY107" s="638">
        <f t="shared" si="43"/>
        <v>0</v>
      </c>
      <c r="AZ107" s="638">
        <f t="shared" si="43"/>
        <v>0</v>
      </c>
      <c r="BA107" s="638">
        <f t="shared" si="43"/>
        <v>12295382</v>
      </c>
      <c r="BB107" s="639"/>
    </row>
    <row r="108" spans="1:54" s="514" customFormat="1" ht="30" customHeight="1">
      <c r="A108" s="513"/>
      <c r="B108" s="637"/>
      <c r="C108" s="513"/>
      <c r="D108" s="638"/>
      <c r="E108" s="638"/>
      <c r="F108" s="638"/>
      <c r="G108" s="638"/>
      <c r="H108" s="638"/>
      <c r="I108" s="638"/>
      <c r="J108" s="638"/>
      <c r="K108" s="638"/>
      <c r="L108" s="638"/>
      <c r="M108" s="638"/>
      <c r="N108" s="638"/>
      <c r="O108" s="638"/>
      <c r="P108" s="419">
        <f t="shared" ref="P108:P122" si="45">G108-L108</f>
        <v>0</v>
      </c>
      <c r="Q108" s="638"/>
      <c r="R108" s="638"/>
      <c r="S108" s="638"/>
      <c r="T108" s="638"/>
      <c r="U108" s="638"/>
      <c r="V108" s="638"/>
      <c r="W108" s="638"/>
      <c r="X108" s="638"/>
      <c r="Y108" s="638"/>
      <c r="Z108" s="638"/>
      <c r="AA108" s="638"/>
      <c r="AB108" s="638"/>
      <c r="AC108" s="638"/>
      <c r="AD108" s="638"/>
      <c r="AE108" s="638"/>
      <c r="AF108" s="638"/>
      <c r="AG108" s="638"/>
      <c r="AH108" s="638"/>
      <c r="AI108" s="638"/>
      <c r="AJ108" s="638"/>
      <c r="AK108" s="638"/>
      <c r="AL108" s="638"/>
      <c r="AM108" s="638"/>
      <c r="AN108" s="638"/>
      <c r="AO108" s="638"/>
      <c r="AP108" s="638"/>
      <c r="AQ108" s="638"/>
      <c r="AR108" s="638"/>
      <c r="AS108" s="638"/>
      <c r="AT108" s="638"/>
      <c r="AU108" s="638"/>
      <c r="AV108" s="638"/>
      <c r="AW108" s="638"/>
      <c r="AX108" s="638"/>
      <c r="AY108" s="638"/>
      <c r="AZ108" s="638"/>
      <c r="BA108" s="638"/>
    </row>
    <row r="109" spans="1:54" s="514" customFormat="1" ht="30" customHeight="1">
      <c r="A109" s="513"/>
      <c r="B109" s="637"/>
      <c r="C109" s="513" t="s">
        <v>124</v>
      </c>
      <c r="D109" s="638"/>
      <c r="E109" s="638"/>
      <c r="F109" s="638"/>
      <c r="G109" s="638"/>
      <c r="H109" s="638"/>
      <c r="I109" s="638"/>
      <c r="J109" s="638"/>
      <c r="K109" s="638"/>
      <c r="L109" s="638"/>
      <c r="M109" s="638"/>
      <c r="N109" s="638"/>
      <c r="O109" s="638"/>
      <c r="P109" s="419">
        <f t="shared" si="45"/>
        <v>0</v>
      </c>
      <c r="Q109" s="638"/>
      <c r="R109" s="638"/>
      <c r="S109" s="638"/>
      <c r="T109" s="638"/>
      <c r="U109" s="638"/>
      <c r="V109" s="638"/>
      <c r="W109" s="638"/>
      <c r="X109" s="638"/>
      <c r="Y109" s="638"/>
      <c r="Z109" s="638"/>
      <c r="AA109" s="638"/>
      <c r="AB109" s="624"/>
      <c r="AC109" s="513"/>
      <c r="AD109" s="638"/>
      <c r="AE109" s="638"/>
      <c r="AF109" s="638"/>
      <c r="AG109" s="638"/>
      <c r="AH109" s="638"/>
      <c r="AI109" s="638"/>
      <c r="AJ109" s="638"/>
      <c r="AK109" s="638"/>
      <c r="AL109" s="638"/>
      <c r="AM109" s="638"/>
      <c r="AN109" s="638"/>
      <c r="AO109" s="638"/>
      <c r="AP109" s="638"/>
      <c r="AQ109" s="638"/>
      <c r="AR109" s="638"/>
      <c r="AS109" s="638"/>
      <c r="AT109" s="638"/>
      <c r="AU109" s="638"/>
      <c r="AV109" s="638"/>
      <c r="AW109" s="638"/>
      <c r="AX109" s="638"/>
      <c r="AY109" s="638"/>
      <c r="AZ109" s="638"/>
      <c r="BA109" s="638"/>
    </row>
    <row r="110" spans="1:54" s="548" customFormat="1" ht="30" customHeight="1">
      <c r="A110" s="469">
        <f>A106+1</f>
        <v>102</v>
      </c>
      <c r="B110" s="469">
        <v>1547</v>
      </c>
      <c r="C110" s="469" t="s">
        <v>383</v>
      </c>
      <c r="D110" s="419">
        <v>144000000</v>
      </c>
      <c r="E110" s="419">
        <v>144000000</v>
      </c>
      <c r="F110" s="419">
        <f t="shared" ref="F110:F122" si="46">D110-E110</f>
        <v>0</v>
      </c>
      <c r="G110" s="419">
        <v>114000000</v>
      </c>
      <c r="H110" s="419">
        <v>105301695</v>
      </c>
      <c r="I110" s="419">
        <v>0</v>
      </c>
      <c r="J110" s="419">
        <v>1077191</v>
      </c>
      <c r="K110" s="419">
        <f t="shared" ref="K110:K122" si="47">SUM(I110:J110)</f>
        <v>1077191</v>
      </c>
      <c r="L110" s="419">
        <f t="shared" ref="L110:L122" si="48">K110+H110</f>
        <v>106378886</v>
      </c>
      <c r="M110" s="419">
        <f t="shared" ref="M110:M122" si="49">P110+S110</f>
        <v>7621114</v>
      </c>
      <c r="N110" s="419"/>
      <c r="O110" s="419">
        <f t="shared" ref="O110:O122" si="50">D110-L110-M110-N110</f>
        <v>30000000</v>
      </c>
      <c r="P110" s="419">
        <f t="shared" si="45"/>
        <v>7621114</v>
      </c>
      <c r="Q110" s="419"/>
      <c r="R110" s="419"/>
      <c r="S110" s="419">
        <f t="shared" ref="S110:S122" si="51">SUM(Q110:R110)</f>
        <v>0</v>
      </c>
      <c r="T110" s="419">
        <f t="shared" ref="T110:T122" si="52">P110-M110+S110</f>
        <v>0</v>
      </c>
      <c r="U110" s="419">
        <f t="shared" ref="U110:U122" si="53">N110-T110</f>
        <v>0</v>
      </c>
      <c r="V110" s="419">
        <f t="shared" ref="V110:V122" si="54">U110-Z110-X110-AA110-W110-Y110</f>
        <v>0</v>
      </c>
      <c r="W110" s="419"/>
      <c r="X110" s="419"/>
      <c r="Y110" s="419"/>
      <c r="Z110" s="419"/>
      <c r="AA110" s="631"/>
      <c r="AB110" s="469" t="s">
        <v>328</v>
      </c>
      <c r="AC110" s="469">
        <v>742000</v>
      </c>
      <c r="AD110" s="419"/>
      <c r="AE110" s="419"/>
      <c r="AF110" s="419"/>
      <c r="AG110" s="419"/>
      <c r="AH110" s="419"/>
      <c r="AI110" s="419"/>
      <c r="AJ110" s="419"/>
      <c r="AL110" s="419"/>
      <c r="AM110" s="419"/>
      <c r="AN110" s="419">
        <f t="shared" ref="AN110:AN122" si="55">SUM(AD110:AM110)</f>
        <v>0</v>
      </c>
      <c r="AO110" s="419">
        <f t="shared" ref="AO110:AO122" si="56">U110-AN110</f>
        <v>0</v>
      </c>
      <c r="AP110" s="449">
        <f t="shared" ref="AP110:AP122" si="57">AN110-AQ110-AU110</f>
        <v>0</v>
      </c>
      <c r="AQ110" s="419"/>
      <c r="AR110" s="419"/>
      <c r="AS110" s="419"/>
      <c r="AT110" s="419"/>
      <c r="AU110" s="419"/>
      <c r="AV110" s="449">
        <f t="shared" ref="AV110:AV123" si="58">AM110-AW110-BA110</f>
        <v>0</v>
      </c>
      <c r="AW110" s="419"/>
      <c r="AX110" s="419"/>
      <c r="AY110" s="419"/>
      <c r="AZ110" s="419"/>
      <c r="BA110" s="419"/>
    </row>
    <row r="111" spans="1:54" ht="30" customHeight="1">
      <c r="A111" s="469">
        <f t="shared" ref="A111:A122" si="59">A110+1</f>
        <v>103</v>
      </c>
      <c r="B111" s="552">
        <v>1827</v>
      </c>
      <c r="C111" s="469" t="s">
        <v>384</v>
      </c>
      <c r="D111" s="419">
        <v>100000000</v>
      </c>
      <c r="E111" s="419">
        <v>100000000</v>
      </c>
      <c r="F111" s="419">
        <f t="shared" si="46"/>
        <v>0</v>
      </c>
      <c r="G111" s="419">
        <v>87320302</v>
      </c>
      <c r="H111" s="419">
        <v>82470616</v>
      </c>
      <c r="I111" s="419">
        <v>0</v>
      </c>
      <c r="J111" s="419">
        <v>1388471</v>
      </c>
      <c r="K111" s="419">
        <f t="shared" si="47"/>
        <v>1388471</v>
      </c>
      <c r="L111" s="419">
        <f t="shared" si="48"/>
        <v>83859087</v>
      </c>
      <c r="M111" s="419">
        <f t="shared" si="49"/>
        <v>3461215</v>
      </c>
      <c r="N111" s="419">
        <v>12679698</v>
      </c>
      <c r="O111" s="419">
        <f t="shared" si="50"/>
        <v>0</v>
      </c>
      <c r="P111" s="419">
        <f t="shared" si="45"/>
        <v>3461215</v>
      </c>
      <c r="Q111" s="419"/>
      <c r="R111" s="419"/>
      <c r="S111" s="419">
        <f t="shared" si="51"/>
        <v>0</v>
      </c>
      <c r="T111" s="419">
        <f t="shared" si="52"/>
        <v>0</v>
      </c>
      <c r="U111" s="419">
        <f t="shared" si="53"/>
        <v>12679698</v>
      </c>
      <c r="V111" s="419">
        <f t="shared" si="54"/>
        <v>12679698</v>
      </c>
      <c r="W111" s="419"/>
      <c r="X111" s="419"/>
      <c r="Y111" s="419"/>
      <c r="Z111" s="419"/>
      <c r="AA111" s="419"/>
      <c r="AB111" s="469" t="s">
        <v>328</v>
      </c>
      <c r="AC111" s="469">
        <v>746000</v>
      </c>
      <c r="AD111" s="419"/>
      <c r="AE111" s="419"/>
      <c r="AF111" s="419"/>
      <c r="AG111" s="419"/>
      <c r="AH111" s="419"/>
      <c r="AI111" s="419">
        <v>1679698</v>
      </c>
      <c r="AJ111" s="419"/>
      <c r="AK111" s="419"/>
      <c r="AL111" s="419"/>
      <c r="AM111" s="419">
        <v>11000000</v>
      </c>
      <c r="AN111" s="419">
        <f t="shared" si="55"/>
        <v>12679698</v>
      </c>
      <c r="AO111" s="419">
        <f t="shared" si="56"/>
        <v>0</v>
      </c>
      <c r="AP111" s="449">
        <f t="shared" si="57"/>
        <v>12679698</v>
      </c>
      <c r="AQ111" s="419"/>
      <c r="AR111" s="419"/>
      <c r="AS111" s="419"/>
      <c r="AT111" s="419"/>
      <c r="AU111" s="419"/>
      <c r="AV111" s="449">
        <f t="shared" si="58"/>
        <v>11000000</v>
      </c>
      <c r="AW111" s="419"/>
      <c r="AX111" s="419"/>
      <c r="AY111" s="419"/>
      <c r="AZ111" s="419"/>
      <c r="BA111" s="419"/>
    </row>
    <row r="112" spans="1:54" s="548" customFormat="1" ht="30" customHeight="1">
      <c r="A112" s="469">
        <f t="shared" si="59"/>
        <v>104</v>
      </c>
      <c r="B112" s="469">
        <v>1905</v>
      </c>
      <c r="C112" s="469" t="s">
        <v>101</v>
      </c>
      <c r="D112" s="419">
        <v>3366000</v>
      </c>
      <c r="E112" s="419">
        <v>3366000</v>
      </c>
      <c r="F112" s="419">
        <f t="shared" si="46"/>
        <v>0</v>
      </c>
      <c r="G112" s="419">
        <v>3366000</v>
      </c>
      <c r="H112" s="419">
        <v>0</v>
      </c>
      <c r="I112" s="419"/>
      <c r="J112" s="419">
        <v>0</v>
      </c>
      <c r="K112" s="419">
        <f t="shared" si="47"/>
        <v>0</v>
      </c>
      <c r="L112" s="419">
        <f t="shared" si="48"/>
        <v>0</v>
      </c>
      <c r="M112" s="419">
        <f t="shared" si="49"/>
        <v>3366000</v>
      </c>
      <c r="N112" s="419"/>
      <c r="O112" s="419">
        <f t="shared" si="50"/>
        <v>0</v>
      </c>
      <c r="P112" s="419">
        <f t="shared" si="45"/>
        <v>3366000</v>
      </c>
      <c r="Q112" s="419"/>
      <c r="R112" s="419"/>
      <c r="S112" s="419">
        <f t="shared" si="51"/>
        <v>0</v>
      </c>
      <c r="T112" s="419">
        <f t="shared" si="52"/>
        <v>0</v>
      </c>
      <c r="U112" s="419">
        <f t="shared" si="53"/>
        <v>0</v>
      </c>
      <c r="V112" s="419">
        <f t="shared" si="54"/>
        <v>0</v>
      </c>
      <c r="W112" s="419"/>
      <c r="X112" s="419"/>
      <c r="Y112" s="419"/>
      <c r="Z112" s="419"/>
      <c r="AA112" s="419"/>
      <c r="AB112" s="469" t="s">
        <v>332</v>
      </c>
      <c r="AC112" s="469">
        <v>746000</v>
      </c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>
        <f t="shared" si="55"/>
        <v>0</v>
      </c>
      <c r="AO112" s="419">
        <f t="shared" si="56"/>
        <v>0</v>
      </c>
      <c r="AP112" s="449">
        <f t="shared" si="57"/>
        <v>0</v>
      </c>
      <c r="AQ112" s="419"/>
      <c r="AR112" s="419"/>
      <c r="AS112" s="419"/>
      <c r="AT112" s="419"/>
      <c r="AU112" s="419"/>
      <c r="AV112" s="449">
        <f t="shared" si="58"/>
        <v>0</v>
      </c>
      <c r="AW112" s="419"/>
      <c r="AX112" s="419"/>
      <c r="AY112" s="419"/>
      <c r="AZ112" s="419"/>
      <c r="BA112" s="419"/>
    </row>
    <row r="113" spans="1:54" s="548" customFormat="1" ht="30" customHeight="1">
      <c r="A113" s="469">
        <f t="shared" si="59"/>
        <v>105</v>
      </c>
      <c r="B113" s="469">
        <v>1908</v>
      </c>
      <c r="C113" s="469" t="s">
        <v>115</v>
      </c>
      <c r="D113" s="419">
        <v>19054496</v>
      </c>
      <c r="E113" s="419">
        <v>19054496</v>
      </c>
      <c r="F113" s="419">
        <f t="shared" si="46"/>
        <v>0</v>
      </c>
      <c r="G113" s="419">
        <v>19054496</v>
      </c>
      <c r="H113" s="419">
        <v>17378626</v>
      </c>
      <c r="I113" s="419">
        <v>0</v>
      </c>
      <c r="J113" s="419">
        <v>525248</v>
      </c>
      <c r="K113" s="419">
        <f t="shared" si="47"/>
        <v>525248</v>
      </c>
      <c r="L113" s="419">
        <f t="shared" si="48"/>
        <v>17903874</v>
      </c>
      <c r="M113" s="419">
        <f t="shared" si="49"/>
        <v>1150622</v>
      </c>
      <c r="N113" s="419"/>
      <c r="O113" s="419">
        <f t="shared" si="50"/>
        <v>0</v>
      </c>
      <c r="P113" s="419">
        <f t="shared" si="45"/>
        <v>1150622</v>
      </c>
      <c r="Q113" s="419"/>
      <c r="R113" s="419"/>
      <c r="S113" s="419">
        <f t="shared" si="51"/>
        <v>0</v>
      </c>
      <c r="T113" s="419">
        <f t="shared" si="52"/>
        <v>0</v>
      </c>
      <c r="U113" s="419">
        <f t="shared" si="53"/>
        <v>0</v>
      </c>
      <c r="V113" s="419">
        <f t="shared" si="54"/>
        <v>7432067</v>
      </c>
      <c r="W113" s="419"/>
      <c r="X113" s="419"/>
      <c r="Y113" s="419"/>
      <c r="Z113" s="419"/>
      <c r="AA113" s="419">
        <v>-7432067</v>
      </c>
      <c r="AB113" s="536" t="s">
        <v>799</v>
      </c>
      <c r="AC113" s="469">
        <v>810000</v>
      </c>
      <c r="AD113" s="419"/>
      <c r="AE113" s="419"/>
      <c r="AF113" s="419"/>
      <c r="AG113" s="640"/>
      <c r="AH113" s="419"/>
      <c r="AI113" s="419"/>
      <c r="AJ113" s="419"/>
      <c r="AK113" s="419"/>
      <c r="AL113" s="419"/>
      <c r="AM113" s="419"/>
      <c r="AN113" s="419">
        <f t="shared" si="55"/>
        <v>0</v>
      </c>
      <c r="AO113" s="419">
        <f t="shared" si="56"/>
        <v>0</v>
      </c>
      <c r="AP113" s="449">
        <f t="shared" si="57"/>
        <v>7432067</v>
      </c>
      <c r="AQ113" s="419"/>
      <c r="AR113" s="419"/>
      <c r="AS113" s="419"/>
      <c r="AT113" s="419"/>
      <c r="AU113" s="419">
        <v>-7432067</v>
      </c>
      <c r="AV113" s="449">
        <f t="shared" si="58"/>
        <v>0</v>
      </c>
      <c r="AW113" s="419"/>
      <c r="AX113" s="419"/>
      <c r="AY113" s="419"/>
      <c r="AZ113" s="419"/>
      <c r="BA113" s="419"/>
    </row>
    <row r="114" spans="1:54" ht="30" customHeight="1">
      <c r="A114" s="469">
        <f t="shared" si="59"/>
        <v>106</v>
      </c>
      <c r="B114" s="552">
        <v>1909</v>
      </c>
      <c r="C114" s="469" t="s">
        <v>412</v>
      </c>
      <c r="D114" s="419">
        <v>184500000</v>
      </c>
      <c r="E114" s="419">
        <v>184500000</v>
      </c>
      <c r="F114" s="419">
        <f t="shared" si="46"/>
        <v>0</v>
      </c>
      <c r="G114" s="419">
        <f>104937831+3486255+10000000</f>
        <v>118424086</v>
      </c>
      <c r="H114" s="419">
        <v>118000448</v>
      </c>
      <c r="I114" s="419">
        <v>0</v>
      </c>
      <c r="J114" s="419">
        <v>344327</v>
      </c>
      <c r="K114" s="419">
        <f t="shared" si="47"/>
        <v>344327</v>
      </c>
      <c r="L114" s="419">
        <f t="shared" si="48"/>
        <v>118344775</v>
      </c>
      <c r="M114" s="419">
        <f t="shared" si="49"/>
        <v>20079311</v>
      </c>
      <c r="N114" s="419">
        <f>50000000-3924086-21000000</f>
        <v>25075914</v>
      </c>
      <c r="O114" s="419">
        <f t="shared" si="50"/>
        <v>21000000</v>
      </c>
      <c r="P114" s="419">
        <f t="shared" si="45"/>
        <v>79311</v>
      </c>
      <c r="Q114" s="482">
        <v>20000000</v>
      </c>
      <c r="R114" s="419"/>
      <c r="S114" s="419">
        <f t="shared" si="51"/>
        <v>20000000</v>
      </c>
      <c r="T114" s="419">
        <f t="shared" si="52"/>
        <v>0</v>
      </c>
      <c r="U114" s="419">
        <f t="shared" si="53"/>
        <v>25075914</v>
      </c>
      <c r="V114" s="419">
        <f t="shared" si="54"/>
        <v>25075914</v>
      </c>
      <c r="W114" s="419"/>
      <c r="X114" s="419"/>
      <c r="Y114" s="419"/>
      <c r="Z114" s="419"/>
      <c r="AA114" s="419"/>
      <c r="AB114" s="483" t="s">
        <v>701</v>
      </c>
      <c r="AC114" s="469">
        <v>810000</v>
      </c>
      <c r="AD114" s="419"/>
      <c r="AE114" s="419"/>
      <c r="AF114" s="419"/>
      <c r="AG114" s="419">
        <v>25075914</v>
      </c>
      <c r="AH114" s="419"/>
      <c r="AI114" s="419"/>
      <c r="AJ114" s="419"/>
      <c r="AK114" s="419"/>
      <c r="AL114" s="419"/>
      <c r="AM114" s="419"/>
      <c r="AN114" s="419">
        <f t="shared" si="55"/>
        <v>25075914</v>
      </c>
      <c r="AO114" s="419">
        <f t="shared" si="56"/>
        <v>0</v>
      </c>
      <c r="AP114" s="449">
        <f t="shared" si="57"/>
        <v>25075914</v>
      </c>
      <c r="AQ114" s="419"/>
      <c r="AR114" s="419"/>
      <c r="AS114" s="419"/>
      <c r="AT114" s="419"/>
      <c r="AU114" s="419"/>
      <c r="AV114" s="449">
        <f t="shared" si="58"/>
        <v>0</v>
      </c>
      <c r="AW114" s="419"/>
      <c r="AX114" s="419"/>
      <c r="AY114" s="419"/>
      <c r="AZ114" s="419"/>
      <c r="BA114" s="419"/>
    </row>
    <row r="115" spans="1:54" ht="30" customHeight="1">
      <c r="A115" s="469">
        <f t="shared" si="59"/>
        <v>107</v>
      </c>
      <c r="B115" s="552">
        <v>1911</v>
      </c>
      <c r="C115" s="469" t="s">
        <v>264</v>
      </c>
      <c r="D115" s="419">
        <f>29050000-1813760</f>
        <v>27236240</v>
      </c>
      <c r="E115" s="419">
        <v>29050000</v>
      </c>
      <c r="F115" s="419">
        <f t="shared" si="46"/>
        <v>-1813760</v>
      </c>
      <c r="G115" s="419">
        <v>27236240</v>
      </c>
      <c r="H115" s="419">
        <v>25948209</v>
      </c>
      <c r="I115" s="419">
        <v>0</v>
      </c>
      <c r="J115" s="419">
        <v>499979</v>
      </c>
      <c r="K115" s="419">
        <f t="shared" si="47"/>
        <v>499979</v>
      </c>
      <c r="L115" s="419">
        <f t="shared" si="48"/>
        <v>26448188</v>
      </c>
      <c r="M115" s="419">
        <f t="shared" si="49"/>
        <v>788052</v>
      </c>
      <c r="N115" s="419"/>
      <c r="O115" s="419">
        <f t="shared" si="50"/>
        <v>0</v>
      </c>
      <c r="P115" s="419">
        <f t="shared" si="45"/>
        <v>788052</v>
      </c>
      <c r="Q115" s="419"/>
      <c r="R115" s="419">
        <f>1813760-1813760</f>
        <v>0</v>
      </c>
      <c r="S115" s="419">
        <f t="shared" si="51"/>
        <v>0</v>
      </c>
      <c r="T115" s="419">
        <f t="shared" si="52"/>
        <v>0</v>
      </c>
      <c r="U115" s="419">
        <f t="shared" si="53"/>
        <v>0</v>
      </c>
      <c r="V115" s="419">
        <f t="shared" si="54"/>
        <v>7432067</v>
      </c>
      <c r="W115" s="419"/>
      <c r="X115" s="419"/>
      <c r="Y115" s="419"/>
      <c r="Z115" s="419"/>
      <c r="AA115" s="419">
        <v>-7432067</v>
      </c>
      <c r="AB115" s="483" t="s">
        <v>800</v>
      </c>
      <c r="AC115" s="469">
        <v>810000</v>
      </c>
      <c r="AD115" s="419"/>
      <c r="AE115" s="419"/>
      <c r="AF115" s="419"/>
      <c r="AG115" s="640"/>
      <c r="AH115" s="419"/>
      <c r="AI115" s="419"/>
      <c r="AJ115" s="419"/>
      <c r="AK115" s="419"/>
      <c r="AL115" s="419"/>
      <c r="AM115" s="419"/>
      <c r="AN115" s="419">
        <f t="shared" si="55"/>
        <v>0</v>
      </c>
      <c r="AO115" s="419">
        <f t="shared" si="56"/>
        <v>0</v>
      </c>
      <c r="AP115" s="449">
        <f t="shared" si="57"/>
        <v>7432067</v>
      </c>
      <c r="AQ115" s="419"/>
      <c r="AR115" s="419"/>
      <c r="AS115" s="419"/>
      <c r="AT115" s="419"/>
      <c r="AU115" s="419">
        <v>-7432067</v>
      </c>
      <c r="AV115" s="449">
        <f t="shared" si="58"/>
        <v>0</v>
      </c>
      <c r="AW115" s="419"/>
      <c r="AX115" s="419"/>
      <c r="AY115" s="419"/>
      <c r="AZ115" s="419"/>
      <c r="BA115" s="419"/>
    </row>
    <row r="116" spans="1:54" ht="30" customHeight="1">
      <c r="A116" s="469">
        <f t="shared" si="59"/>
        <v>108</v>
      </c>
      <c r="B116" s="552">
        <v>1912</v>
      </c>
      <c r="C116" s="469" t="s">
        <v>385</v>
      </c>
      <c r="D116" s="631">
        <f>310000000+120000000</f>
        <v>430000000</v>
      </c>
      <c r="E116" s="419">
        <v>310000000</v>
      </c>
      <c r="F116" s="419">
        <f t="shared" si="46"/>
        <v>120000000</v>
      </c>
      <c r="G116" s="419">
        <f>144787905+12925168</f>
        <v>157713073</v>
      </c>
      <c r="H116" s="419">
        <v>153693735</v>
      </c>
      <c r="I116" s="419">
        <v>0</v>
      </c>
      <c r="J116" s="419">
        <v>3174359</v>
      </c>
      <c r="K116" s="419">
        <f t="shared" si="47"/>
        <v>3174359</v>
      </c>
      <c r="L116" s="419">
        <f t="shared" si="48"/>
        <v>156868094</v>
      </c>
      <c r="M116" s="419">
        <f t="shared" si="49"/>
        <v>20844979</v>
      </c>
      <c r="N116" s="419">
        <f>200000000-70000000-20000000</f>
        <v>110000000</v>
      </c>
      <c r="O116" s="419">
        <f t="shared" si="50"/>
        <v>142286927</v>
      </c>
      <c r="P116" s="419">
        <f t="shared" si="45"/>
        <v>844979</v>
      </c>
      <c r="Q116" s="419"/>
      <c r="R116" s="626">
        <v>20000000</v>
      </c>
      <c r="S116" s="419">
        <f t="shared" si="51"/>
        <v>20000000</v>
      </c>
      <c r="T116" s="419">
        <f t="shared" si="52"/>
        <v>0</v>
      </c>
      <c r="U116" s="419">
        <f t="shared" si="53"/>
        <v>110000000</v>
      </c>
      <c r="V116" s="419">
        <f t="shared" si="54"/>
        <v>46322608</v>
      </c>
      <c r="W116" s="419">
        <v>20530000</v>
      </c>
      <c r="X116" s="419"/>
      <c r="Y116" s="419">
        <v>866000</v>
      </c>
      <c r="Z116" s="419"/>
      <c r="AA116" s="419">
        <f>7432067*2+27417258</f>
        <v>42281392</v>
      </c>
      <c r="AB116" s="483" t="s">
        <v>888</v>
      </c>
      <c r="AC116" s="469">
        <v>810000</v>
      </c>
      <c r="AD116" s="419"/>
      <c r="AE116" s="419">
        <v>20000000</v>
      </c>
      <c r="AF116" s="419"/>
      <c r="AG116" s="640">
        <f>30000000+7432067+7432067</f>
        <v>44864134</v>
      </c>
      <c r="AH116" s="419">
        <f>3404536+2999585+530000+8188608</f>
        <v>15122729</v>
      </c>
      <c r="AI116" s="419"/>
      <c r="AJ116" s="419">
        <f>21013137+9000000</f>
        <v>30013137</v>
      </c>
      <c r="AK116" s="419"/>
      <c r="AL116" s="419"/>
      <c r="AM116" s="419"/>
      <c r="AN116" s="419">
        <f t="shared" si="55"/>
        <v>110000000</v>
      </c>
      <c r="AO116" s="419">
        <f t="shared" si="56"/>
        <v>0</v>
      </c>
      <c r="AP116" s="449">
        <f>AN116-AQ116-AU116-AS116</f>
        <v>46322608</v>
      </c>
      <c r="AQ116" s="419">
        <v>20530000</v>
      </c>
      <c r="AR116" s="419"/>
      <c r="AS116" s="419">
        <v>866000</v>
      </c>
      <c r="AT116" s="419"/>
      <c r="AU116" s="419">
        <f>7432067*2+27417258</f>
        <v>42281392</v>
      </c>
      <c r="AV116" s="449">
        <f t="shared" si="58"/>
        <v>0</v>
      </c>
      <c r="AW116" s="419"/>
      <c r="AX116" s="419"/>
      <c r="AY116" s="419"/>
      <c r="AZ116" s="419"/>
      <c r="BA116" s="419"/>
    </row>
    <row r="117" spans="1:54" ht="30" customHeight="1">
      <c r="A117" s="469">
        <f t="shared" si="59"/>
        <v>109</v>
      </c>
      <c r="B117" s="552">
        <v>1914</v>
      </c>
      <c r="C117" s="469" t="s">
        <v>114</v>
      </c>
      <c r="D117" s="419">
        <v>8100000</v>
      </c>
      <c r="E117" s="419">
        <v>8100000</v>
      </c>
      <c r="F117" s="419">
        <f t="shared" si="46"/>
        <v>0</v>
      </c>
      <c r="G117" s="419">
        <v>8100000</v>
      </c>
      <c r="H117" s="419">
        <v>7471625</v>
      </c>
      <c r="I117" s="419">
        <v>0</v>
      </c>
      <c r="J117" s="419">
        <v>50619</v>
      </c>
      <c r="K117" s="419">
        <f t="shared" si="47"/>
        <v>50619</v>
      </c>
      <c r="L117" s="419">
        <f t="shared" si="48"/>
        <v>7522244</v>
      </c>
      <c r="M117" s="419">
        <f t="shared" si="49"/>
        <v>577756</v>
      </c>
      <c r="N117" s="419"/>
      <c r="O117" s="419">
        <f t="shared" si="50"/>
        <v>0</v>
      </c>
      <c r="P117" s="419">
        <f t="shared" si="45"/>
        <v>577756</v>
      </c>
      <c r="Q117" s="419"/>
      <c r="R117" s="419"/>
      <c r="S117" s="419">
        <f t="shared" si="51"/>
        <v>0</v>
      </c>
      <c r="T117" s="419">
        <f t="shared" si="52"/>
        <v>0</v>
      </c>
      <c r="U117" s="419">
        <f t="shared" si="53"/>
        <v>0</v>
      </c>
      <c r="V117" s="419">
        <f t="shared" si="54"/>
        <v>0</v>
      </c>
      <c r="W117" s="419"/>
      <c r="X117" s="419"/>
      <c r="Y117" s="419"/>
      <c r="Z117" s="419"/>
      <c r="AA117" s="469"/>
      <c r="AB117" s="430" t="s">
        <v>838</v>
      </c>
      <c r="AC117" s="469">
        <v>810000</v>
      </c>
      <c r="AD117" s="419"/>
      <c r="AE117" s="419"/>
      <c r="AF117" s="419"/>
      <c r="AG117" s="419"/>
      <c r="AH117" s="419"/>
      <c r="AI117" s="419"/>
      <c r="AJ117" s="419"/>
      <c r="AK117" s="419"/>
      <c r="AL117" s="419"/>
      <c r="AM117" s="419"/>
      <c r="AN117" s="419">
        <f t="shared" si="55"/>
        <v>0</v>
      </c>
      <c r="AO117" s="419">
        <f t="shared" si="56"/>
        <v>0</v>
      </c>
      <c r="AP117" s="449">
        <f t="shared" si="57"/>
        <v>0</v>
      </c>
      <c r="AQ117" s="419"/>
      <c r="AR117" s="419"/>
      <c r="AS117" s="419"/>
      <c r="AT117" s="419"/>
      <c r="AU117" s="419"/>
      <c r="AV117" s="449">
        <f t="shared" si="58"/>
        <v>0</v>
      </c>
      <c r="AW117" s="419"/>
      <c r="AX117" s="419"/>
      <c r="AY117" s="419"/>
      <c r="AZ117" s="419"/>
      <c r="BA117" s="419"/>
    </row>
    <row r="118" spans="1:54" ht="30" customHeight="1">
      <c r="A118" s="469">
        <f t="shared" si="59"/>
        <v>110</v>
      </c>
      <c r="B118" s="552">
        <v>1919</v>
      </c>
      <c r="C118" s="469" t="s">
        <v>104</v>
      </c>
      <c r="D118" s="419">
        <v>135100000</v>
      </c>
      <c r="E118" s="419">
        <v>135100000</v>
      </c>
      <c r="F118" s="419">
        <f t="shared" si="46"/>
        <v>0</v>
      </c>
      <c r="G118" s="419">
        <v>72024834</v>
      </c>
      <c r="H118" s="419">
        <v>57960920</v>
      </c>
      <c r="I118" s="419">
        <v>0</v>
      </c>
      <c r="J118" s="419">
        <v>370261</v>
      </c>
      <c r="K118" s="419">
        <f t="shared" si="47"/>
        <v>370261</v>
      </c>
      <c r="L118" s="419">
        <f t="shared" si="48"/>
        <v>58331181</v>
      </c>
      <c r="M118" s="419">
        <f t="shared" si="49"/>
        <v>13693653</v>
      </c>
      <c r="N118" s="419"/>
      <c r="O118" s="419">
        <f t="shared" si="50"/>
        <v>63075166</v>
      </c>
      <c r="P118" s="419">
        <f t="shared" si="45"/>
        <v>13693653</v>
      </c>
      <c r="Q118" s="419"/>
      <c r="R118" s="419"/>
      <c r="S118" s="419">
        <f t="shared" si="51"/>
        <v>0</v>
      </c>
      <c r="T118" s="419">
        <f t="shared" si="52"/>
        <v>0</v>
      </c>
      <c r="U118" s="419">
        <f t="shared" si="53"/>
        <v>0</v>
      </c>
      <c r="V118" s="419">
        <f t="shared" si="54"/>
        <v>0</v>
      </c>
      <c r="W118" s="419"/>
      <c r="X118" s="419"/>
      <c r="Y118" s="419"/>
      <c r="Z118" s="419"/>
      <c r="AA118" s="419"/>
      <c r="AB118" s="469" t="s">
        <v>474</v>
      </c>
      <c r="AC118" s="469">
        <v>742000</v>
      </c>
      <c r="AD118" s="419"/>
      <c r="AE118" s="419"/>
      <c r="AF118" s="419"/>
      <c r="AG118" s="419"/>
      <c r="AH118" s="419"/>
      <c r="AI118" s="419"/>
      <c r="AJ118" s="419"/>
      <c r="AK118" s="419"/>
      <c r="AL118" s="419"/>
      <c r="AM118" s="419"/>
      <c r="AN118" s="419">
        <f t="shared" si="55"/>
        <v>0</v>
      </c>
      <c r="AO118" s="419">
        <f t="shared" si="56"/>
        <v>0</v>
      </c>
      <c r="AP118" s="449">
        <f t="shared" si="57"/>
        <v>0</v>
      </c>
      <c r="AQ118" s="419"/>
      <c r="AR118" s="419"/>
      <c r="AS118" s="419"/>
      <c r="AT118" s="419"/>
      <c r="AU118" s="419"/>
      <c r="AV118" s="449">
        <f t="shared" si="58"/>
        <v>0</v>
      </c>
      <c r="AW118" s="419"/>
      <c r="AX118" s="419"/>
      <c r="AY118" s="419"/>
      <c r="AZ118" s="419"/>
      <c r="BA118" s="419"/>
    </row>
    <row r="119" spans="1:54" ht="30" customHeight="1">
      <c r="A119" s="469">
        <f t="shared" si="59"/>
        <v>111</v>
      </c>
      <c r="B119" s="552">
        <v>1960</v>
      </c>
      <c r="C119" s="469" t="s">
        <v>265</v>
      </c>
      <c r="D119" s="419">
        <v>24710000</v>
      </c>
      <c r="E119" s="419">
        <v>24710000</v>
      </c>
      <c r="F119" s="419">
        <f t="shared" si="46"/>
        <v>0</v>
      </c>
      <c r="G119" s="419">
        <v>22421744</v>
      </c>
      <c r="H119" s="419">
        <v>18966010</v>
      </c>
      <c r="I119" s="419">
        <v>0</v>
      </c>
      <c r="J119" s="419">
        <v>1097699</v>
      </c>
      <c r="K119" s="419">
        <f t="shared" si="47"/>
        <v>1097699</v>
      </c>
      <c r="L119" s="419">
        <f t="shared" si="48"/>
        <v>20063709</v>
      </c>
      <c r="M119" s="419">
        <f t="shared" si="49"/>
        <v>2358035</v>
      </c>
      <c r="N119" s="419">
        <v>2288256</v>
      </c>
      <c r="O119" s="419">
        <f t="shared" si="50"/>
        <v>0</v>
      </c>
      <c r="P119" s="419">
        <f t="shared" si="45"/>
        <v>2358035</v>
      </c>
      <c r="Q119" s="419"/>
      <c r="R119" s="419"/>
      <c r="S119" s="419">
        <f t="shared" si="51"/>
        <v>0</v>
      </c>
      <c r="T119" s="419">
        <f t="shared" si="52"/>
        <v>0</v>
      </c>
      <c r="U119" s="419">
        <f t="shared" si="53"/>
        <v>2288256</v>
      </c>
      <c r="V119" s="419">
        <f t="shared" si="54"/>
        <v>2288256</v>
      </c>
      <c r="W119" s="419"/>
      <c r="X119" s="419"/>
      <c r="Y119" s="419"/>
      <c r="Z119" s="419"/>
      <c r="AA119" s="419"/>
      <c r="AB119" s="483" t="s">
        <v>889</v>
      </c>
      <c r="AC119" s="469">
        <v>810000</v>
      </c>
      <c r="AD119" s="419"/>
      <c r="AE119" s="419"/>
      <c r="AF119" s="419"/>
      <c r="AG119" s="419"/>
      <c r="AH119" s="419"/>
      <c r="AI119" s="419"/>
      <c r="AJ119" s="419"/>
      <c r="AK119" s="419"/>
      <c r="AL119" s="419"/>
      <c r="AM119" s="419">
        <v>2288256</v>
      </c>
      <c r="AN119" s="419">
        <f t="shared" si="55"/>
        <v>2288256</v>
      </c>
      <c r="AO119" s="419">
        <f t="shared" si="56"/>
        <v>0</v>
      </c>
      <c r="AP119" s="449">
        <f t="shared" si="57"/>
        <v>2288256</v>
      </c>
      <c r="AQ119" s="419"/>
      <c r="AR119" s="419"/>
      <c r="AS119" s="419"/>
      <c r="AT119" s="419"/>
      <c r="AU119" s="419"/>
      <c r="AV119" s="449">
        <f t="shared" si="58"/>
        <v>2288256</v>
      </c>
      <c r="AW119" s="419"/>
      <c r="AX119" s="419"/>
      <c r="AY119" s="419"/>
      <c r="AZ119" s="419"/>
      <c r="BA119" s="419"/>
    </row>
    <row r="120" spans="1:54" ht="30" customHeight="1">
      <c r="A120" s="469">
        <f t="shared" si="59"/>
        <v>112</v>
      </c>
      <c r="B120" s="552">
        <v>1962</v>
      </c>
      <c r="C120" s="469" t="s">
        <v>122</v>
      </c>
      <c r="D120" s="419">
        <v>20000000</v>
      </c>
      <c r="E120" s="419">
        <v>20000000</v>
      </c>
      <c r="F120" s="419">
        <f t="shared" si="46"/>
        <v>0</v>
      </c>
      <c r="G120" s="419">
        <v>1000000</v>
      </c>
      <c r="H120" s="419">
        <v>0</v>
      </c>
      <c r="I120" s="419">
        <v>0</v>
      </c>
      <c r="J120" s="419">
        <v>0</v>
      </c>
      <c r="K120" s="419">
        <f t="shared" si="47"/>
        <v>0</v>
      </c>
      <c r="L120" s="419">
        <f t="shared" si="48"/>
        <v>0</v>
      </c>
      <c r="M120" s="419">
        <f t="shared" si="49"/>
        <v>100000</v>
      </c>
      <c r="N120" s="419"/>
      <c r="O120" s="419">
        <f t="shared" si="50"/>
        <v>19900000</v>
      </c>
      <c r="P120" s="419">
        <f t="shared" si="45"/>
        <v>1000000</v>
      </c>
      <c r="Q120" s="626">
        <v>-900000</v>
      </c>
      <c r="R120" s="419"/>
      <c r="S120" s="419">
        <f t="shared" si="51"/>
        <v>-900000</v>
      </c>
      <c r="T120" s="419">
        <f t="shared" si="52"/>
        <v>0</v>
      </c>
      <c r="U120" s="419">
        <f t="shared" si="53"/>
        <v>0</v>
      </c>
      <c r="V120" s="419">
        <f t="shared" si="54"/>
        <v>0</v>
      </c>
      <c r="W120" s="419"/>
      <c r="X120" s="419"/>
      <c r="Y120" s="419"/>
      <c r="Z120" s="419"/>
      <c r="AA120" s="469"/>
      <c r="AB120" s="483" t="s">
        <v>475</v>
      </c>
      <c r="AC120" s="469">
        <v>742000</v>
      </c>
      <c r="AD120" s="419"/>
      <c r="AE120" s="419"/>
      <c r="AF120" s="419"/>
      <c r="AG120" s="419"/>
      <c r="AH120" s="419"/>
      <c r="AI120" s="419"/>
      <c r="AJ120" s="419"/>
      <c r="AK120" s="419"/>
      <c r="AL120" s="419"/>
      <c r="AM120" s="419"/>
      <c r="AN120" s="419">
        <f t="shared" si="55"/>
        <v>0</v>
      </c>
      <c r="AO120" s="419">
        <f t="shared" si="56"/>
        <v>0</v>
      </c>
      <c r="AP120" s="449">
        <f t="shared" si="57"/>
        <v>0</v>
      </c>
      <c r="AQ120" s="419"/>
      <c r="AR120" s="419"/>
      <c r="AS120" s="419"/>
      <c r="AT120" s="419"/>
      <c r="AU120" s="419"/>
      <c r="AV120" s="449">
        <f t="shared" si="58"/>
        <v>0</v>
      </c>
      <c r="AW120" s="419"/>
      <c r="AX120" s="419"/>
      <c r="AY120" s="419"/>
      <c r="AZ120" s="419"/>
      <c r="BA120" s="419"/>
    </row>
    <row r="121" spans="1:54" ht="30" customHeight="1">
      <c r="A121" s="469">
        <f t="shared" si="59"/>
        <v>113</v>
      </c>
      <c r="B121" s="469">
        <v>1965</v>
      </c>
      <c r="C121" s="469" t="s">
        <v>266</v>
      </c>
      <c r="D121" s="419">
        <f>100000000-65000000</f>
        <v>35000000</v>
      </c>
      <c r="E121" s="419">
        <v>35000000</v>
      </c>
      <c r="F121" s="419">
        <f t="shared" si="46"/>
        <v>0</v>
      </c>
      <c r="G121" s="419">
        <v>2100000</v>
      </c>
      <c r="H121" s="419">
        <v>381891</v>
      </c>
      <c r="I121" s="419">
        <v>0</v>
      </c>
      <c r="J121" s="419">
        <v>445520</v>
      </c>
      <c r="K121" s="419">
        <f t="shared" si="47"/>
        <v>445520</v>
      </c>
      <c r="L121" s="419">
        <f t="shared" si="48"/>
        <v>827411</v>
      </c>
      <c r="M121" s="419">
        <f t="shared" si="49"/>
        <v>1272589</v>
      </c>
      <c r="N121" s="419">
        <f>30000000-20000000-10000000</f>
        <v>0</v>
      </c>
      <c r="O121" s="419">
        <f t="shared" si="50"/>
        <v>32900000</v>
      </c>
      <c r="P121" s="419">
        <f t="shared" si="45"/>
        <v>1272589</v>
      </c>
      <c r="Q121" s="419"/>
      <c r="R121" s="419"/>
      <c r="S121" s="419">
        <f t="shared" si="51"/>
        <v>0</v>
      </c>
      <c r="T121" s="419">
        <f t="shared" si="52"/>
        <v>0</v>
      </c>
      <c r="U121" s="419">
        <f t="shared" si="53"/>
        <v>0</v>
      </c>
      <c r="V121" s="419">
        <f t="shared" si="54"/>
        <v>0</v>
      </c>
      <c r="W121" s="419"/>
      <c r="X121" s="419"/>
      <c r="Y121" s="419"/>
      <c r="Z121" s="419"/>
      <c r="AA121" s="469"/>
      <c r="AB121" s="430" t="s">
        <v>1065</v>
      </c>
      <c r="AC121" s="469">
        <v>810000</v>
      </c>
      <c r="AD121" s="419"/>
      <c r="AE121" s="419"/>
      <c r="AF121" s="419"/>
      <c r="AG121" s="419"/>
      <c r="AH121" s="419"/>
      <c r="AI121" s="419"/>
      <c r="AJ121" s="419"/>
      <c r="AK121" s="419"/>
      <c r="AL121" s="419"/>
      <c r="AM121" s="419"/>
      <c r="AN121" s="419">
        <f t="shared" si="55"/>
        <v>0</v>
      </c>
      <c r="AO121" s="419">
        <f t="shared" si="56"/>
        <v>0</v>
      </c>
      <c r="AP121" s="449">
        <f t="shared" si="57"/>
        <v>0</v>
      </c>
      <c r="AQ121" s="419"/>
      <c r="AR121" s="419"/>
      <c r="AS121" s="419"/>
      <c r="AT121" s="419"/>
      <c r="AU121" s="419"/>
      <c r="AV121" s="449">
        <f t="shared" si="58"/>
        <v>0</v>
      </c>
      <c r="AW121" s="419"/>
      <c r="AX121" s="419"/>
      <c r="AY121" s="419"/>
      <c r="AZ121" s="419"/>
      <c r="BA121" s="419"/>
    </row>
    <row r="122" spans="1:54" s="452" customFormat="1" ht="30" customHeight="1">
      <c r="A122" s="469">
        <f t="shared" si="59"/>
        <v>114</v>
      </c>
      <c r="B122" s="455">
        <v>2186</v>
      </c>
      <c r="C122" s="448" t="s">
        <v>1066</v>
      </c>
      <c r="D122" s="449">
        <f>8100000-1088256</f>
        <v>7011744</v>
      </c>
      <c r="E122" s="449">
        <v>8100000</v>
      </c>
      <c r="F122" s="419">
        <f t="shared" si="46"/>
        <v>-1088256</v>
      </c>
      <c r="G122" s="449">
        <v>7011744</v>
      </c>
      <c r="H122" s="449">
        <v>7010038</v>
      </c>
      <c r="I122" s="449">
        <v>0</v>
      </c>
      <c r="J122" s="449">
        <v>1212</v>
      </c>
      <c r="K122" s="419">
        <f t="shared" si="47"/>
        <v>1212</v>
      </c>
      <c r="L122" s="419">
        <f t="shared" si="48"/>
        <v>7011250</v>
      </c>
      <c r="M122" s="419">
        <f t="shared" si="49"/>
        <v>494</v>
      </c>
      <c r="N122" s="419"/>
      <c r="O122" s="419">
        <f t="shared" si="50"/>
        <v>0</v>
      </c>
      <c r="P122" s="419">
        <f t="shared" si="45"/>
        <v>494</v>
      </c>
      <c r="Q122" s="419"/>
      <c r="R122" s="419"/>
      <c r="S122" s="419">
        <f t="shared" si="51"/>
        <v>0</v>
      </c>
      <c r="T122" s="419">
        <f t="shared" si="52"/>
        <v>0</v>
      </c>
      <c r="U122" s="419">
        <f t="shared" si="53"/>
        <v>0</v>
      </c>
      <c r="V122" s="419">
        <f t="shared" si="54"/>
        <v>0</v>
      </c>
      <c r="W122" s="419"/>
      <c r="X122" s="419"/>
      <c r="Y122" s="419"/>
      <c r="Z122" s="419"/>
      <c r="AA122" s="419"/>
      <c r="AB122" s="448" t="s">
        <v>1067</v>
      </c>
      <c r="AC122" s="448">
        <v>810000</v>
      </c>
      <c r="AD122" s="419"/>
      <c r="AE122" s="419"/>
      <c r="AF122" s="419"/>
      <c r="AG122" s="419"/>
      <c r="AH122" s="419"/>
      <c r="AI122" s="419"/>
      <c r="AJ122" s="419"/>
      <c r="AK122" s="419"/>
      <c r="AL122" s="419"/>
      <c r="AM122" s="419"/>
      <c r="AN122" s="419">
        <f t="shared" si="55"/>
        <v>0</v>
      </c>
      <c r="AO122" s="419">
        <f t="shared" si="56"/>
        <v>0</v>
      </c>
      <c r="AP122" s="449">
        <f t="shared" si="57"/>
        <v>0</v>
      </c>
      <c r="AQ122" s="419"/>
      <c r="AR122" s="419"/>
      <c r="AS122" s="419"/>
      <c r="AT122" s="419"/>
      <c r="AU122" s="419"/>
      <c r="AV122" s="449">
        <f t="shared" si="58"/>
        <v>0</v>
      </c>
      <c r="AW122" s="419"/>
      <c r="AX122" s="419"/>
      <c r="AY122" s="419"/>
      <c r="AZ122" s="419"/>
      <c r="BA122" s="419"/>
    </row>
    <row r="123" spans="1:54" s="514" customFormat="1" ht="30" customHeight="1">
      <c r="A123" s="513">
        <f>A122</f>
        <v>114</v>
      </c>
      <c r="B123" s="637"/>
      <c r="C123" s="513" t="s">
        <v>267</v>
      </c>
      <c r="D123" s="638">
        <f t="shared" ref="D123:AU123" si="60">SUM(D110:D122)</f>
        <v>1138078480</v>
      </c>
      <c r="E123" s="638">
        <f t="shared" si="60"/>
        <v>1020980496</v>
      </c>
      <c r="F123" s="638">
        <f t="shared" si="60"/>
        <v>117097984</v>
      </c>
      <c r="G123" s="638">
        <f t="shared" si="60"/>
        <v>639772519</v>
      </c>
      <c r="H123" s="638">
        <f t="shared" si="60"/>
        <v>594583813</v>
      </c>
      <c r="I123" s="638">
        <f t="shared" si="60"/>
        <v>0</v>
      </c>
      <c r="J123" s="638">
        <f t="shared" si="60"/>
        <v>8974886</v>
      </c>
      <c r="K123" s="638">
        <f t="shared" si="60"/>
        <v>8974886</v>
      </c>
      <c r="L123" s="638">
        <f t="shared" si="60"/>
        <v>603558699</v>
      </c>
      <c r="M123" s="638">
        <f t="shared" si="60"/>
        <v>75313820</v>
      </c>
      <c r="N123" s="638">
        <f t="shared" si="60"/>
        <v>150043868</v>
      </c>
      <c r="O123" s="638">
        <f t="shared" si="60"/>
        <v>309162093</v>
      </c>
      <c r="P123" s="638">
        <f t="shared" si="60"/>
        <v>36213820</v>
      </c>
      <c r="Q123" s="638">
        <f t="shared" si="60"/>
        <v>19100000</v>
      </c>
      <c r="R123" s="638">
        <f t="shared" si="60"/>
        <v>20000000</v>
      </c>
      <c r="S123" s="638">
        <f t="shared" si="60"/>
        <v>39100000</v>
      </c>
      <c r="T123" s="638">
        <f t="shared" si="60"/>
        <v>0</v>
      </c>
      <c r="U123" s="638">
        <f t="shared" si="60"/>
        <v>150043868</v>
      </c>
      <c r="V123" s="638">
        <f t="shared" si="60"/>
        <v>101230610</v>
      </c>
      <c r="W123" s="638">
        <f t="shared" si="60"/>
        <v>20530000</v>
      </c>
      <c r="X123" s="638">
        <f t="shared" si="60"/>
        <v>0</v>
      </c>
      <c r="Y123" s="638">
        <f t="shared" si="60"/>
        <v>866000</v>
      </c>
      <c r="Z123" s="638">
        <f t="shared" si="60"/>
        <v>0</v>
      </c>
      <c r="AA123" s="638">
        <f t="shared" si="60"/>
        <v>27417258</v>
      </c>
      <c r="AB123" s="638">
        <f t="shared" si="60"/>
        <v>0</v>
      </c>
      <c r="AC123" s="638">
        <f t="shared" si="60"/>
        <v>10198000</v>
      </c>
      <c r="AD123" s="638">
        <f t="shared" si="60"/>
        <v>0</v>
      </c>
      <c r="AE123" s="638">
        <f>SUM(AE110:AE122)</f>
        <v>20000000</v>
      </c>
      <c r="AF123" s="638">
        <f>SUM(AF110:AF122)</f>
        <v>0</v>
      </c>
      <c r="AG123" s="638">
        <f t="shared" si="60"/>
        <v>69940048</v>
      </c>
      <c r="AH123" s="638">
        <f t="shared" ref="AH123:AM123" si="61">SUM(AH110:AH122)</f>
        <v>15122729</v>
      </c>
      <c r="AI123" s="638">
        <f t="shared" si="61"/>
        <v>1679698</v>
      </c>
      <c r="AJ123" s="638">
        <f>SUM(AJ110:AJ122)</f>
        <v>30013137</v>
      </c>
      <c r="AK123" s="638">
        <f>SUM(AK111:AK122)</f>
        <v>0</v>
      </c>
      <c r="AL123" s="638">
        <f>SUM(AL110:AL122)</f>
        <v>0</v>
      </c>
      <c r="AM123" s="638">
        <f t="shared" si="61"/>
        <v>13288256</v>
      </c>
      <c r="AN123" s="638">
        <f t="shared" si="60"/>
        <v>150043868</v>
      </c>
      <c r="AO123" s="638">
        <f t="shared" si="60"/>
        <v>0</v>
      </c>
      <c r="AP123" s="638">
        <f t="shared" si="60"/>
        <v>101230610</v>
      </c>
      <c r="AQ123" s="638">
        <f t="shared" si="60"/>
        <v>20530000</v>
      </c>
      <c r="AR123" s="638">
        <f t="shared" si="60"/>
        <v>0</v>
      </c>
      <c r="AS123" s="638">
        <f t="shared" si="60"/>
        <v>866000</v>
      </c>
      <c r="AT123" s="638">
        <f t="shared" si="60"/>
        <v>0</v>
      </c>
      <c r="AU123" s="638">
        <f t="shared" si="60"/>
        <v>27417258</v>
      </c>
      <c r="AV123" s="449">
        <f t="shared" si="58"/>
        <v>13288256</v>
      </c>
      <c r="AW123" s="638">
        <f>SUM(AW110:AW122)</f>
        <v>0</v>
      </c>
      <c r="AX123" s="638">
        <f>SUM(AX110:AX122)</f>
        <v>0</v>
      </c>
      <c r="AY123" s="638">
        <f>SUM(AY110:AY122)</f>
        <v>0</v>
      </c>
      <c r="AZ123" s="638">
        <f>SUM(AZ110:AZ122)</f>
        <v>0</v>
      </c>
      <c r="BA123" s="638">
        <f>SUM(BA110:BA122)</f>
        <v>0</v>
      </c>
    </row>
    <row r="124" spans="1:54" s="551" customFormat="1" ht="30" customHeight="1">
      <c r="A124" s="549">
        <f>A123</f>
        <v>114</v>
      </c>
      <c r="B124" s="549"/>
      <c r="C124" s="454" t="s">
        <v>435</v>
      </c>
      <c r="D124" s="550">
        <f>D123+D107</f>
        <v>3576267028</v>
      </c>
      <c r="E124" s="550">
        <f t="shared" ref="E124:BA124" si="62">E123+E107</f>
        <v>3311894339</v>
      </c>
      <c r="F124" s="550">
        <f t="shared" si="62"/>
        <v>264372689</v>
      </c>
      <c r="G124" s="550">
        <f t="shared" si="62"/>
        <v>1595139611</v>
      </c>
      <c r="H124" s="550">
        <f t="shared" si="62"/>
        <v>1320333529</v>
      </c>
      <c r="I124" s="550">
        <f t="shared" si="62"/>
        <v>7701092</v>
      </c>
      <c r="J124" s="550">
        <f t="shared" si="62"/>
        <v>38242600.210000001</v>
      </c>
      <c r="K124" s="550">
        <f t="shared" si="62"/>
        <v>45943692.210000001</v>
      </c>
      <c r="L124" s="550">
        <f t="shared" si="62"/>
        <v>1366277221.21</v>
      </c>
      <c r="M124" s="550">
        <f t="shared" si="62"/>
        <v>325067412.78999996</v>
      </c>
      <c r="N124" s="550">
        <f t="shared" si="62"/>
        <v>363016816</v>
      </c>
      <c r="O124" s="550">
        <f t="shared" si="62"/>
        <v>1521905578</v>
      </c>
      <c r="P124" s="550">
        <f t="shared" si="62"/>
        <v>228862389.78999999</v>
      </c>
      <c r="Q124" s="550">
        <f t="shared" si="62"/>
        <v>84055023</v>
      </c>
      <c r="R124" s="550">
        <f t="shared" si="62"/>
        <v>26150000</v>
      </c>
      <c r="S124" s="550">
        <f t="shared" si="62"/>
        <v>110205023</v>
      </c>
      <c r="T124" s="550">
        <f t="shared" si="62"/>
        <v>14000000</v>
      </c>
      <c r="U124" s="550">
        <f t="shared" si="62"/>
        <v>349016816</v>
      </c>
      <c r="V124" s="550">
        <f t="shared" si="62"/>
        <v>244086638</v>
      </c>
      <c r="W124" s="550">
        <f t="shared" si="62"/>
        <v>25030000</v>
      </c>
      <c r="X124" s="550">
        <f t="shared" si="62"/>
        <v>0</v>
      </c>
      <c r="Y124" s="550">
        <f t="shared" si="62"/>
        <v>866000</v>
      </c>
      <c r="Z124" s="550">
        <f t="shared" si="62"/>
        <v>0</v>
      </c>
      <c r="AA124" s="550">
        <f t="shared" si="62"/>
        <v>79034178</v>
      </c>
      <c r="AB124" s="550">
        <f t="shared" si="62"/>
        <v>0</v>
      </c>
      <c r="AC124" s="550">
        <f t="shared" si="62"/>
        <v>89442000</v>
      </c>
      <c r="AD124" s="550">
        <f t="shared" si="62"/>
        <v>0</v>
      </c>
      <c r="AE124" s="550">
        <f t="shared" si="62"/>
        <v>20000000</v>
      </c>
      <c r="AF124" s="550">
        <f t="shared" si="62"/>
        <v>0</v>
      </c>
      <c r="AG124" s="550">
        <f t="shared" si="62"/>
        <v>74840048</v>
      </c>
      <c r="AH124" s="550">
        <f t="shared" si="62"/>
        <v>35679793</v>
      </c>
      <c r="AI124" s="550">
        <f t="shared" si="62"/>
        <v>2486334</v>
      </c>
      <c r="AJ124" s="550">
        <f t="shared" si="62"/>
        <v>56713137</v>
      </c>
      <c r="AK124" s="550">
        <f t="shared" si="62"/>
        <v>25702702</v>
      </c>
      <c r="AL124" s="550">
        <f t="shared" si="62"/>
        <v>0</v>
      </c>
      <c r="AM124" s="550">
        <f t="shared" si="62"/>
        <v>97330155</v>
      </c>
      <c r="AN124" s="550">
        <f t="shared" si="62"/>
        <v>312752169</v>
      </c>
      <c r="AO124" s="550">
        <f t="shared" si="62"/>
        <v>36264647</v>
      </c>
      <c r="AP124" s="550">
        <f t="shared" si="62"/>
        <v>244290827</v>
      </c>
      <c r="AQ124" s="550">
        <f t="shared" si="62"/>
        <v>25030000</v>
      </c>
      <c r="AR124" s="550">
        <f t="shared" si="62"/>
        <v>0</v>
      </c>
      <c r="AS124" s="550">
        <f t="shared" si="62"/>
        <v>866000</v>
      </c>
      <c r="AT124" s="550">
        <f t="shared" si="62"/>
        <v>0</v>
      </c>
      <c r="AU124" s="550">
        <f t="shared" si="62"/>
        <v>42565342</v>
      </c>
      <c r="AV124" s="550">
        <f t="shared" si="62"/>
        <v>85034773</v>
      </c>
      <c r="AW124" s="550">
        <f t="shared" si="62"/>
        <v>0</v>
      </c>
      <c r="AX124" s="550">
        <f t="shared" si="62"/>
        <v>0</v>
      </c>
      <c r="AY124" s="550">
        <f t="shared" si="62"/>
        <v>0</v>
      </c>
      <c r="AZ124" s="550">
        <f t="shared" si="62"/>
        <v>0</v>
      </c>
      <c r="BA124" s="550">
        <f t="shared" si="62"/>
        <v>12295382</v>
      </c>
      <c r="BB124" s="641"/>
    </row>
    <row r="125" spans="1:54" hidden="1"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</row>
    <row r="126" spans="1:54" hidden="1"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74" t="s">
        <v>1068</v>
      </c>
      <c r="U126" s="474">
        <f>U63</f>
        <v>1259000</v>
      </c>
      <c r="V126" s="493"/>
      <c r="W126" s="493"/>
      <c r="X126" s="493"/>
      <c r="Y126" s="493"/>
      <c r="Z126" s="493"/>
      <c r="AA126" s="493"/>
      <c r="AI126" s="642"/>
      <c r="AJ126" s="642"/>
      <c r="AK126" s="642"/>
      <c r="AL126" s="642"/>
      <c r="AM126" s="474" t="s">
        <v>1068</v>
      </c>
      <c r="AN126" s="474">
        <f>AN63</f>
        <v>0</v>
      </c>
    </row>
    <row r="127" spans="1:54" hidden="1">
      <c r="T127" s="474" t="s">
        <v>1069</v>
      </c>
      <c r="U127" s="474">
        <f>U75</f>
        <v>0</v>
      </c>
      <c r="AG127" s="491"/>
      <c r="AI127" s="642"/>
      <c r="AJ127" s="642"/>
      <c r="AK127" s="642"/>
      <c r="AL127" s="642"/>
      <c r="AM127" s="474" t="s">
        <v>1069</v>
      </c>
      <c r="AN127" s="474">
        <f>AN75</f>
        <v>0</v>
      </c>
    </row>
    <row r="128" spans="1:54" hidden="1">
      <c r="T128" s="474" t="s">
        <v>84</v>
      </c>
      <c r="U128" s="474">
        <f>SUM(U126:U127)</f>
        <v>1259000</v>
      </c>
      <c r="AI128" s="642"/>
      <c r="AJ128" s="642"/>
      <c r="AK128" s="642"/>
      <c r="AL128" s="642"/>
      <c r="AM128" s="474" t="s">
        <v>84</v>
      </c>
      <c r="AN128" s="474"/>
    </row>
    <row r="129" spans="21:39" hidden="1">
      <c r="U129" s="317"/>
      <c r="AI129" s="642"/>
      <c r="AJ129" s="642"/>
      <c r="AK129" s="642"/>
      <c r="AL129" s="642"/>
      <c r="AM129" s="642"/>
    </row>
    <row r="130" spans="21:39" hidden="1">
      <c r="U130" s="317"/>
    </row>
    <row r="131" spans="21:39" hidden="1">
      <c r="U131" s="317"/>
    </row>
    <row r="132" spans="21:39" hidden="1"/>
    <row r="133" spans="21:39">
      <c r="U133" s="643"/>
    </row>
    <row r="135" spans="21:39">
      <c r="U135" s="643"/>
    </row>
    <row r="136" spans="21:39">
      <c r="U136" s="643"/>
    </row>
  </sheetData>
  <sheetProtection formatCells="0" formatColumns="0" formatRows="0" insertColumns="0" insertRows="0" insertHyperlinks="0" deleteColumns="0" deleteRows="0" sort="0" autoFilter="0" pivotTables="0"/>
  <mergeCells count="5">
    <mergeCell ref="V4:AA4"/>
    <mergeCell ref="AD4:AO4"/>
    <mergeCell ref="AP4:AU4"/>
    <mergeCell ref="AV4:BA4"/>
    <mergeCell ref="T4:U4"/>
  </mergeCells>
  <conditionalFormatting sqref="AB5">
    <cfRule type="cellIs" dxfId="83" priority="3" operator="equal">
      <formula>0</formula>
    </cfRule>
  </conditionalFormatting>
  <conditionalFormatting sqref="O106">
    <cfRule type="cellIs" dxfId="82" priority="2" operator="lessThan">
      <formula>0</formula>
    </cfRule>
  </conditionalFormatting>
  <conditionalFormatting sqref="O94">
    <cfRule type="cellIs" dxfId="81" priority="1" operator="lessThan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24"/>
  <sheetViews>
    <sheetView showZeros="0" rightToLeft="1" workbookViewId="0">
      <selection activeCell="T10" sqref="T10"/>
    </sheetView>
  </sheetViews>
  <sheetFormatPr defaultColWidth="9.109375" defaultRowHeight="13.8"/>
  <cols>
    <col min="1" max="3" width="4.109375" style="71" customWidth="1"/>
    <col min="4" max="4" width="33" style="71" customWidth="1"/>
    <col min="5" max="8" width="12.109375" style="71" customWidth="1"/>
    <col min="9" max="9" width="7.88671875" style="71" customWidth="1"/>
    <col min="10" max="10" width="9.109375" style="71" hidden="1" customWidth="1"/>
    <col min="11" max="16384" width="9.109375" style="71"/>
  </cols>
  <sheetData>
    <row r="5" spans="1:16" ht="15.6">
      <c r="A5" s="73">
        <v>3.4</v>
      </c>
      <c r="C5" s="73" t="s">
        <v>439</v>
      </c>
    </row>
    <row r="6" spans="1:16" ht="16.2" thickBot="1">
      <c r="A6" s="73"/>
      <c r="H6" s="73"/>
      <c r="I6" s="73"/>
      <c r="J6" s="73"/>
      <c r="K6" s="73"/>
      <c r="N6" s="73"/>
      <c r="O6" s="73"/>
      <c r="P6" s="73"/>
    </row>
    <row r="7" spans="1:16" ht="20.100000000000001" customHeight="1">
      <c r="A7" s="73"/>
      <c r="C7" s="91" t="s">
        <v>440</v>
      </c>
      <c r="D7" s="92"/>
      <c r="E7" s="93"/>
      <c r="F7" s="94" t="s">
        <v>1248</v>
      </c>
      <c r="G7" s="95" t="s">
        <v>771</v>
      </c>
      <c r="N7" s="73"/>
      <c r="O7" s="73"/>
      <c r="P7" s="73"/>
    </row>
    <row r="8" spans="1:16" ht="20.100000000000001" customHeight="1">
      <c r="A8" s="73"/>
      <c r="C8" s="96" t="s">
        <v>317</v>
      </c>
      <c r="D8" s="97"/>
      <c r="E8" s="98"/>
      <c r="F8" s="99">
        <f>'ריכוז אגפים'!$S7/1000</f>
        <v>521.02700000000004</v>
      </c>
      <c r="G8" s="100">
        <v>14777</v>
      </c>
      <c r="J8" s="209">
        <f t="shared" ref="J8:J17" si="0">F8/$F$18</f>
        <v>1.1510238572237071E-3</v>
      </c>
      <c r="N8" s="73"/>
      <c r="O8" s="73"/>
      <c r="P8" s="73"/>
    </row>
    <row r="9" spans="1:16" ht="20.100000000000001" customHeight="1">
      <c r="A9" s="73"/>
      <c r="C9" s="96" t="s">
        <v>171</v>
      </c>
      <c r="D9" s="102"/>
      <c r="E9" s="98"/>
      <c r="F9" s="99">
        <f>'ריכוז אגפים'!$S8/1000</f>
        <v>355300.82400000002</v>
      </c>
      <c r="G9" s="100">
        <v>349017</v>
      </c>
      <c r="J9" s="209">
        <f t="shared" si="0"/>
        <v>0.78491081060144952</v>
      </c>
      <c r="N9" s="73"/>
      <c r="O9" s="73"/>
      <c r="P9" s="73"/>
    </row>
    <row r="10" spans="1:16" ht="20.100000000000001" customHeight="1">
      <c r="A10" s="73"/>
      <c r="C10" s="96" t="s">
        <v>1249</v>
      </c>
      <c r="D10" s="97"/>
      <c r="E10" s="98"/>
      <c r="F10" s="99">
        <f>'ריכוז אגפים'!$S9/1000</f>
        <v>67083.543000000005</v>
      </c>
      <c r="G10" s="100">
        <v>75601</v>
      </c>
      <c r="J10" s="209">
        <f t="shared" si="0"/>
        <v>0.14819723050838518</v>
      </c>
      <c r="N10" s="73"/>
      <c r="O10" s="73"/>
      <c r="P10" s="73"/>
    </row>
    <row r="11" spans="1:16" ht="20.100000000000001" customHeight="1">
      <c r="A11" s="73"/>
      <c r="C11" s="96" t="s">
        <v>872</v>
      </c>
      <c r="D11" s="102"/>
      <c r="E11" s="98"/>
      <c r="F11" s="99">
        <f>'ריכוז אגפים'!$S10/1000</f>
        <v>604.83199999999999</v>
      </c>
      <c r="G11" s="100">
        <v>2717</v>
      </c>
      <c r="J11" s="209">
        <f t="shared" si="0"/>
        <v>1.3361612001150211E-3</v>
      </c>
      <c r="N11" s="73"/>
      <c r="O11" s="73"/>
      <c r="P11" s="73"/>
    </row>
    <row r="12" spans="1:16" ht="20.100000000000001" customHeight="1">
      <c r="A12" s="73"/>
      <c r="C12" s="96" t="s">
        <v>1250</v>
      </c>
      <c r="D12" s="102"/>
      <c r="E12" s="98"/>
      <c r="F12" s="99">
        <f>'ריכוז אגפים'!$S11/1000</f>
        <v>4437.0410000000002</v>
      </c>
      <c r="G12" s="100">
        <v>2117</v>
      </c>
      <c r="J12" s="209">
        <f>F12/$F$18</f>
        <v>9.802064089729964E-3</v>
      </c>
      <c r="N12" s="73"/>
      <c r="O12" s="73"/>
      <c r="P12" s="73"/>
    </row>
    <row r="13" spans="1:16" ht="20.100000000000001" customHeight="1">
      <c r="A13" s="73"/>
      <c r="C13" s="96" t="s">
        <v>1251</v>
      </c>
      <c r="D13" s="102"/>
      <c r="E13" s="98"/>
      <c r="F13" s="99">
        <f>'ריכוז אגפים'!$S12/1000</f>
        <v>926</v>
      </c>
      <c r="G13" s="100">
        <v>1000</v>
      </c>
      <c r="J13" s="209">
        <f t="shared" si="0"/>
        <v>2.0456676751668388E-3</v>
      </c>
      <c r="N13" s="73"/>
      <c r="O13" s="73"/>
      <c r="P13" s="73"/>
    </row>
    <row r="14" spans="1:16" ht="20.100000000000001" customHeight="1">
      <c r="A14" s="73"/>
      <c r="C14" s="96" t="s">
        <v>83</v>
      </c>
      <c r="D14" s="97"/>
      <c r="E14" s="98"/>
      <c r="F14" s="99">
        <f>'ריכוז אגפים'!$S13/1000</f>
        <v>6914.1310000000003</v>
      </c>
      <c r="G14" s="100">
        <v>1600</v>
      </c>
      <c r="J14" s="209">
        <f t="shared" si="0"/>
        <v>1.5274313486575564E-2</v>
      </c>
      <c r="N14" s="73"/>
      <c r="O14" s="73"/>
      <c r="P14" s="73"/>
    </row>
    <row r="15" spans="1:16" ht="20.100000000000001" customHeight="1">
      <c r="A15" s="73"/>
      <c r="C15" s="103" t="s">
        <v>230</v>
      </c>
      <c r="D15" s="104"/>
      <c r="E15" s="105"/>
      <c r="F15" s="99">
        <f>'ריכוז אגפים'!$S14/1000</f>
        <v>7802.7929999999997</v>
      </c>
      <c r="G15" s="100">
        <v>14166</v>
      </c>
      <c r="J15" s="209">
        <f t="shared" si="0"/>
        <v>1.7237496129717155E-2</v>
      </c>
      <c r="M15" s="106"/>
      <c r="N15" s="73"/>
      <c r="O15" s="73"/>
      <c r="P15" s="73"/>
    </row>
    <row r="16" spans="1:16" ht="20.100000000000001" customHeight="1">
      <c r="A16" s="73"/>
      <c r="C16" s="96" t="s">
        <v>300</v>
      </c>
      <c r="D16" s="97"/>
      <c r="E16" s="98"/>
      <c r="F16" s="99">
        <f>'ריכוז אגפים'!$S15/1000</f>
        <v>3035</v>
      </c>
      <c r="G16" s="100">
        <v>300</v>
      </c>
      <c r="J16" s="209">
        <f t="shared" si="0"/>
        <v>6.7047531254118319E-3</v>
      </c>
      <c r="N16" s="73"/>
      <c r="O16" s="73"/>
      <c r="P16" s="73"/>
    </row>
    <row r="17" spans="1:16" ht="20.100000000000001" customHeight="1">
      <c r="A17" s="73"/>
      <c r="C17" s="96" t="s">
        <v>1590</v>
      </c>
      <c r="D17" s="97"/>
      <c r="E17" s="98"/>
      <c r="F17" s="99">
        <f>'ריכוז אגפים'!$S16/1000</f>
        <v>6038.7539999999999</v>
      </c>
      <c r="G17" s="100">
        <v>4875</v>
      </c>
      <c r="J17" s="209">
        <f t="shared" si="0"/>
        <v>1.3340479326225107E-2</v>
      </c>
      <c r="N17" s="73"/>
      <c r="O17" s="73"/>
      <c r="P17" s="73"/>
    </row>
    <row r="18" spans="1:16" ht="20.100000000000001" customHeight="1" thickBot="1">
      <c r="A18" s="73"/>
      <c r="C18" s="107" t="s">
        <v>84</v>
      </c>
      <c r="D18" s="108"/>
      <c r="E18" s="109"/>
      <c r="F18" s="148">
        <f>SUM(F8:F17)</f>
        <v>452663.94500000007</v>
      </c>
      <c r="G18" s="149">
        <f>SUM(G8:G17)</f>
        <v>466170</v>
      </c>
      <c r="J18" s="111">
        <f>SUM(J8:J17)</f>
        <v>0.99999999999999978</v>
      </c>
      <c r="N18" s="73"/>
      <c r="O18" s="73"/>
      <c r="P18" s="73"/>
    </row>
    <row r="19" spans="1:16" ht="17.399999999999999">
      <c r="A19" s="73"/>
      <c r="C19" s="74"/>
      <c r="D19" s="73"/>
      <c r="F19" s="84"/>
      <c r="G19" s="84"/>
      <c r="N19" s="73"/>
      <c r="O19" s="73"/>
      <c r="P19" s="73"/>
    </row>
    <row r="20" spans="1:16" s="407" customFormat="1" ht="15.6">
      <c r="A20" s="78"/>
      <c r="B20" s="78"/>
      <c r="C20" s="78" t="s">
        <v>183</v>
      </c>
      <c r="D20" s="73" t="s">
        <v>1285</v>
      </c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</row>
    <row r="21" spans="1:16" s="407" customFormat="1" ht="15.6">
      <c r="D21" s="73" t="s">
        <v>1546</v>
      </c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</row>
    <row r="22" spans="1:16" ht="15.6">
      <c r="D22" s="73" t="s">
        <v>1589</v>
      </c>
    </row>
    <row r="24" spans="1:16" ht="15.6">
      <c r="D24" s="73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3"/>
  <sheetViews>
    <sheetView showZeros="0" rightToLeft="1" zoomScaleNormal="100" workbookViewId="0">
      <pane xSplit="4" ySplit="5" topLeftCell="E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2"/>
  <cols>
    <col min="1" max="1" width="3.6640625" style="477" customWidth="1"/>
    <col min="2" max="2" width="5.6640625" style="477" customWidth="1"/>
    <col min="3" max="3" width="29" style="477" customWidth="1"/>
    <col min="4" max="5" width="10.6640625" style="477" hidden="1" customWidth="1"/>
    <col min="6" max="6" width="9.6640625" style="477" hidden="1" customWidth="1"/>
    <col min="7" max="8" width="11.109375" style="477" hidden="1" customWidth="1"/>
    <col min="9" max="10" width="10.109375" style="477" hidden="1" customWidth="1"/>
    <col min="11" max="11" width="10.44140625" style="477" hidden="1" customWidth="1"/>
    <col min="12" max="12" width="10.6640625" style="477" hidden="1" customWidth="1"/>
    <col min="13" max="14" width="9.6640625" style="477" hidden="1" customWidth="1"/>
    <col min="15" max="15" width="10.6640625" style="477" hidden="1" customWidth="1"/>
    <col min="16" max="16" width="10.109375" style="477" hidden="1" customWidth="1"/>
    <col min="17" max="17" width="9.88671875" style="477" hidden="1" customWidth="1"/>
    <col min="18" max="18" width="8.88671875" style="477" hidden="1" customWidth="1"/>
    <col min="19" max="19" width="10.6640625" style="477" hidden="1" customWidth="1"/>
    <col min="20" max="21" width="11.6640625" style="477" customWidth="1"/>
    <col min="22" max="22" width="8.6640625" style="477" customWidth="1"/>
    <col min="23" max="23" width="9.6640625" style="477" customWidth="1"/>
    <col min="24" max="24" width="6.33203125" style="477" hidden="1" customWidth="1"/>
    <col min="25" max="25" width="10" style="477" customWidth="1"/>
    <col min="26" max="26" width="9.5546875" style="477" hidden="1" customWidth="1"/>
    <col min="27" max="27" width="9.6640625" style="477" customWidth="1"/>
    <col min="28" max="28" width="32.109375" style="157" hidden="1" customWidth="1"/>
    <col min="29" max="29" width="6.88671875" style="157" hidden="1" customWidth="1"/>
    <col min="30" max="39" width="10.6640625" style="157" hidden="1" customWidth="1"/>
    <col min="40" max="43" width="10.6640625" style="157" customWidth="1"/>
    <col min="44" max="44" width="10.6640625" style="157" hidden="1" customWidth="1"/>
    <col min="45" max="45" width="10.6640625" style="157" customWidth="1"/>
    <col min="46" max="46" width="10.6640625" style="157" hidden="1" customWidth="1"/>
    <col min="47" max="47" width="11.33203125" style="157" customWidth="1"/>
    <col min="48" max="53" width="10.6640625" style="157" hidden="1" customWidth="1"/>
    <col min="54" max="54" width="11.33203125" style="157" customWidth="1"/>
    <col min="55" max="55" width="22.44140625" style="157" customWidth="1"/>
    <col min="56" max="56" width="12.44140625" style="157" customWidth="1"/>
    <col min="57" max="57" width="14.88671875" style="157" customWidth="1"/>
    <col min="58" max="16384" width="8.88671875" style="157"/>
  </cols>
  <sheetData>
    <row r="1" spans="1:53" ht="13.8">
      <c r="A1" s="475"/>
      <c r="B1" s="476"/>
      <c r="C1" s="476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4"/>
    </row>
    <row r="2" spans="1:53" ht="18">
      <c r="A2" s="49" t="s">
        <v>1100</v>
      </c>
      <c r="B2" s="433"/>
      <c r="C2" s="476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4"/>
    </row>
    <row r="3" spans="1:53" ht="18">
      <c r="A3" s="49"/>
      <c r="B3" s="433"/>
      <c r="C3" s="476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4"/>
    </row>
    <row r="4" spans="1:53" s="816" customFormat="1" ht="16.2" customHeight="1">
      <c r="A4" s="560"/>
      <c r="B4" s="460"/>
      <c r="C4" s="460"/>
      <c r="D4" s="462"/>
      <c r="E4" s="462"/>
      <c r="F4" s="462"/>
      <c r="G4" s="462"/>
      <c r="H4" s="462"/>
      <c r="I4" s="462"/>
      <c r="J4" s="462"/>
      <c r="K4" s="462"/>
      <c r="L4" s="462"/>
      <c r="M4" s="843"/>
      <c r="N4" s="462"/>
      <c r="O4" s="462"/>
      <c r="P4" s="462"/>
      <c r="Q4" s="462"/>
      <c r="R4" s="462"/>
      <c r="S4" s="462"/>
      <c r="T4" s="914" t="s">
        <v>1581</v>
      </c>
      <c r="U4" s="915"/>
      <c r="V4" s="920" t="s">
        <v>79</v>
      </c>
      <c r="W4" s="920"/>
      <c r="X4" s="920"/>
      <c r="Y4" s="920"/>
      <c r="Z4" s="920"/>
      <c r="AA4" s="920"/>
      <c r="AB4" s="845"/>
      <c r="AC4" s="844"/>
      <c r="AD4" s="920" t="s">
        <v>198</v>
      </c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1" t="s">
        <v>1096</v>
      </c>
      <c r="AQ4" s="922"/>
      <c r="AR4" s="922"/>
      <c r="AS4" s="922"/>
      <c r="AT4" s="922"/>
      <c r="AU4" s="923"/>
      <c r="AV4" s="924" t="s">
        <v>1097</v>
      </c>
      <c r="AW4" s="924"/>
      <c r="AX4" s="924"/>
      <c r="AY4" s="924"/>
      <c r="AZ4" s="924"/>
      <c r="BA4" s="924"/>
    </row>
    <row r="5" spans="1:53" s="842" customFormat="1" ht="82.8">
      <c r="A5" s="480" t="s">
        <v>0</v>
      </c>
      <c r="B5" s="480" t="s">
        <v>1</v>
      </c>
      <c r="C5" s="480" t="s">
        <v>2</v>
      </c>
      <c r="D5" s="480" t="s">
        <v>3</v>
      </c>
      <c r="E5" s="480" t="s">
        <v>4</v>
      </c>
      <c r="F5" s="480" t="s">
        <v>5</v>
      </c>
      <c r="G5" s="480" t="s">
        <v>6</v>
      </c>
      <c r="H5" s="480" t="s">
        <v>7</v>
      </c>
      <c r="I5" s="480" t="s">
        <v>9</v>
      </c>
      <c r="J5" s="480" t="s">
        <v>125</v>
      </c>
      <c r="K5" s="480" t="s">
        <v>10</v>
      </c>
      <c r="L5" s="480" t="s">
        <v>11</v>
      </c>
      <c r="M5" s="480" t="s">
        <v>707</v>
      </c>
      <c r="N5" s="480" t="s">
        <v>708</v>
      </c>
      <c r="O5" s="421" t="s">
        <v>709</v>
      </c>
      <c r="P5" s="48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480" t="s">
        <v>13</v>
      </c>
      <c r="W5" s="480" t="s">
        <v>14</v>
      </c>
      <c r="X5" s="480" t="s">
        <v>15</v>
      </c>
      <c r="Y5" s="480" t="s">
        <v>214</v>
      </c>
      <c r="Z5" s="480" t="s">
        <v>502</v>
      </c>
      <c r="AA5" s="480" t="s">
        <v>75</v>
      </c>
      <c r="AB5" s="658" t="s">
        <v>242</v>
      </c>
      <c r="AC5" s="480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842" customFormat="1" ht="30" customHeight="1">
      <c r="A6" s="448">
        <v>1</v>
      </c>
      <c r="B6" s="448">
        <v>1210</v>
      </c>
      <c r="C6" s="448" t="s">
        <v>57</v>
      </c>
      <c r="D6" s="449">
        <f>135000000-21450000</f>
        <v>113550000</v>
      </c>
      <c r="E6" s="449">
        <v>113550000</v>
      </c>
      <c r="F6" s="449">
        <f t="shared" ref="F6:F69" si="0">D6-E6</f>
        <v>0</v>
      </c>
      <c r="G6" s="449">
        <v>102200000</v>
      </c>
      <c r="H6" s="449">
        <v>100108466</v>
      </c>
      <c r="I6" s="449">
        <v>0</v>
      </c>
      <c r="J6" s="449">
        <v>1001101</v>
      </c>
      <c r="K6" s="449">
        <f t="shared" ref="K6:K69" si="1">I6+J6</f>
        <v>1001101</v>
      </c>
      <c r="L6" s="449">
        <f t="shared" ref="L6:L69" si="2">H6+K6</f>
        <v>101109567</v>
      </c>
      <c r="M6" s="449">
        <f t="shared" ref="M6:M69" si="3">P6+S6</f>
        <v>3090433</v>
      </c>
      <c r="N6" s="449">
        <f>20000000-13000000</f>
        <v>7000000</v>
      </c>
      <c r="O6" s="449">
        <f t="shared" ref="O6:O69" si="4">D6-L6-M6-N6</f>
        <v>2350000</v>
      </c>
      <c r="P6" s="449">
        <f t="shared" ref="P6:P69" si="5">G6-L6</f>
        <v>1090433</v>
      </c>
      <c r="Q6" s="482">
        <v>2000000</v>
      </c>
      <c r="R6" s="449"/>
      <c r="S6" s="449">
        <f t="shared" ref="S6:S69" si="6">SUM(Q6:R6)</f>
        <v>2000000</v>
      </c>
      <c r="T6" s="449">
        <f t="shared" ref="T6:T69" si="7">P6-M6+S6</f>
        <v>0</v>
      </c>
      <c r="U6" s="449">
        <f t="shared" ref="U6:U69" si="8">N6-T6</f>
        <v>7000000</v>
      </c>
      <c r="V6" s="449"/>
      <c r="W6" s="449"/>
      <c r="X6" s="449"/>
      <c r="Y6" s="449"/>
      <c r="Z6" s="449"/>
      <c r="AA6" s="449">
        <f>U6</f>
        <v>7000000</v>
      </c>
      <c r="AB6" s="448" t="s">
        <v>414</v>
      </c>
      <c r="AC6" s="448">
        <v>764000</v>
      </c>
      <c r="AD6" s="449">
        <v>1500000</v>
      </c>
      <c r="AE6" s="449">
        <v>1500000</v>
      </c>
      <c r="AF6" s="449"/>
      <c r="AG6" s="449">
        <v>2000000</v>
      </c>
      <c r="AH6" s="449"/>
      <c r="AI6" s="449">
        <v>2000000</v>
      </c>
      <c r="AJ6" s="449"/>
      <c r="AK6" s="449"/>
      <c r="AL6" s="449"/>
      <c r="AM6" s="449"/>
      <c r="AN6" s="449">
        <f>SUM(AD6:AM6)</f>
        <v>7000000</v>
      </c>
      <c r="AO6" s="449">
        <f t="shared" ref="AO6:AO69" si="9">U6-AN6</f>
        <v>0</v>
      </c>
      <c r="AP6" s="449"/>
      <c r="AQ6" s="449">
        <f>AN6-AP6-AU6</f>
        <v>0</v>
      </c>
      <c r="AR6" s="449"/>
      <c r="AS6" s="449"/>
      <c r="AT6" s="449"/>
      <c r="AU6" s="449">
        <v>7000000</v>
      </c>
      <c r="AV6" s="449"/>
      <c r="AW6" s="449"/>
      <c r="AX6" s="449"/>
      <c r="AY6" s="449"/>
      <c r="AZ6" s="449"/>
      <c r="BA6" s="449">
        <f>AM6</f>
        <v>0</v>
      </c>
    </row>
    <row r="7" spans="1:53" s="842" customFormat="1" ht="30" customHeight="1">
      <c r="A7" s="448">
        <f t="shared" ref="A7:A70" si="10">A6+1</f>
        <v>2</v>
      </c>
      <c r="B7" s="448">
        <v>1247</v>
      </c>
      <c r="C7" s="448" t="s">
        <v>43</v>
      </c>
      <c r="D7" s="449">
        <f>10050000-300000</f>
        <v>9750000</v>
      </c>
      <c r="E7" s="449">
        <v>9500000</v>
      </c>
      <c r="F7" s="449">
        <f t="shared" si="0"/>
        <v>250000</v>
      </c>
      <c r="G7" s="449">
        <v>9450000</v>
      </c>
      <c r="H7" s="449">
        <v>9137992</v>
      </c>
      <c r="I7" s="449">
        <v>5068</v>
      </c>
      <c r="J7" s="449">
        <v>196072</v>
      </c>
      <c r="K7" s="449">
        <f t="shared" si="1"/>
        <v>201140</v>
      </c>
      <c r="L7" s="449">
        <f t="shared" si="2"/>
        <v>9339132</v>
      </c>
      <c r="M7" s="449">
        <f t="shared" si="3"/>
        <v>110868</v>
      </c>
      <c r="N7" s="449">
        <f>600000-300000</f>
        <v>300000</v>
      </c>
      <c r="O7" s="449">
        <f t="shared" si="4"/>
        <v>0</v>
      </c>
      <c r="P7" s="449">
        <f t="shared" si="5"/>
        <v>110868</v>
      </c>
      <c r="Q7" s="449"/>
      <c r="R7" s="449"/>
      <c r="S7" s="449">
        <f t="shared" si="6"/>
        <v>0</v>
      </c>
      <c r="T7" s="449">
        <f t="shared" si="7"/>
        <v>0</v>
      </c>
      <c r="U7" s="449">
        <f t="shared" si="8"/>
        <v>300000</v>
      </c>
      <c r="V7" s="449"/>
      <c r="W7" s="449">
        <f t="shared" ref="W7:W64" si="11">U7-V7-AA7</f>
        <v>300000</v>
      </c>
      <c r="X7" s="449"/>
      <c r="Y7" s="449"/>
      <c r="Z7" s="449"/>
      <c r="AA7" s="448"/>
      <c r="AB7" s="448" t="s">
        <v>599</v>
      </c>
      <c r="AC7" s="448">
        <v>732000</v>
      </c>
      <c r="AD7" s="449"/>
      <c r="AE7" s="449"/>
      <c r="AF7" s="449"/>
      <c r="AG7" s="449"/>
      <c r="AH7" s="449"/>
      <c r="AI7" s="449"/>
      <c r="AJ7" s="449">
        <v>300000</v>
      </c>
      <c r="AK7" s="449"/>
      <c r="AL7" s="449"/>
      <c r="AM7" s="449"/>
      <c r="AN7" s="449">
        <f t="shared" ref="AN7:AN71" si="12">SUM(AD7:AM7)</f>
        <v>300000</v>
      </c>
      <c r="AO7" s="449">
        <f t="shared" si="9"/>
        <v>0</v>
      </c>
      <c r="AP7" s="449"/>
      <c r="AQ7" s="449">
        <f t="shared" ref="AQ7:AQ70" si="13">AN7-AP7-AU7</f>
        <v>300000</v>
      </c>
      <c r="AR7" s="449"/>
      <c r="AS7" s="449"/>
      <c r="AT7" s="449"/>
      <c r="AU7" s="449"/>
      <c r="AV7" s="449"/>
      <c r="AW7" s="449">
        <f>AM7-AV7-BA7</f>
        <v>0</v>
      </c>
      <c r="AX7" s="449"/>
      <c r="AY7" s="449"/>
      <c r="AZ7" s="449"/>
      <c r="BA7" s="449"/>
    </row>
    <row r="8" spans="1:53" s="842" customFormat="1" ht="30" customHeight="1">
      <c r="A8" s="448">
        <f t="shared" si="10"/>
        <v>3</v>
      </c>
      <c r="B8" s="448">
        <v>1253</v>
      </c>
      <c r="C8" s="448" t="s">
        <v>44</v>
      </c>
      <c r="D8" s="449">
        <v>6100000</v>
      </c>
      <c r="E8" s="449">
        <v>5600000</v>
      </c>
      <c r="F8" s="449">
        <f t="shared" si="0"/>
        <v>500000</v>
      </c>
      <c r="G8" s="449">
        <v>5600000</v>
      </c>
      <c r="H8" s="449">
        <f>5371897+29942+151355</f>
        <v>5553194</v>
      </c>
      <c r="I8" s="449">
        <v>0</v>
      </c>
      <c r="J8" s="449">
        <v>46745</v>
      </c>
      <c r="K8" s="449">
        <f t="shared" si="1"/>
        <v>46745</v>
      </c>
      <c r="L8" s="449">
        <f t="shared" si="2"/>
        <v>5599939</v>
      </c>
      <c r="M8" s="449">
        <f t="shared" si="3"/>
        <v>61</v>
      </c>
      <c r="N8" s="449">
        <v>500000</v>
      </c>
      <c r="O8" s="449">
        <f t="shared" si="4"/>
        <v>0</v>
      </c>
      <c r="P8" s="449">
        <f t="shared" si="5"/>
        <v>61</v>
      </c>
      <c r="Q8" s="449"/>
      <c r="R8" s="449"/>
      <c r="S8" s="449">
        <f t="shared" si="6"/>
        <v>0</v>
      </c>
      <c r="T8" s="449">
        <f t="shared" si="7"/>
        <v>0</v>
      </c>
      <c r="U8" s="449">
        <f t="shared" si="8"/>
        <v>500000</v>
      </c>
      <c r="V8" s="449"/>
      <c r="W8" s="449">
        <f t="shared" si="11"/>
        <v>500000</v>
      </c>
      <c r="X8" s="449"/>
      <c r="Y8" s="449"/>
      <c r="Z8" s="449"/>
      <c r="AA8" s="448"/>
      <c r="AB8" s="448" t="s">
        <v>890</v>
      </c>
      <c r="AC8" s="448">
        <v>850000</v>
      </c>
      <c r="AD8" s="449">
        <v>250000</v>
      </c>
      <c r="AE8" s="449"/>
      <c r="AF8" s="449"/>
      <c r="AG8" s="449"/>
      <c r="AH8" s="449"/>
      <c r="AI8" s="449"/>
      <c r="AJ8" s="449">
        <v>250000</v>
      </c>
      <c r="AK8" s="449"/>
      <c r="AL8" s="449"/>
      <c r="AM8" s="449"/>
      <c r="AN8" s="449">
        <f t="shared" si="12"/>
        <v>500000</v>
      </c>
      <c r="AO8" s="449">
        <f t="shared" si="9"/>
        <v>0</v>
      </c>
      <c r="AP8" s="449"/>
      <c r="AQ8" s="449">
        <f t="shared" si="13"/>
        <v>500000</v>
      </c>
      <c r="AR8" s="449"/>
      <c r="AS8" s="449"/>
      <c r="AT8" s="449"/>
      <c r="AU8" s="449"/>
      <c r="AV8" s="449"/>
      <c r="AW8" s="449">
        <f t="shared" ref="AW8:AW71" si="14">AM8-AV8-BA8</f>
        <v>0</v>
      </c>
      <c r="AX8" s="449"/>
      <c r="AY8" s="449"/>
      <c r="AZ8" s="449"/>
      <c r="BA8" s="449"/>
    </row>
    <row r="9" spans="1:53" s="842" customFormat="1" ht="30" customHeight="1">
      <c r="A9" s="448">
        <f t="shared" si="10"/>
        <v>4</v>
      </c>
      <c r="B9" s="448">
        <v>1254</v>
      </c>
      <c r="C9" s="448" t="s">
        <v>280</v>
      </c>
      <c r="D9" s="449">
        <f>69000000-20000000+4372866</f>
        <v>53372866</v>
      </c>
      <c r="E9" s="449">
        <v>49000000</v>
      </c>
      <c r="F9" s="449">
        <f t="shared" si="0"/>
        <v>4372866</v>
      </c>
      <c r="G9" s="449">
        <v>47072866</v>
      </c>
      <c r="H9" s="449">
        <v>43825019.25</v>
      </c>
      <c r="I9" s="449">
        <v>0</v>
      </c>
      <c r="J9" s="449">
        <v>2882981</v>
      </c>
      <c r="K9" s="449">
        <f t="shared" si="1"/>
        <v>2882981</v>
      </c>
      <c r="L9" s="449">
        <f t="shared" si="2"/>
        <v>46708000.25</v>
      </c>
      <c r="M9" s="449">
        <f t="shared" si="3"/>
        <v>664865.75</v>
      </c>
      <c r="N9" s="449">
        <f>14000000-8000000-2000000</f>
        <v>4000000</v>
      </c>
      <c r="O9" s="449">
        <f t="shared" si="4"/>
        <v>2000000</v>
      </c>
      <c r="P9" s="449">
        <f t="shared" si="5"/>
        <v>364865.75</v>
      </c>
      <c r="Q9" s="449"/>
      <c r="R9" s="644">
        <v>300000</v>
      </c>
      <c r="S9" s="449">
        <f t="shared" si="6"/>
        <v>300000</v>
      </c>
      <c r="T9" s="449">
        <f t="shared" si="7"/>
        <v>0</v>
      </c>
      <c r="U9" s="449">
        <f t="shared" si="8"/>
        <v>4000000</v>
      </c>
      <c r="V9" s="449"/>
      <c r="W9" s="419">
        <f t="shared" si="11"/>
        <v>4000000</v>
      </c>
      <c r="X9" s="449"/>
      <c r="Y9" s="449"/>
      <c r="Z9" s="449"/>
      <c r="AA9" s="449"/>
      <c r="AB9" s="448" t="s">
        <v>808</v>
      </c>
      <c r="AC9" s="448">
        <v>746000</v>
      </c>
      <c r="AD9" s="449"/>
      <c r="AE9" s="449">
        <v>350000</v>
      </c>
      <c r="AF9" s="449">
        <v>820000</v>
      </c>
      <c r="AG9" s="449"/>
      <c r="AH9" s="449">
        <v>2330000</v>
      </c>
      <c r="AI9" s="449"/>
      <c r="AJ9" s="449">
        <v>500000</v>
      </c>
      <c r="AK9" s="449"/>
      <c r="AL9" s="449"/>
      <c r="AM9" s="449"/>
      <c r="AN9" s="449">
        <f t="shared" si="12"/>
        <v>4000000</v>
      </c>
      <c r="AO9" s="449">
        <f t="shared" si="9"/>
        <v>0</v>
      </c>
      <c r="AP9" s="449"/>
      <c r="AQ9" s="449">
        <f t="shared" si="13"/>
        <v>4000000</v>
      </c>
      <c r="AR9" s="449"/>
      <c r="AS9" s="449"/>
      <c r="AT9" s="449"/>
      <c r="AU9" s="449"/>
      <c r="AV9" s="449"/>
      <c r="AW9" s="449">
        <f t="shared" si="14"/>
        <v>0</v>
      </c>
      <c r="AX9" s="449"/>
      <c r="AY9" s="449"/>
      <c r="AZ9" s="449"/>
      <c r="BA9" s="449"/>
    </row>
    <row r="10" spans="1:53" s="842" customFormat="1" ht="30" customHeight="1">
      <c r="A10" s="448">
        <f t="shared" si="10"/>
        <v>5</v>
      </c>
      <c r="B10" s="448">
        <v>1342</v>
      </c>
      <c r="C10" s="448" t="s">
        <v>64</v>
      </c>
      <c r="D10" s="449">
        <v>4700000</v>
      </c>
      <c r="E10" s="449">
        <v>4700000</v>
      </c>
      <c r="F10" s="449">
        <f t="shared" si="0"/>
        <v>0</v>
      </c>
      <c r="G10" s="449">
        <v>3390000</v>
      </c>
      <c r="H10" s="449">
        <v>2885760</v>
      </c>
      <c r="I10" s="449">
        <v>0</v>
      </c>
      <c r="J10" s="449">
        <v>79962</v>
      </c>
      <c r="K10" s="449">
        <f t="shared" si="1"/>
        <v>79962</v>
      </c>
      <c r="L10" s="449">
        <f t="shared" si="2"/>
        <v>2965722</v>
      </c>
      <c r="M10" s="449">
        <f>P10+S10-900000-50000</f>
        <v>24278</v>
      </c>
      <c r="N10" s="449">
        <f>900000+50000</f>
        <v>950000</v>
      </c>
      <c r="O10" s="449">
        <f t="shared" si="4"/>
        <v>760000</v>
      </c>
      <c r="P10" s="449">
        <f t="shared" si="5"/>
        <v>424278</v>
      </c>
      <c r="Q10" s="482">
        <v>550000</v>
      </c>
      <c r="R10" s="449"/>
      <c r="S10" s="449">
        <f t="shared" si="6"/>
        <v>550000</v>
      </c>
      <c r="T10" s="449">
        <f t="shared" si="7"/>
        <v>950000</v>
      </c>
      <c r="U10" s="449">
        <f t="shared" si="8"/>
        <v>0</v>
      </c>
      <c r="V10" s="449"/>
      <c r="W10" s="419">
        <f t="shared" si="11"/>
        <v>0</v>
      </c>
      <c r="X10" s="449"/>
      <c r="Y10" s="449"/>
      <c r="Z10" s="449"/>
      <c r="AA10" s="449"/>
      <c r="AB10" s="448" t="s">
        <v>763</v>
      </c>
      <c r="AC10" s="448">
        <v>746000</v>
      </c>
      <c r="AD10" s="449"/>
      <c r="AE10" s="449"/>
      <c r="AF10" s="449"/>
      <c r="AG10" s="449"/>
      <c r="AH10" s="449"/>
      <c r="AI10" s="449"/>
      <c r="AJ10" s="449"/>
      <c r="AK10" s="449"/>
      <c r="AL10" s="449"/>
      <c r="AM10" s="449"/>
      <c r="AN10" s="449">
        <f t="shared" si="12"/>
        <v>0</v>
      </c>
      <c r="AO10" s="449">
        <f t="shared" si="9"/>
        <v>0</v>
      </c>
      <c r="AP10" s="449"/>
      <c r="AQ10" s="449">
        <f t="shared" si="13"/>
        <v>0</v>
      </c>
      <c r="AR10" s="449"/>
      <c r="AS10" s="449"/>
      <c r="AT10" s="449"/>
      <c r="AU10" s="449"/>
      <c r="AV10" s="449"/>
      <c r="AW10" s="449">
        <f t="shared" si="14"/>
        <v>0</v>
      </c>
      <c r="AX10" s="449"/>
      <c r="AY10" s="449"/>
      <c r="AZ10" s="449"/>
      <c r="BA10" s="449"/>
    </row>
    <row r="11" spans="1:53" s="842" customFormat="1" ht="30" customHeight="1">
      <c r="A11" s="448">
        <f t="shared" si="10"/>
        <v>6</v>
      </c>
      <c r="B11" s="448">
        <v>1343</v>
      </c>
      <c r="C11" s="448" t="s">
        <v>65</v>
      </c>
      <c r="D11" s="449">
        <f>8000000-430000</f>
        <v>7570000</v>
      </c>
      <c r="E11" s="449">
        <v>7170000</v>
      </c>
      <c r="F11" s="449">
        <f t="shared" si="0"/>
        <v>400000</v>
      </c>
      <c r="G11" s="449">
        <v>7170000</v>
      </c>
      <c r="H11" s="449">
        <v>6659246</v>
      </c>
      <c r="I11" s="449">
        <v>0</v>
      </c>
      <c r="J11" s="449">
        <v>387904</v>
      </c>
      <c r="K11" s="449">
        <f t="shared" si="1"/>
        <v>387904</v>
      </c>
      <c r="L11" s="449">
        <f t="shared" si="2"/>
        <v>7047150</v>
      </c>
      <c r="M11" s="449">
        <f t="shared" si="3"/>
        <v>122850</v>
      </c>
      <c r="N11" s="449">
        <f>700000-300000</f>
        <v>400000</v>
      </c>
      <c r="O11" s="449">
        <f t="shared" si="4"/>
        <v>0</v>
      </c>
      <c r="P11" s="449">
        <f t="shared" si="5"/>
        <v>122850</v>
      </c>
      <c r="Q11" s="449"/>
      <c r="R11" s="449"/>
      <c r="S11" s="449">
        <f t="shared" si="6"/>
        <v>0</v>
      </c>
      <c r="T11" s="449">
        <f t="shared" si="7"/>
        <v>0</v>
      </c>
      <c r="U11" s="449">
        <f t="shared" si="8"/>
        <v>400000</v>
      </c>
      <c r="V11" s="449"/>
      <c r="W11" s="419">
        <f t="shared" si="11"/>
        <v>400000</v>
      </c>
      <c r="X11" s="449"/>
      <c r="Y11" s="449"/>
      <c r="Z11" s="449"/>
      <c r="AA11" s="449"/>
      <c r="AB11" s="448" t="s">
        <v>455</v>
      </c>
      <c r="AC11" s="448">
        <v>746000</v>
      </c>
      <c r="AD11" s="449"/>
      <c r="AE11" s="449"/>
      <c r="AF11" s="449"/>
      <c r="AG11" s="449"/>
      <c r="AH11" s="449"/>
      <c r="AI11" s="449">
        <v>400000</v>
      </c>
      <c r="AJ11" s="449"/>
      <c r="AK11" s="449"/>
      <c r="AL11" s="449"/>
      <c r="AM11" s="449"/>
      <c r="AN11" s="449">
        <f t="shared" si="12"/>
        <v>400000</v>
      </c>
      <c r="AO11" s="449">
        <f t="shared" si="9"/>
        <v>0</v>
      </c>
      <c r="AP11" s="449"/>
      <c r="AQ11" s="449">
        <f t="shared" si="13"/>
        <v>400000</v>
      </c>
      <c r="AR11" s="449"/>
      <c r="AS11" s="449"/>
      <c r="AT11" s="449"/>
      <c r="AU11" s="449"/>
      <c r="AV11" s="449"/>
      <c r="AW11" s="449">
        <f t="shared" si="14"/>
        <v>0</v>
      </c>
      <c r="AX11" s="449"/>
      <c r="AY11" s="449"/>
      <c r="AZ11" s="449"/>
      <c r="BA11" s="449"/>
    </row>
    <row r="12" spans="1:53" s="842" customFormat="1" ht="30" customHeight="1">
      <c r="A12" s="448">
        <f t="shared" si="10"/>
        <v>7</v>
      </c>
      <c r="B12" s="448">
        <v>1415</v>
      </c>
      <c r="C12" s="448" t="s">
        <v>1257</v>
      </c>
      <c r="D12" s="449">
        <f>2400000+200000-700000</f>
        <v>1900000</v>
      </c>
      <c r="E12" s="449">
        <v>1800000</v>
      </c>
      <c r="F12" s="449">
        <f t="shared" si="0"/>
        <v>100000</v>
      </c>
      <c r="G12" s="449">
        <v>1800000</v>
      </c>
      <c r="H12" s="449">
        <f>1566198</f>
        <v>1566198</v>
      </c>
      <c r="I12" s="449">
        <v>0</v>
      </c>
      <c r="J12" s="449">
        <v>133757</v>
      </c>
      <c r="K12" s="449">
        <f t="shared" si="1"/>
        <v>133757</v>
      </c>
      <c r="L12" s="449">
        <f t="shared" si="2"/>
        <v>1699955</v>
      </c>
      <c r="M12" s="449">
        <f t="shared" si="3"/>
        <v>200045</v>
      </c>
      <c r="N12" s="449">
        <f>700000-700000</f>
        <v>0</v>
      </c>
      <c r="O12" s="449">
        <f t="shared" si="4"/>
        <v>0</v>
      </c>
      <c r="P12" s="449">
        <f t="shared" si="5"/>
        <v>100045</v>
      </c>
      <c r="Q12" s="449"/>
      <c r="R12" s="482">
        <v>100000</v>
      </c>
      <c r="S12" s="449">
        <f t="shared" si="6"/>
        <v>100000</v>
      </c>
      <c r="T12" s="449">
        <f t="shared" si="7"/>
        <v>0</v>
      </c>
      <c r="U12" s="449">
        <f t="shared" si="8"/>
        <v>0</v>
      </c>
      <c r="V12" s="449"/>
      <c r="W12" s="449">
        <f t="shared" si="11"/>
        <v>0</v>
      </c>
      <c r="X12" s="449"/>
      <c r="Y12" s="449"/>
      <c r="Z12" s="449"/>
      <c r="AA12" s="448"/>
      <c r="AB12" s="448" t="s">
        <v>892</v>
      </c>
      <c r="AC12" s="448">
        <v>930000</v>
      </c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>
        <f t="shared" si="12"/>
        <v>0</v>
      </c>
      <c r="AO12" s="449">
        <f t="shared" si="9"/>
        <v>0</v>
      </c>
      <c r="AP12" s="449"/>
      <c r="AQ12" s="449">
        <f t="shared" si="13"/>
        <v>0</v>
      </c>
      <c r="AR12" s="449"/>
      <c r="AS12" s="449"/>
      <c r="AT12" s="449"/>
      <c r="AU12" s="449"/>
      <c r="AV12" s="449"/>
      <c r="AW12" s="449">
        <f t="shared" si="14"/>
        <v>0</v>
      </c>
      <c r="AX12" s="449"/>
      <c r="AY12" s="449"/>
      <c r="AZ12" s="449"/>
      <c r="BA12" s="449"/>
    </row>
    <row r="13" spans="1:53" s="842" customFormat="1" ht="30" customHeight="1">
      <c r="A13" s="448">
        <f t="shared" si="10"/>
        <v>8</v>
      </c>
      <c r="B13" s="448">
        <v>1416</v>
      </c>
      <c r="C13" s="448" t="s">
        <v>93</v>
      </c>
      <c r="D13" s="449">
        <f>3600000+100000-100000</f>
        <v>3600000</v>
      </c>
      <c r="E13" s="449">
        <v>3000000</v>
      </c>
      <c r="F13" s="449">
        <f t="shared" si="0"/>
        <v>600000</v>
      </c>
      <c r="G13" s="449">
        <v>2950000</v>
      </c>
      <c r="H13" s="449">
        <v>2739594</v>
      </c>
      <c r="I13" s="449">
        <v>0</v>
      </c>
      <c r="J13" s="449">
        <v>122748</v>
      </c>
      <c r="K13" s="449">
        <f t="shared" si="1"/>
        <v>122748</v>
      </c>
      <c r="L13" s="449">
        <f t="shared" si="2"/>
        <v>2862342</v>
      </c>
      <c r="M13" s="449">
        <f t="shared" si="3"/>
        <v>137658</v>
      </c>
      <c r="N13" s="449">
        <f>600000+100000-100000</f>
        <v>600000</v>
      </c>
      <c r="O13" s="449">
        <f t="shared" si="4"/>
        <v>0</v>
      </c>
      <c r="P13" s="449">
        <f t="shared" si="5"/>
        <v>87658</v>
      </c>
      <c r="Q13" s="482">
        <v>50000</v>
      </c>
      <c r="R13" s="449"/>
      <c r="S13" s="449">
        <f t="shared" si="6"/>
        <v>50000</v>
      </c>
      <c r="T13" s="449">
        <f t="shared" si="7"/>
        <v>0</v>
      </c>
      <c r="U13" s="449">
        <f t="shared" si="8"/>
        <v>600000</v>
      </c>
      <c r="V13" s="449"/>
      <c r="W13" s="449">
        <f t="shared" si="11"/>
        <v>600000</v>
      </c>
      <c r="X13" s="449"/>
      <c r="Y13" s="449"/>
      <c r="Z13" s="449"/>
      <c r="AA13" s="448"/>
      <c r="AB13" s="448" t="s">
        <v>891</v>
      </c>
      <c r="AC13" s="448">
        <v>930000</v>
      </c>
      <c r="AD13" s="449"/>
      <c r="AE13" s="449">
        <v>100000</v>
      </c>
      <c r="AF13" s="449">
        <v>100000</v>
      </c>
      <c r="AG13" s="449"/>
      <c r="AH13" s="449">
        <v>100000</v>
      </c>
      <c r="AI13" s="449"/>
      <c r="AJ13" s="449">
        <v>300000</v>
      </c>
      <c r="AK13" s="449"/>
      <c r="AL13" s="449"/>
      <c r="AM13" s="449"/>
      <c r="AN13" s="449">
        <f t="shared" si="12"/>
        <v>600000</v>
      </c>
      <c r="AO13" s="449">
        <f t="shared" si="9"/>
        <v>0</v>
      </c>
      <c r="AP13" s="449"/>
      <c r="AQ13" s="449">
        <f t="shared" si="13"/>
        <v>600000</v>
      </c>
      <c r="AR13" s="449"/>
      <c r="AS13" s="449"/>
      <c r="AT13" s="449"/>
      <c r="AU13" s="449"/>
      <c r="AV13" s="449"/>
      <c r="AW13" s="449">
        <f t="shared" si="14"/>
        <v>0</v>
      </c>
      <c r="AX13" s="449"/>
      <c r="AY13" s="449"/>
      <c r="AZ13" s="449"/>
      <c r="BA13" s="449"/>
    </row>
    <row r="14" spans="1:53" s="842" customFormat="1" ht="30" customHeight="1">
      <c r="A14" s="448">
        <f t="shared" si="10"/>
        <v>9</v>
      </c>
      <c r="B14" s="448">
        <v>1435</v>
      </c>
      <c r="C14" s="455" t="s">
        <v>394</v>
      </c>
      <c r="D14" s="449">
        <v>42000000</v>
      </c>
      <c r="E14" s="449">
        <v>35374320</v>
      </c>
      <c r="F14" s="449">
        <f t="shared" si="0"/>
        <v>6625680</v>
      </c>
      <c r="G14" s="449">
        <v>33624320</v>
      </c>
      <c r="H14" s="449">
        <v>31230172</v>
      </c>
      <c r="I14" s="449">
        <v>0</v>
      </c>
      <c r="J14" s="449">
        <v>1155873</v>
      </c>
      <c r="K14" s="449">
        <f t="shared" si="1"/>
        <v>1155873</v>
      </c>
      <c r="L14" s="449">
        <f t="shared" si="2"/>
        <v>32386045</v>
      </c>
      <c r="M14" s="449">
        <f t="shared" si="3"/>
        <v>2988275</v>
      </c>
      <c r="N14" s="449">
        <f>3500000-500000</f>
        <v>3000000</v>
      </c>
      <c r="O14" s="449">
        <f t="shared" si="4"/>
        <v>3625680</v>
      </c>
      <c r="P14" s="449">
        <f t="shared" si="5"/>
        <v>1238275</v>
      </c>
      <c r="Q14" s="482">
        <v>1750000</v>
      </c>
      <c r="R14" s="449"/>
      <c r="S14" s="449">
        <f t="shared" si="6"/>
        <v>1750000</v>
      </c>
      <c r="T14" s="449">
        <f t="shared" si="7"/>
        <v>0</v>
      </c>
      <c r="U14" s="449">
        <f t="shared" si="8"/>
        <v>3000000</v>
      </c>
      <c r="V14" s="449"/>
      <c r="W14" s="419">
        <f t="shared" si="11"/>
        <v>3000000</v>
      </c>
      <c r="X14" s="449"/>
      <c r="Y14" s="449"/>
      <c r="Z14" s="449"/>
      <c r="AA14" s="449"/>
      <c r="AB14" s="448" t="s">
        <v>659</v>
      </c>
      <c r="AC14" s="448">
        <v>848500</v>
      </c>
      <c r="AD14" s="449"/>
      <c r="AE14" s="449">
        <f>500000+1600000</f>
        <v>2100000</v>
      </c>
      <c r="AF14" s="449">
        <v>600000</v>
      </c>
      <c r="AG14" s="449"/>
      <c r="AH14" s="449"/>
      <c r="AI14" s="449"/>
      <c r="AJ14" s="449"/>
      <c r="AK14" s="449"/>
      <c r="AL14" s="449"/>
      <c r="AM14" s="449">
        <v>300000</v>
      </c>
      <c r="AN14" s="449">
        <f t="shared" si="12"/>
        <v>3000000</v>
      </c>
      <c r="AO14" s="482">
        <f t="shared" si="9"/>
        <v>0</v>
      </c>
      <c r="AP14" s="449"/>
      <c r="AQ14" s="449">
        <f t="shared" si="13"/>
        <v>3000000</v>
      </c>
      <c r="AR14" s="449"/>
      <c r="AS14" s="449"/>
      <c r="AT14" s="449"/>
      <c r="AU14" s="449"/>
      <c r="AV14" s="449"/>
      <c r="AW14" s="449">
        <f t="shared" si="14"/>
        <v>300000</v>
      </c>
      <c r="AX14" s="449"/>
      <c r="AY14" s="449"/>
      <c r="AZ14" s="449"/>
      <c r="BA14" s="449"/>
    </row>
    <row r="15" spans="1:53" s="842" customFormat="1" ht="30" customHeight="1">
      <c r="A15" s="448">
        <f t="shared" si="10"/>
        <v>10</v>
      </c>
      <c r="B15" s="448">
        <v>1477</v>
      </c>
      <c r="C15" s="448" t="s">
        <v>444</v>
      </c>
      <c r="D15" s="449">
        <f>9650000-300000</f>
        <v>9350000</v>
      </c>
      <c r="E15" s="449">
        <v>9350000</v>
      </c>
      <c r="F15" s="449">
        <f t="shared" si="0"/>
        <v>0</v>
      </c>
      <c r="G15" s="449">
        <v>7650000</v>
      </c>
      <c r="H15" s="449">
        <v>3936318</v>
      </c>
      <c r="I15" s="449">
        <v>0</v>
      </c>
      <c r="J15" s="449">
        <v>2170357</v>
      </c>
      <c r="K15" s="449">
        <f t="shared" si="1"/>
        <v>2170357</v>
      </c>
      <c r="L15" s="449">
        <f t="shared" si="2"/>
        <v>6106675</v>
      </c>
      <c r="M15" s="449">
        <f t="shared" si="3"/>
        <v>1543325</v>
      </c>
      <c r="N15" s="449">
        <f>2000000-1300000</f>
        <v>700000</v>
      </c>
      <c r="O15" s="449">
        <f t="shared" si="4"/>
        <v>1000000</v>
      </c>
      <c r="P15" s="449">
        <f t="shared" si="5"/>
        <v>1543325</v>
      </c>
      <c r="Q15" s="449"/>
      <c r="R15" s="449"/>
      <c r="S15" s="449">
        <f t="shared" si="6"/>
        <v>0</v>
      </c>
      <c r="T15" s="449">
        <f t="shared" si="7"/>
        <v>0</v>
      </c>
      <c r="U15" s="449">
        <f t="shared" si="8"/>
        <v>700000</v>
      </c>
      <c r="V15" s="449"/>
      <c r="W15" s="449">
        <f t="shared" si="11"/>
        <v>700000</v>
      </c>
      <c r="X15" s="449"/>
      <c r="Y15" s="449"/>
      <c r="Z15" s="449"/>
      <c r="AA15" s="448"/>
      <c r="AB15" s="322" t="s">
        <v>840</v>
      </c>
      <c r="AC15" s="322">
        <v>810000</v>
      </c>
      <c r="AD15" s="449"/>
      <c r="AE15" s="449"/>
      <c r="AF15" s="449"/>
      <c r="AG15" s="449"/>
      <c r="AH15" s="449"/>
      <c r="AI15" s="449"/>
      <c r="AJ15" s="449"/>
      <c r="AK15" s="449">
        <v>350000</v>
      </c>
      <c r="AL15" s="449"/>
      <c r="AM15" s="449"/>
      <c r="AN15" s="449">
        <f t="shared" si="12"/>
        <v>350000</v>
      </c>
      <c r="AO15" s="449">
        <f t="shared" si="9"/>
        <v>350000</v>
      </c>
      <c r="AP15" s="449"/>
      <c r="AQ15" s="449">
        <f t="shared" si="13"/>
        <v>350000</v>
      </c>
      <c r="AR15" s="449"/>
      <c r="AS15" s="449"/>
      <c r="AT15" s="449"/>
      <c r="AU15" s="449"/>
      <c r="AV15" s="449"/>
      <c r="AW15" s="449">
        <f t="shared" si="14"/>
        <v>0</v>
      </c>
      <c r="AX15" s="449"/>
      <c r="AY15" s="449"/>
      <c r="AZ15" s="449"/>
      <c r="BA15" s="449"/>
    </row>
    <row r="16" spans="1:53" s="842" customFormat="1" ht="30" customHeight="1">
      <c r="A16" s="448">
        <f t="shared" si="10"/>
        <v>11</v>
      </c>
      <c r="B16" s="448">
        <v>1489</v>
      </c>
      <c r="C16" s="448" t="s">
        <v>268</v>
      </c>
      <c r="D16" s="449">
        <f>61500000+10000000+2000000-5000000</f>
        <v>68500000</v>
      </c>
      <c r="E16" s="449">
        <v>61500000</v>
      </c>
      <c r="F16" s="449">
        <f t="shared" si="0"/>
        <v>7000000</v>
      </c>
      <c r="G16" s="449">
        <v>59000000</v>
      </c>
      <c r="H16" s="449">
        <v>51716228</v>
      </c>
      <c r="I16" s="449">
        <v>0</v>
      </c>
      <c r="J16" s="449">
        <v>4754364</v>
      </c>
      <c r="K16" s="449">
        <f t="shared" si="1"/>
        <v>4754364</v>
      </c>
      <c r="L16" s="449">
        <f t="shared" si="2"/>
        <v>56470592</v>
      </c>
      <c r="M16" s="449">
        <f t="shared" si="3"/>
        <v>5029408</v>
      </c>
      <c r="N16" s="488">
        <f>12000000-5000000-2000000</f>
        <v>5000000</v>
      </c>
      <c r="O16" s="449">
        <f t="shared" si="4"/>
        <v>2000000</v>
      </c>
      <c r="P16" s="449">
        <f t="shared" si="5"/>
        <v>2529408</v>
      </c>
      <c r="Q16" s="482">
        <v>2500000</v>
      </c>
      <c r="R16" s="449"/>
      <c r="S16" s="449">
        <f t="shared" si="6"/>
        <v>2500000</v>
      </c>
      <c r="T16" s="449">
        <f t="shared" si="7"/>
        <v>0</v>
      </c>
      <c r="U16" s="449">
        <f t="shared" si="8"/>
        <v>5000000</v>
      </c>
      <c r="V16" s="449"/>
      <c r="W16" s="449">
        <f t="shared" si="11"/>
        <v>5000000</v>
      </c>
      <c r="X16" s="449"/>
      <c r="Y16" s="449"/>
      <c r="Z16" s="449"/>
      <c r="AA16" s="448"/>
      <c r="AB16" s="448" t="s">
        <v>512</v>
      </c>
      <c r="AC16" s="448">
        <v>742000</v>
      </c>
      <c r="AD16" s="449"/>
      <c r="AE16" s="449"/>
      <c r="AF16" s="449"/>
      <c r="AG16" s="449"/>
      <c r="AH16" s="449">
        <v>2800000</v>
      </c>
      <c r="AI16" s="449"/>
      <c r="AJ16" s="449">
        <v>1850000</v>
      </c>
      <c r="AK16" s="449">
        <v>350000</v>
      </c>
      <c r="AL16" s="449"/>
      <c r="AM16" s="449"/>
      <c r="AN16" s="449">
        <f t="shared" si="12"/>
        <v>5000000</v>
      </c>
      <c r="AO16" s="449">
        <f t="shared" si="9"/>
        <v>0</v>
      </c>
      <c r="AP16" s="449"/>
      <c r="AQ16" s="449">
        <f t="shared" si="13"/>
        <v>5000000</v>
      </c>
      <c r="AR16" s="449"/>
      <c r="AS16" s="449"/>
      <c r="AT16" s="449"/>
      <c r="AU16" s="449"/>
      <c r="AV16" s="449"/>
      <c r="AW16" s="449">
        <f t="shared" si="14"/>
        <v>0</v>
      </c>
      <c r="AX16" s="449"/>
      <c r="AY16" s="449"/>
      <c r="AZ16" s="449"/>
      <c r="BA16" s="449"/>
    </row>
    <row r="17" spans="1:53" s="842" customFormat="1" ht="30" customHeight="1">
      <c r="A17" s="448">
        <f t="shared" si="10"/>
        <v>12</v>
      </c>
      <c r="B17" s="448">
        <v>1504</v>
      </c>
      <c r="C17" s="448" t="s">
        <v>66</v>
      </c>
      <c r="D17" s="449">
        <v>2500000</v>
      </c>
      <c r="E17" s="449">
        <v>2500000</v>
      </c>
      <c r="F17" s="449">
        <f t="shared" si="0"/>
        <v>0</v>
      </c>
      <c r="G17" s="449">
        <v>1600000</v>
      </c>
      <c r="H17" s="449">
        <v>1480431.58</v>
      </c>
      <c r="I17" s="449">
        <v>0</v>
      </c>
      <c r="J17" s="449">
        <v>64690</v>
      </c>
      <c r="K17" s="449">
        <f t="shared" si="1"/>
        <v>64690</v>
      </c>
      <c r="L17" s="449">
        <f t="shared" si="2"/>
        <v>1545121.58</v>
      </c>
      <c r="M17" s="449">
        <f t="shared" si="3"/>
        <v>54878.419999999925</v>
      </c>
      <c r="N17" s="449">
        <f>400000-100000</f>
        <v>300000</v>
      </c>
      <c r="O17" s="449">
        <f t="shared" si="4"/>
        <v>600000</v>
      </c>
      <c r="P17" s="449">
        <f t="shared" si="5"/>
        <v>54878.419999999925</v>
      </c>
      <c r="Q17" s="449"/>
      <c r="R17" s="449"/>
      <c r="S17" s="449">
        <f t="shared" si="6"/>
        <v>0</v>
      </c>
      <c r="T17" s="449">
        <f t="shared" si="7"/>
        <v>0</v>
      </c>
      <c r="U17" s="449">
        <f t="shared" si="8"/>
        <v>300000</v>
      </c>
      <c r="V17" s="449"/>
      <c r="W17" s="419">
        <f t="shared" si="11"/>
        <v>300000</v>
      </c>
      <c r="X17" s="449"/>
      <c r="Y17" s="449"/>
      <c r="Z17" s="449"/>
      <c r="AA17" s="449"/>
      <c r="AB17" s="448" t="s">
        <v>395</v>
      </c>
      <c r="AC17" s="448">
        <v>746000</v>
      </c>
      <c r="AD17" s="449">
        <v>100000</v>
      </c>
      <c r="AE17" s="449"/>
      <c r="AF17" s="449"/>
      <c r="AG17" s="449"/>
      <c r="AH17" s="449"/>
      <c r="AI17" s="449"/>
      <c r="AJ17" s="449">
        <v>100000</v>
      </c>
      <c r="AK17" s="449"/>
      <c r="AL17" s="449"/>
      <c r="AM17" s="449">
        <v>100000</v>
      </c>
      <c r="AN17" s="449">
        <f t="shared" si="12"/>
        <v>300000</v>
      </c>
      <c r="AO17" s="482">
        <f t="shared" si="9"/>
        <v>0</v>
      </c>
      <c r="AP17" s="449"/>
      <c r="AQ17" s="449">
        <f t="shared" si="13"/>
        <v>300000</v>
      </c>
      <c r="AR17" s="449"/>
      <c r="AS17" s="449"/>
      <c r="AT17" s="449"/>
      <c r="AU17" s="449"/>
      <c r="AV17" s="449"/>
      <c r="AW17" s="449">
        <f t="shared" si="14"/>
        <v>100000</v>
      </c>
      <c r="AX17" s="449"/>
      <c r="AY17" s="449"/>
      <c r="AZ17" s="449"/>
      <c r="BA17" s="449"/>
    </row>
    <row r="18" spans="1:53" s="842" customFormat="1" ht="30" customHeight="1">
      <c r="A18" s="448">
        <f t="shared" si="10"/>
        <v>13</v>
      </c>
      <c r="B18" s="448">
        <v>1560</v>
      </c>
      <c r="C18" s="448" t="s">
        <v>45</v>
      </c>
      <c r="D18" s="449">
        <f>7510000+2850000-1300000</f>
        <v>9060000</v>
      </c>
      <c r="E18" s="449">
        <v>7510000</v>
      </c>
      <c r="F18" s="449">
        <f t="shared" si="0"/>
        <v>1550000</v>
      </c>
      <c r="G18" s="449">
        <v>6810000</v>
      </c>
      <c r="H18" s="449">
        <v>6336410</v>
      </c>
      <c r="I18" s="449">
        <v>0</v>
      </c>
      <c r="J18" s="449">
        <v>358304</v>
      </c>
      <c r="K18" s="449">
        <f t="shared" si="1"/>
        <v>358304</v>
      </c>
      <c r="L18" s="449">
        <f t="shared" si="2"/>
        <v>6694714</v>
      </c>
      <c r="M18" s="449">
        <f t="shared" si="3"/>
        <v>615286</v>
      </c>
      <c r="N18" s="449">
        <f>2750000-1000000</f>
        <v>1750000</v>
      </c>
      <c r="O18" s="449">
        <f t="shared" si="4"/>
        <v>0</v>
      </c>
      <c r="P18" s="449">
        <f t="shared" si="5"/>
        <v>115286</v>
      </c>
      <c r="Q18" s="482">
        <v>500000</v>
      </c>
      <c r="R18" s="449"/>
      <c r="S18" s="449">
        <f t="shared" si="6"/>
        <v>500000</v>
      </c>
      <c r="T18" s="449">
        <f t="shared" si="7"/>
        <v>0</v>
      </c>
      <c r="U18" s="449">
        <f t="shared" si="8"/>
        <v>1750000</v>
      </c>
      <c r="V18" s="449"/>
      <c r="W18" s="449">
        <f t="shared" si="11"/>
        <v>1750000</v>
      </c>
      <c r="X18" s="449"/>
      <c r="Y18" s="449"/>
      <c r="Z18" s="449"/>
      <c r="AA18" s="448"/>
      <c r="AB18" s="448" t="s">
        <v>908</v>
      </c>
      <c r="AC18" s="448">
        <v>746000</v>
      </c>
      <c r="AD18" s="449"/>
      <c r="AE18" s="449"/>
      <c r="AF18" s="449">
        <v>500000</v>
      </c>
      <c r="AG18" s="449"/>
      <c r="AH18" s="449">
        <v>150000</v>
      </c>
      <c r="AI18" s="449"/>
      <c r="AJ18" s="449">
        <v>100000</v>
      </c>
      <c r="AK18" s="449">
        <v>500000</v>
      </c>
      <c r="AL18" s="449">
        <v>500000</v>
      </c>
      <c r="AM18" s="449"/>
      <c r="AN18" s="449">
        <f t="shared" si="12"/>
        <v>1750000</v>
      </c>
      <c r="AO18" s="449">
        <f t="shared" si="9"/>
        <v>0</v>
      </c>
      <c r="AP18" s="449"/>
      <c r="AQ18" s="449">
        <f t="shared" si="13"/>
        <v>1750000</v>
      </c>
      <c r="AR18" s="449"/>
      <c r="AS18" s="449"/>
      <c r="AT18" s="449"/>
      <c r="AU18" s="449"/>
      <c r="AV18" s="449"/>
      <c r="AW18" s="449">
        <f t="shared" si="14"/>
        <v>0</v>
      </c>
      <c r="AX18" s="449"/>
      <c r="AY18" s="449"/>
      <c r="AZ18" s="449"/>
      <c r="BA18" s="449"/>
    </row>
    <row r="19" spans="1:53" s="842" customFormat="1" ht="30" customHeight="1">
      <c r="A19" s="448">
        <f t="shared" si="10"/>
        <v>14</v>
      </c>
      <c r="B19" s="469">
        <v>1621</v>
      </c>
      <c r="C19" s="469" t="s">
        <v>46</v>
      </c>
      <c r="D19" s="419">
        <f>6030000+1570000-1570000</f>
        <v>6030000</v>
      </c>
      <c r="E19" s="419">
        <v>6030000</v>
      </c>
      <c r="F19" s="419">
        <f t="shared" si="0"/>
        <v>0</v>
      </c>
      <c r="G19" s="419">
        <v>2800000</v>
      </c>
      <c r="H19" s="419">
        <v>2174410</v>
      </c>
      <c r="I19" s="419">
        <v>0</v>
      </c>
      <c r="J19" s="419">
        <v>442301</v>
      </c>
      <c r="K19" s="449">
        <f t="shared" si="1"/>
        <v>442301</v>
      </c>
      <c r="L19" s="449">
        <f t="shared" si="2"/>
        <v>2616711</v>
      </c>
      <c r="M19" s="449">
        <f t="shared" si="3"/>
        <v>1083289</v>
      </c>
      <c r="N19" s="521">
        <f>3900000-1400000-1000000-800000</f>
        <v>700000</v>
      </c>
      <c r="O19" s="449">
        <f t="shared" si="4"/>
        <v>1630000</v>
      </c>
      <c r="P19" s="419">
        <f t="shared" si="5"/>
        <v>183289</v>
      </c>
      <c r="Q19" s="482">
        <v>900000</v>
      </c>
      <c r="R19" s="419"/>
      <c r="S19" s="449">
        <v>900000</v>
      </c>
      <c r="T19" s="419">
        <f t="shared" si="7"/>
        <v>0</v>
      </c>
      <c r="U19" s="449">
        <f t="shared" si="8"/>
        <v>700000</v>
      </c>
      <c r="V19" s="419"/>
      <c r="W19" s="419">
        <f t="shared" si="11"/>
        <v>700000</v>
      </c>
      <c r="X19" s="419"/>
      <c r="Y19" s="419"/>
      <c r="Z19" s="419"/>
      <c r="AA19" s="469"/>
      <c r="AB19" s="483" t="s">
        <v>600</v>
      </c>
      <c r="AC19" s="469">
        <v>723000</v>
      </c>
      <c r="AD19" s="449"/>
      <c r="AE19" s="449"/>
      <c r="AF19" s="449"/>
      <c r="AG19" s="449"/>
      <c r="AH19" s="449"/>
      <c r="AI19" s="449"/>
      <c r="AJ19" s="449">
        <v>250000</v>
      </c>
      <c r="AK19" s="449">
        <v>450000</v>
      </c>
      <c r="AL19" s="449"/>
      <c r="AM19" s="449"/>
      <c r="AN19" s="449">
        <f t="shared" si="12"/>
        <v>700000</v>
      </c>
      <c r="AO19" s="449">
        <f t="shared" si="9"/>
        <v>0</v>
      </c>
      <c r="AP19" s="449"/>
      <c r="AQ19" s="449">
        <f t="shared" si="13"/>
        <v>700000</v>
      </c>
      <c r="AR19" s="449"/>
      <c r="AS19" s="449"/>
      <c r="AT19" s="449"/>
      <c r="AU19" s="449"/>
      <c r="AV19" s="449"/>
      <c r="AW19" s="449">
        <f t="shared" si="14"/>
        <v>0</v>
      </c>
      <c r="AX19" s="449"/>
      <c r="AY19" s="449"/>
      <c r="AZ19" s="449"/>
      <c r="BA19" s="449"/>
    </row>
    <row r="20" spans="1:53" s="842" customFormat="1" ht="30" customHeight="1">
      <c r="A20" s="448">
        <f t="shared" si="10"/>
        <v>15</v>
      </c>
      <c r="B20" s="448">
        <v>1680</v>
      </c>
      <c r="C20" s="448" t="s">
        <v>67</v>
      </c>
      <c r="D20" s="449">
        <f>2000000-300000</f>
        <v>1700000</v>
      </c>
      <c r="E20" s="449">
        <v>1300000</v>
      </c>
      <c r="F20" s="449">
        <f t="shared" si="0"/>
        <v>400000</v>
      </c>
      <c r="G20" s="449">
        <v>1300000</v>
      </c>
      <c r="H20" s="449">
        <v>838562.79</v>
      </c>
      <c r="I20" s="449">
        <v>0</v>
      </c>
      <c r="J20" s="449">
        <v>210237.77</v>
      </c>
      <c r="K20" s="449">
        <f t="shared" si="1"/>
        <v>210237.77</v>
      </c>
      <c r="L20" s="449">
        <f t="shared" si="2"/>
        <v>1048800.56</v>
      </c>
      <c r="M20" s="449">
        <f t="shared" si="3"/>
        <v>251199.43999999994</v>
      </c>
      <c r="N20" s="449">
        <f>500000-100000</f>
        <v>400000</v>
      </c>
      <c r="O20" s="449">
        <f t="shared" si="4"/>
        <v>0</v>
      </c>
      <c r="P20" s="449">
        <f t="shared" si="5"/>
        <v>251199.43999999994</v>
      </c>
      <c r="Q20" s="482"/>
      <c r="R20" s="449"/>
      <c r="S20" s="449">
        <f t="shared" si="6"/>
        <v>0</v>
      </c>
      <c r="T20" s="449">
        <f t="shared" si="7"/>
        <v>0</v>
      </c>
      <c r="U20" s="449">
        <f t="shared" si="8"/>
        <v>400000</v>
      </c>
      <c r="V20" s="449"/>
      <c r="W20" s="419">
        <f t="shared" si="11"/>
        <v>400000</v>
      </c>
      <c r="X20" s="449"/>
      <c r="Y20" s="449"/>
      <c r="Z20" s="449"/>
      <c r="AA20" s="449"/>
      <c r="AB20" s="448" t="s">
        <v>456</v>
      </c>
      <c r="AC20" s="448">
        <v>746000</v>
      </c>
      <c r="AD20" s="449"/>
      <c r="AE20" s="449"/>
      <c r="AF20" s="449">
        <v>300000</v>
      </c>
      <c r="AG20" s="449"/>
      <c r="AH20" s="449"/>
      <c r="AI20" s="449"/>
      <c r="AJ20" s="449"/>
      <c r="AK20" s="449"/>
      <c r="AL20" s="449"/>
      <c r="AM20" s="449">
        <v>100000</v>
      </c>
      <c r="AN20" s="449">
        <f t="shared" si="12"/>
        <v>400000</v>
      </c>
      <c r="AO20" s="482">
        <f t="shared" si="9"/>
        <v>0</v>
      </c>
      <c r="AP20" s="449"/>
      <c r="AQ20" s="449">
        <f t="shared" si="13"/>
        <v>400000</v>
      </c>
      <c r="AR20" s="449"/>
      <c r="AS20" s="449"/>
      <c r="AT20" s="449"/>
      <c r="AU20" s="449"/>
      <c r="AV20" s="449"/>
      <c r="AW20" s="449">
        <f t="shared" si="14"/>
        <v>100000</v>
      </c>
      <c r="AX20" s="449"/>
      <c r="AY20" s="449"/>
      <c r="AZ20" s="449"/>
      <c r="BA20" s="449"/>
    </row>
    <row r="21" spans="1:53" s="842" customFormat="1" ht="30" customHeight="1">
      <c r="A21" s="448">
        <f t="shared" si="10"/>
        <v>16</v>
      </c>
      <c r="B21" s="448">
        <v>1848</v>
      </c>
      <c r="C21" s="448" t="s">
        <v>720</v>
      </c>
      <c r="D21" s="449">
        <v>1900000</v>
      </c>
      <c r="E21" s="449">
        <v>1600000</v>
      </c>
      <c r="F21" s="449">
        <f t="shared" si="0"/>
        <v>300000</v>
      </c>
      <c r="G21" s="449">
        <v>1450000</v>
      </c>
      <c r="H21" s="449">
        <v>1118840</v>
      </c>
      <c r="I21" s="449">
        <v>0</v>
      </c>
      <c r="J21" s="449">
        <v>290463</v>
      </c>
      <c r="K21" s="449">
        <f t="shared" si="1"/>
        <v>290463</v>
      </c>
      <c r="L21" s="449">
        <f t="shared" si="2"/>
        <v>1409303</v>
      </c>
      <c r="M21" s="449">
        <f t="shared" si="3"/>
        <v>190697</v>
      </c>
      <c r="N21" s="449">
        <f>300000-100000</f>
        <v>200000</v>
      </c>
      <c r="O21" s="449">
        <f t="shared" si="4"/>
        <v>100000</v>
      </c>
      <c r="P21" s="449">
        <f t="shared" si="5"/>
        <v>40697</v>
      </c>
      <c r="Q21" s="482">
        <v>150000</v>
      </c>
      <c r="R21" s="449"/>
      <c r="S21" s="449">
        <f t="shared" si="6"/>
        <v>150000</v>
      </c>
      <c r="T21" s="449">
        <f t="shared" si="7"/>
        <v>0</v>
      </c>
      <c r="U21" s="449">
        <f t="shared" si="8"/>
        <v>200000</v>
      </c>
      <c r="V21" s="449"/>
      <c r="W21" s="449">
        <f t="shared" si="11"/>
        <v>200000</v>
      </c>
      <c r="X21" s="449"/>
      <c r="Y21" s="449"/>
      <c r="Z21" s="449"/>
      <c r="AA21" s="448"/>
      <c r="AB21" s="448" t="s">
        <v>601</v>
      </c>
      <c r="AC21" s="448">
        <v>742000</v>
      </c>
      <c r="AD21" s="449"/>
      <c r="AE21" s="449"/>
      <c r="AF21" s="449"/>
      <c r="AG21" s="449"/>
      <c r="AH21" s="449">
        <v>50000</v>
      </c>
      <c r="AI21" s="449"/>
      <c r="AJ21" s="449">
        <v>50000</v>
      </c>
      <c r="AK21" s="449">
        <v>100000</v>
      </c>
      <c r="AL21" s="449"/>
      <c r="AM21" s="449"/>
      <c r="AN21" s="449">
        <f t="shared" si="12"/>
        <v>200000</v>
      </c>
      <c r="AO21" s="449">
        <f t="shared" si="9"/>
        <v>0</v>
      </c>
      <c r="AP21" s="449"/>
      <c r="AQ21" s="449">
        <f t="shared" si="13"/>
        <v>200000</v>
      </c>
      <c r="AR21" s="449"/>
      <c r="AS21" s="449"/>
      <c r="AT21" s="449"/>
      <c r="AU21" s="449"/>
      <c r="AV21" s="449"/>
      <c r="AW21" s="449">
        <f t="shared" si="14"/>
        <v>0</v>
      </c>
      <c r="AX21" s="449"/>
      <c r="AY21" s="449"/>
      <c r="AZ21" s="449"/>
      <c r="BA21" s="449"/>
    </row>
    <row r="22" spans="1:53" s="842" customFormat="1" ht="30" customHeight="1">
      <c r="A22" s="448">
        <f t="shared" si="10"/>
        <v>17</v>
      </c>
      <c r="B22" s="448">
        <v>1850</v>
      </c>
      <c r="C22" s="448" t="s">
        <v>407</v>
      </c>
      <c r="D22" s="449">
        <v>14600000</v>
      </c>
      <c r="E22" s="449">
        <v>14600000</v>
      </c>
      <c r="F22" s="449">
        <f t="shared" si="0"/>
        <v>0</v>
      </c>
      <c r="G22" s="449">
        <v>5900000</v>
      </c>
      <c r="H22" s="449">
        <v>5715472</v>
      </c>
      <c r="I22" s="449">
        <v>0</v>
      </c>
      <c r="J22" s="449">
        <v>180322</v>
      </c>
      <c r="K22" s="449">
        <f t="shared" si="1"/>
        <v>180322</v>
      </c>
      <c r="L22" s="449">
        <f t="shared" si="2"/>
        <v>5895794</v>
      </c>
      <c r="M22" s="449">
        <f t="shared" si="3"/>
        <v>4206</v>
      </c>
      <c r="N22" s="449">
        <f>1000000+500000-700000</f>
        <v>800000</v>
      </c>
      <c r="O22" s="449">
        <f t="shared" si="4"/>
        <v>7900000</v>
      </c>
      <c r="P22" s="449">
        <f t="shared" si="5"/>
        <v>4206</v>
      </c>
      <c r="Q22" s="449"/>
      <c r="R22" s="449"/>
      <c r="S22" s="449">
        <f t="shared" si="6"/>
        <v>0</v>
      </c>
      <c r="T22" s="449">
        <f t="shared" si="7"/>
        <v>0</v>
      </c>
      <c r="U22" s="449">
        <f t="shared" si="8"/>
        <v>800000</v>
      </c>
      <c r="V22" s="449"/>
      <c r="W22" s="449">
        <f t="shared" si="11"/>
        <v>800000</v>
      </c>
      <c r="X22" s="449"/>
      <c r="Y22" s="449"/>
      <c r="Z22" s="449"/>
      <c r="AA22" s="448"/>
      <c r="AB22" s="448" t="s">
        <v>893</v>
      </c>
      <c r="AC22" s="448">
        <v>810000</v>
      </c>
      <c r="AD22" s="449">
        <v>400000</v>
      </c>
      <c r="AE22" s="449"/>
      <c r="AF22" s="449">
        <v>100000</v>
      </c>
      <c r="AG22" s="449"/>
      <c r="AH22" s="449"/>
      <c r="AI22" s="449"/>
      <c r="AJ22" s="449">
        <v>150000</v>
      </c>
      <c r="AK22" s="449">
        <v>150000</v>
      </c>
      <c r="AL22" s="449"/>
      <c r="AM22" s="449"/>
      <c r="AN22" s="449">
        <f t="shared" si="12"/>
        <v>800000</v>
      </c>
      <c r="AO22" s="449">
        <f t="shared" si="9"/>
        <v>0</v>
      </c>
      <c r="AP22" s="449"/>
      <c r="AQ22" s="449">
        <f t="shared" si="13"/>
        <v>800000</v>
      </c>
      <c r="AR22" s="449"/>
      <c r="AS22" s="449"/>
      <c r="AT22" s="449"/>
      <c r="AU22" s="449"/>
      <c r="AV22" s="449"/>
      <c r="AW22" s="449">
        <f t="shared" si="14"/>
        <v>0</v>
      </c>
      <c r="AX22" s="449"/>
      <c r="AY22" s="449"/>
      <c r="AZ22" s="449"/>
      <c r="BA22" s="449"/>
    </row>
    <row r="23" spans="1:53" s="842" customFormat="1" ht="30" customHeight="1">
      <c r="A23" s="448">
        <f t="shared" si="10"/>
        <v>18</v>
      </c>
      <c r="B23" s="448">
        <v>1883</v>
      </c>
      <c r="C23" s="448" t="s">
        <v>106</v>
      </c>
      <c r="D23" s="449">
        <v>27245000</v>
      </c>
      <c r="E23" s="449">
        <v>27245000</v>
      </c>
      <c r="F23" s="449">
        <f t="shared" si="0"/>
        <v>0</v>
      </c>
      <c r="G23" s="449">
        <v>26215000</v>
      </c>
      <c r="H23" s="449">
        <v>26214141</v>
      </c>
      <c r="I23" s="449">
        <v>0</v>
      </c>
      <c r="J23" s="449">
        <v>0</v>
      </c>
      <c r="K23" s="449">
        <f t="shared" si="1"/>
        <v>0</v>
      </c>
      <c r="L23" s="449">
        <f t="shared" si="2"/>
        <v>26214141</v>
      </c>
      <c r="M23" s="449">
        <f t="shared" si="3"/>
        <v>859</v>
      </c>
      <c r="N23" s="449"/>
      <c r="O23" s="449">
        <f t="shared" si="4"/>
        <v>1030000</v>
      </c>
      <c r="P23" s="449">
        <f t="shared" si="5"/>
        <v>859</v>
      </c>
      <c r="Q23" s="449"/>
      <c r="R23" s="449"/>
      <c r="S23" s="449">
        <f t="shared" si="6"/>
        <v>0</v>
      </c>
      <c r="T23" s="449">
        <f t="shared" si="7"/>
        <v>0</v>
      </c>
      <c r="U23" s="449">
        <f t="shared" si="8"/>
        <v>0</v>
      </c>
      <c r="V23" s="449"/>
      <c r="W23" s="449">
        <f t="shared" si="11"/>
        <v>0</v>
      </c>
      <c r="X23" s="449"/>
      <c r="Y23" s="449"/>
      <c r="Z23" s="449"/>
      <c r="AA23" s="448"/>
      <c r="AB23" s="448" t="s">
        <v>445</v>
      </c>
      <c r="AC23" s="448">
        <v>810000</v>
      </c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>
        <f t="shared" si="12"/>
        <v>0</v>
      </c>
      <c r="AO23" s="449">
        <f t="shared" si="9"/>
        <v>0</v>
      </c>
      <c r="AP23" s="449"/>
      <c r="AQ23" s="449">
        <f t="shared" si="13"/>
        <v>0</v>
      </c>
      <c r="AR23" s="449"/>
      <c r="AS23" s="449"/>
      <c r="AT23" s="449"/>
      <c r="AU23" s="449"/>
      <c r="AV23" s="449"/>
      <c r="AW23" s="449">
        <f t="shared" si="14"/>
        <v>0</v>
      </c>
      <c r="AX23" s="449"/>
      <c r="AY23" s="449"/>
      <c r="AZ23" s="449"/>
      <c r="BA23" s="449"/>
    </row>
    <row r="24" spans="1:53" s="842" customFormat="1" ht="30" customHeight="1">
      <c r="A24" s="448">
        <f t="shared" si="10"/>
        <v>19</v>
      </c>
      <c r="B24" s="448">
        <v>1887</v>
      </c>
      <c r="C24" s="448" t="s">
        <v>107</v>
      </c>
      <c r="D24" s="449">
        <v>5200000</v>
      </c>
      <c r="E24" s="449">
        <v>5200000</v>
      </c>
      <c r="F24" s="449">
        <f t="shared" si="0"/>
        <v>0</v>
      </c>
      <c r="G24" s="449">
        <v>1760000</v>
      </c>
      <c r="H24" s="449">
        <v>1379255</v>
      </c>
      <c r="I24" s="449">
        <v>332775</v>
      </c>
      <c r="J24" s="449">
        <v>0</v>
      </c>
      <c r="K24" s="449">
        <f t="shared" si="1"/>
        <v>332775</v>
      </c>
      <c r="L24" s="449">
        <f t="shared" si="2"/>
        <v>1712030</v>
      </c>
      <c r="M24" s="449">
        <f t="shared" si="3"/>
        <v>47970</v>
      </c>
      <c r="N24" s="449">
        <v>900000</v>
      </c>
      <c r="O24" s="449">
        <f t="shared" si="4"/>
        <v>2540000</v>
      </c>
      <c r="P24" s="449">
        <f t="shared" si="5"/>
        <v>47970</v>
      </c>
      <c r="Q24" s="449"/>
      <c r="R24" s="449"/>
      <c r="S24" s="449">
        <f t="shared" si="6"/>
        <v>0</v>
      </c>
      <c r="T24" s="449">
        <f t="shared" si="7"/>
        <v>0</v>
      </c>
      <c r="U24" s="449">
        <v>900000</v>
      </c>
      <c r="V24" s="449"/>
      <c r="W24" s="449">
        <f t="shared" si="11"/>
        <v>900000</v>
      </c>
      <c r="X24" s="449"/>
      <c r="Y24" s="449"/>
      <c r="Z24" s="449"/>
      <c r="AA24" s="448"/>
      <c r="AB24" s="448" t="s">
        <v>762</v>
      </c>
      <c r="AC24" s="448">
        <v>810000</v>
      </c>
      <c r="AD24" s="449"/>
      <c r="AE24" s="449"/>
      <c r="AF24" s="449"/>
      <c r="AG24" s="449"/>
      <c r="AH24" s="449"/>
      <c r="AI24" s="449"/>
      <c r="AJ24" s="449"/>
      <c r="AK24" s="449"/>
      <c r="AL24" s="449"/>
      <c r="AM24" s="449"/>
      <c r="AN24" s="449">
        <f t="shared" si="12"/>
        <v>0</v>
      </c>
      <c r="AO24" s="449">
        <f t="shared" si="9"/>
        <v>900000</v>
      </c>
      <c r="AP24" s="449"/>
      <c r="AQ24" s="449">
        <f t="shared" si="13"/>
        <v>0</v>
      </c>
      <c r="AR24" s="449"/>
      <c r="AS24" s="449"/>
      <c r="AT24" s="449"/>
      <c r="AU24" s="449"/>
      <c r="AV24" s="449"/>
      <c r="AW24" s="449">
        <f t="shared" si="14"/>
        <v>0</v>
      </c>
      <c r="AX24" s="449"/>
      <c r="AY24" s="449"/>
      <c r="AZ24" s="449"/>
      <c r="BA24" s="449"/>
    </row>
    <row r="25" spans="1:53" s="842" customFormat="1" ht="30" customHeight="1">
      <c r="A25" s="448">
        <f t="shared" si="10"/>
        <v>20</v>
      </c>
      <c r="B25" s="448">
        <v>1899</v>
      </c>
      <c r="C25" s="448" t="s">
        <v>118</v>
      </c>
      <c r="D25" s="449">
        <v>670000</v>
      </c>
      <c r="E25" s="449">
        <v>670000</v>
      </c>
      <c r="F25" s="449">
        <f t="shared" si="0"/>
        <v>0</v>
      </c>
      <c r="G25" s="449">
        <v>670000</v>
      </c>
      <c r="H25" s="449">
        <v>451255</v>
      </c>
      <c r="I25" s="449">
        <v>0</v>
      </c>
      <c r="J25" s="449">
        <v>212497</v>
      </c>
      <c r="K25" s="449">
        <f t="shared" si="1"/>
        <v>212497</v>
      </c>
      <c r="L25" s="449">
        <f t="shared" si="2"/>
        <v>663752</v>
      </c>
      <c r="M25" s="449">
        <f t="shared" si="3"/>
        <v>6248</v>
      </c>
      <c r="N25" s="449"/>
      <c r="O25" s="449">
        <f t="shared" si="4"/>
        <v>0</v>
      </c>
      <c r="P25" s="449">
        <f t="shared" si="5"/>
        <v>6248</v>
      </c>
      <c r="Q25" s="449"/>
      <c r="R25" s="449"/>
      <c r="S25" s="449">
        <f t="shared" si="6"/>
        <v>0</v>
      </c>
      <c r="T25" s="449">
        <f t="shared" si="7"/>
        <v>0</v>
      </c>
      <c r="U25" s="449">
        <f t="shared" si="8"/>
        <v>0</v>
      </c>
      <c r="V25" s="449"/>
      <c r="W25" s="419">
        <f t="shared" si="11"/>
        <v>0</v>
      </c>
      <c r="X25" s="449"/>
      <c r="Y25" s="449"/>
      <c r="Z25" s="449"/>
      <c r="AA25" s="449"/>
      <c r="AB25" s="484" t="s">
        <v>674</v>
      </c>
      <c r="AC25" s="448">
        <v>870000</v>
      </c>
      <c r="AD25" s="449"/>
      <c r="AE25" s="449"/>
      <c r="AF25" s="449"/>
      <c r="AG25" s="449"/>
      <c r="AH25" s="449"/>
      <c r="AI25" s="449"/>
      <c r="AJ25" s="449"/>
      <c r="AK25" s="449"/>
      <c r="AL25" s="449"/>
      <c r="AM25" s="449"/>
      <c r="AN25" s="449">
        <f t="shared" si="12"/>
        <v>0</v>
      </c>
      <c r="AO25" s="449">
        <f t="shared" si="9"/>
        <v>0</v>
      </c>
      <c r="AP25" s="449"/>
      <c r="AQ25" s="449">
        <f t="shared" si="13"/>
        <v>0</v>
      </c>
      <c r="AR25" s="449"/>
      <c r="AS25" s="449"/>
      <c r="AT25" s="449"/>
      <c r="AU25" s="449"/>
      <c r="AV25" s="449"/>
      <c r="AW25" s="449">
        <f t="shared" si="14"/>
        <v>0</v>
      </c>
      <c r="AX25" s="449"/>
      <c r="AY25" s="449"/>
      <c r="AZ25" s="449"/>
      <c r="BA25" s="449"/>
    </row>
    <row r="26" spans="1:53" s="842" customFormat="1" ht="30" customHeight="1">
      <c r="A26" s="448">
        <f t="shared" si="10"/>
        <v>21</v>
      </c>
      <c r="B26" s="448">
        <v>1900</v>
      </c>
      <c r="C26" s="448" t="s">
        <v>108</v>
      </c>
      <c r="D26" s="449">
        <v>600000</v>
      </c>
      <c r="E26" s="449">
        <v>600000</v>
      </c>
      <c r="F26" s="449">
        <f t="shared" si="0"/>
        <v>0</v>
      </c>
      <c r="G26" s="449">
        <v>600000</v>
      </c>
      <c r="H26" s="449">
        <v>572915</v>
      </c>
      <c r="I26" s="449">
        <v>0</v>
      </c>
      <c r="J26" s="449">
        <v>0</v>
      </c>
      <c r="K26" s="449">
        <f t="shared" si="1"/>
        <v>0</v>
      </c>
      <c r="L26" s="449">
        <f t="shared" si="2"/>
        <v>572915</v>
      </c>
      <c r="M26" s="449">
        <f t="shared" si="3"/>
        <v>27085</v>
      </c>
      <c r="N26" s="449"/>
      <c r="O26" s="449">
        <f t="shared" si="4"/>
        <v>0</v>
      </c>
      <c r="P26" s="449">
        <f t="shared" si="5"/>
        <v>27085</v>
      </c>
      <c r="Q26" s="449"/>
      <c r="R26" s="449"/>
      <c r="S26" s="449">
        <f t="shared" si="6"/>
        <v>0</v>
      </c>
      <c r="T26" s="449">
        <f t="shared" si="7"/>
        <v>0</v>
      </c>
      <c r="U26" s="449">
        <f t="shared" si="8"/>
        <v>0</v>
      </c>
      <c r="V26" s="449"/>
      <c r="W26" s="449">
        <f t="shared" si="11"/>
        <v>0</v>
      </c>
      <c r="X26" s="449"/>
      <c r="Y26" s="449"/>
      <c r="Z26" s="449"/>
      <c r="AA26" s="448"/>
      <c r="AB26" s="448" t="s">
        <v>675</v>
      </c>
      <c r="AC26" s="448">
        <v>810000</v>
      </c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>
        <f t="shared" si="12"/>
        <v>0</v>
      </c>
      <c r="AO26" s="449">
        <f t="shared" si="9"/>
        <v>0</v>
      </c>
      <c r="AP26" s="449"/>
      <c r="AQ26" s="449">
        <f t="shared" si="13"/>
        <v>0</v>
      </c>
      <c r="AR26" s="449"/>
      <c r="AS26" s="449"/>
      <c r="AT26" s="449"/>
      <c r="AU26" s="449"/>
      <c r="AV26" s="449"/>
      <c r="AW26" s="449">
        <f t="shared" si="14"/>
        <v>0</v>
      </c>
      <c r="AX26" s="449"/>
      <c r="AY26" s="449"/>
      <c r="AZ26" s="449"/>
      <c r="BA26" s="449"/>
    </row>
    <row r="27" spans="1:53" s="842" customFormat="1" ht="30" customHeight="1">
      <c r="A27" s="448">
        <f t="shared" si="10"/>
        <v>22</v>
      </c>
      <c r="B27" s="448">
        <v>1917</v>
      </c>
      <c r="C27" s="448" t="s">
        <v>109</v>
      </c>
      <c r="D27" s="449">
        <f>76800000-43099000</f>
        <v>33701000</v>
      </c>
      <c r="E27" s="449">
        <v>76800000</v>
      </c>
      <c r="F27" s="449">
        <f t="shared" si="0"/>
        <v>-43099000</v>
      </c>
      <c r="G27" s="449">
        <v>33701000</v>
      </c>
      <c r="H27" s="449">
        <v>28403693</v>
      </c>
      <c r="I27" s="449">
        <v>0</v>
      </c>
      <c r="J27" s="449">
        <v>5277774</v>
      </c>
      <c r="K27" s="449">
        <f t="shared" si="1"/>
        <v>5277774</v>
      </c>
      <c r="L27" s="449">
        <f t="shared" si="2"/>
        <v>33681467</v>
      </c>
      <c r="M27" s="449">
        <f t="shared" si="3"/>
        <v>19533</v>
      </c>
      <c r="N27" s="449">
        <f>500000+1000000+500000+1000000+100000+500000-950000-2650000</f>
        <v>0</v>
      </c>
      <c r="O27" s="449">
        <f t="shared" si="4"/>
        <v>0</v>
      </c>
      <c r="P27" s="449">
        <f t="shared" si="5"/>
        <v>19533</v>
      </c>
      <c r="Q27" s="449"/>
      <c r="R27" s="449"/>
      <c r="S27" s="449">
        <f t="shared" si="6"/>
        <v>0</v>
      </c>
      <c r="T27" s="449">
        <f t="shared" si="7"/>
        <v>0</v>
      </c>
      <c r="U27" s="449">
        <f t="shared" si="8"/>
        <v>0</v>
      </c>
      <c r="V27" s="449"/>
      <c r="W27" s="449">
        <f t="shared" si="11"/>
        <v>0</v>
      </c>
      <c r="X27" s="449"/>
      <c r="Y27" s="449"/>
      <c r="Z27" s="449"/>
      <c r="AA27" s="448"/>
      <c r="AB27" s="448" t="s">
        <v>513</v>
      </c>
      <c r="AC27" s="448">
        <v>743000</v>
      </c>
      <c r="AD27" s="449"/>
      <c r="AE27" s="449"/>
      <c r="AF27" s="449"/>
      <c r="AG27" s="449"/>
      <c r="AH27" s="449"/>
      <c r="AI27" s="449"/>
      <c r="AJ27" s="449"/>
      <c r="AK27" s="449"/>
      <c r="AL27" s="449"/>
      <c r="AM27" s="449"/>
      <c r="AN27" s="449">
        <f t="shared" si="12"/>
        <v>0</v>
      </c>
      <c r="AO27" s="449">
        <f t="shared" si="9"/>
        <v>0</v>
      </c>
      <c r="AP27" s="449"/>
      <c r="AQ27" s="449">
        <f t="shared" si="13"/>
        <v>0</v>
      </c>
      <c r="AR27" s="449"/>
      <c r="AS27" s="449"/>
      <c r="AT27" s="449"/>
      <c r="AU27" s="449"/>
      <c r="AV27" s="449"/>
      <c r="AW27" s="449">
        <f t="shared" si="14"/>
        <v>0</v>
      </c>
      <c r="AX27" s="449"/>
      <c r="AY27" s="449"/>
      <c r="AZ27" s="449"/>
      <c r="BA27" s="449"/>
    </row>
    <row r="28" spans="1:53" s="842" customFormat="1" ht="30" customHeight="1">
      <c r="A28" s="448">
        <f t="shared" si="10"/>
        <v>23</v>
      </c>
      <c r="B28" s="448">
        <v>1947</v>
      </c>
      <c r="C28" s="448" t="s">
        <v>721</v>
      </c>
      <c r="D28" s="449">
        <v>2500000</v>
      </c>
      <c r="E28" s="449">
        <v>2500000</v>
      </c>
      <c r="F28" s="449">
        <f t="shared" si="0"/>
        <v>0</v>
      </c>
      <c r="G28" s="449">
        <v>2500000</v>
      </c>
      <c r="H28" s="449">
        <f>222930+16089</f>
        <v>239019</v>
      </c>
      <c r="I28" s="449">
        <f>639257+204750</f>
        <v>844007</v>
      </c>
      <c r="J28" s="449">
        <v>682234</v>
      </c>
      <c r="K28" s="449">
        <f t="shared" si="1"/>
        <v>1526241</v>
      </c>
      <c r="L28" s="449">
        <f t="shared" si="2"/>
        <v>1765260</v>
      </c>
      <c r="M28" s="449">
        <f t="shared" si="3"/>
        <v>734740</v>
      </c>
      <c r="N28" s="449"/>
      <c r="O28" s="449">
        <f t="shared" si="4"/>
        <v>0</v>
      </c>
      <c r="P28" s="449">
        <f t="shared" si="5"/>
        <v>734740</v>
      </c>
      <c r="Q28" s="449"/>
      <c r="R28" s="449"/>
      <c r="S28" s="449">
        <f t="shared" si="6"/>
        <v>0</v>
      </c>
      <c r="T28" s="449">
        <f t="shared" si="7"/>
        <v>0</v>
      </c>
      <c r="U28" s="449">
        <f t="shared" si="8"/>
        <v>0</v>
      </c>
      <c r="V28" s="449"/>
      <c r="W28" s="449">
        <f t="shared" si="11"/>
        <v>0</v>
      </c>
      <c r="X28" s="449"/>
      <c r="Y28" s="449"/>
      <c r="Z28" s="449"/>
      <c r="AA28" s="448"/>
      <c r="AB28" s="448" t="s">
        <v>841</v>
      </c>
      <c r="AC28" s="448">
        <v>850000</v>
      </c>
      <c r="AD28" s="449"/>
      <c r="AE28" s="449"/>
      <c r="AF28" s="449"/>
      <c r="AG28" s="449"/>
      <c r="AH28" s="449"/>
      <c r="AI28" s="449"/>
      <c r="AJ28" s="449"/>
      <c r="AK28" s="449"/>
      <c r="AL28" s="449"/>
      <c r="AM28" s="449"/>
      <c r="AN28" s="449">
        <f t="shared" si="12"/>
        <v>0</v>
      </c>
      <c r="AO28" s="449">
        <f t="shared" si="9"/>
        <v>0</v>
      </c>
      <c r="AP28" s="449"/>
      <c r="AQ28" s="449">
        <f t="shared" si="13"/>
        <v>0</v>
      </c>
      <c r="AR28" s="449"/>
      <c r="AS28" s="449"/>
      <c r="AT28" s="449"/>
      <c r="AU28" s="449"/>
      <c r="AV28" s="449"/>
      <c r="AW28" s="449">
        <f t="shared" si="14"/>
        <v>0</v>
      </c>
      <c r="AX28" s="449"/>
      <c r="AY28" s="449"/>
      <c r="AZ28" s="449"/>
      <c r="BA28" s="449"/>
    </row>
    <row r="29" spans="1:53" s="842" customFormat="1" ht="30" customHeight="1">
      <c r="A29" s="448">
        <f t="shared" si="10"/>
        <v>24</v>
      </c>
      <c r="B29" s="448">
        <v>1966</v>
      </c>
      <c r="C29" s="448" t="s">
        <v>1070</v>
      </c>
      <c r="D29" s="449">
        <v>1700000</v>
      </c>
      <c r="E29" s="449">
        <v>1700000</v>
      </c>
      <c r="F29" s="449">
        <f t="shared" si="0"/>
        <v>0</v>
      </c>
      <c r="G29" s="449">
        <v>1700000</v>
      </c>
      <c r="H29" s="449">
        <v>1678903</v>
      </c>
      <c r="I29" s="449">
        <v>21096</v>
      </c>
      <c r="J29" s="449">
        <v>0</v>
      </c>
      <c r="K29" s="449">
        <f t="shared" si="1"/>
        <v>21096</v>
      </c>
      <c r="L29" s="449">
        <f t="shared" si="2"/>
        <v>1699999</v>
      </c>
      <c r="M29" s="449">
        <f t="shared" si="3"/>
        <v>1</v>
      </c>
      <c r="N29" s="449"/>
      <c r="O29" s="449">
        <f t="shared" si="4"/>
        <v>0</v>
      </c>
      <c r="P29" s="449">
        <f t="shared" si="5"/>
        <v>1</v>
      </c>
      <c r="Q29" s="449"/>
      <c r="R29" s="449"/>
      <c r="S29" s="449">
        <f t="shared" si="6"/>
        <v>0</v>
      </c>
      <c r="T29" s="449">
        <f t="shared" si="7"/>
        <v>0</v>
      </c>
      <c r="U29" s="449">
        <f t="shared" si="8"/>
        <v>0</v>
      </c>
      <c r="V29" s="449"/>
      <c r="W29" s="449">
        <f t="shared" si="11"/>
        <v>0</v>
      </c>
      <c r="X29" s="449"/>
      <c r="Y29" s="449"/>
      <c r="Z29" s="449"/>
      <c r="AA29" s="448"/>
      <c r="AB29" s="448" t="s">
        <v>567</v>
      </c>
      <c r="AC29" s="448">
        <v>870000</v>
      </c>
      <c r="AD29" s="449"/>
      <c r="AE29" s="449"/>
      <c r="AF29" s="449"/>
      <c r="AG29" s="449"/>
      <c r="AH29" s="449"/>
      <c r="AI29" s="449"/>
      <c r="AJ29" s="449"/>
      <c r="AK29" s="449"/>
      <c r="AL29" s="449"/>
      <c r="AM29" s="449"/>
      <c r="AN29" s="449">
        <f t="shared" si="12"/>
        <v>0</v>
      </c>
      <c r="AO29" s="449">
        <f t="shared" si="9"/>
        <v>0</v>
      </c>
      <c r="AP29" s="449"/>
      <c r="AQ29" s="449">
        <f t="shared" si="13"/>
        <v>0</v>
      </c>
      <c r="AR29" s="449"/>
      <c r="AS29" s="449"/>
      <c r="AT29" s="449"/>
      <c r="AU29" s="449"/>
      <c r="AV29" s="449"/>
      <c r="AW29" s="449">
        <f t="shared" si="14"/>
        <v>0</v>
      </c>
      <c r="AX29" s="449"/>
      <c r="AY29" s="449"/>
      <c r="AZ29" s="449"/>
      <c r="BA29" s="449"/>
    </row>
    <row r="30" spans="1:53" s="842" customFormat="1" ht="30" customHeight="1">
      <c r="A30" s="448">
        <f t="shared" si="10"/>
        <v>25</v>
      </c>
      <c r="B30" s="448">
        <v>1967</v>
      </c>
      <c r="C30" s="448" t="s">
        <v>117</v>
      </c>
      <c r="D30" s="449">
        <v>12929000</v>
      </c>
      <c r="E30" s="449">
        <v>12929000</v>
      </c>
      <c r="F30" s="449">
        <f t="shared" si="0"/>
        <v>0</v>
      </c>
      <c r="G30" s="449">
        <v>12529000</v>
      </c>
      <c r="H30" s="449">
        <v>4842895</v>
      </c>
      <c r="I30" s="449">
        <v>0</v>
      </c>
      <c r="J30" s="449">
        <v>6624095</v>
      </c>
      <c r="K30" s="449">
        <f t="shared" si="1"/>
        <v>6624095</v>
      </c>
      <c r="L30" s="449">
        <f t="shared" si="2"/>
        <v>11466990</v>
      </c>
      <c r="M30" s="449">
        <f>P30+S30-500000</f>
        <v>562010</v>
      </c>
      <c r="N30" s="449">
        <f>400000-400000</f>
        <v>0</v>
      </c>
      <c r="O30" s="449">
        <f t="shared" si="4"/>
        <v>900000</v>
      </c>
      <c r="P30" s="449">
        <f t="shared" si="5"/>
        <v>1062010</v>
      </c>
      <c r="Q30" s="449"/>
      <c r="R30" s="449"/>
      <c r="S30" s="449">
        <f t="shared" si="6"/>
        <v>0</v>
      </c>
      <c r="T30" s="449">
        <f t="shared" si="7"/>
        <v>500000</v>
      </c>
      <c r="U30" s="449">
        <f t="shared" si="8"/>
        <v>-500000</v>
      </c>
      <c r="V30" s="449">
        <v>-500000</v>
      </c>
      <c r="W30" s="449">
        <f t="shared" si="11"/>
        <v>0</v>
      </c>
      <c r="X30" s="449"/>
      <c r="Y30" s="449"/>
      <c r="Z30" s="449"/>
      <c r="AA30" s="448"/>
      <c r="AB30" s="448" t="s">
        <v>568</v>
      </c>
      <c r="AC30" s="448">
        <v>810000</v>
      </c>
      <c r="AD30" s="449"/>
      <c r="AE30" s="449"/>
      <c r="AF30" s="449"/>
      <c r="AG30" s="449"/>
      <c r="AH30" s="449"/>
      <c r="AI30" s="449">
        <v>-500000</v>
      </c>
      <c r="AJ30" s="449"/>
      <c r="AK30" s="449"/>
      <c r="AL30" s="449"/>
      <c r="AM30" s="449"/>
      <c r="AN30" s="449">
        <f t="shared" si="12"/>
        <v>-500000</v>
      </c>
      <c r="AO30" s="449">
        <f t="shared" si="9"/>
        <v>0</v>
      </c>
      <c r="AP30" s="449">
        <v>-500000</v>
      </c>
      <c r="AQ30" s="449">
        <f t="shared" si="13"/>
        <v>0</v>
      </c>
      <c r="AR30" s="449"/>
      <c r="AS30" s="449"/>
      <c r="AT30" s="449"/>
      <c r="AU30" s="449"/>
      <c r="AV30" s="449"/>
      <c r="AW30" s="449">
        <f t="shared" si="14"/>
        <v>0</v>
      </c>
      <c r="AX30" s="449"/>
      <c r="AY30" s="449"/>
      <c r="AZ30" s="449"/>
      <c r="BA30" s="449"/>
    </row>
    <row r="31" spans="1:53" s="842" customFormat="1" ht="30" customHeight="1">
      <c r="A31" s="448">
        <f t="shared" si="10"/>
        <v>26</v>
      </c>
      <c r="B31" s="448">
        <v>1968</v>
      </c>
      <c r="C31" s="448" t="s">
        <v>791</v>
      </c>
      <c r="D31" s="449">
        <v>2170000</v>
      </c>
      <c r="E31" s="449">
        <v>2170000</v>
      </c>
      <c r="F31" s="449">
        <f t="shared" si="0"/>
        <v>0</v>
      </c>
      <c r="G31" s="449">
        <v>2170000</v>
      </c>
      <c r="H31" s="449">
        <v>1812735</v>
      </c>
      <c r="I31" s="449">
        <v>0</v>
      </c>
      <c r="J31" s="449">
        <v>7192</v>
      </c>
      <c r="K31" s="449">
        <f t="shared" si="1"/>
        <v>7192</v>
      </c>
      <c r="L31" s="449">
        <f t="shared" si="2"/>
        <v>1819927</v>
      </c>
      <c r="M31" s="449">
        <f t="shared" si="3"/>
        <v>350073</v>
      </c>
      <c r="N31" s="449"/>
      <c r="O31" s="449">
        <f t="shared" si="4"/>
        <v>0</v>
      </c>
      <c r="P31" s="449">
        <f t="shared" si="5"/>
        <v>350073</v>
      </c>
      <c r="Q31" s="449"/>
      <c r="R31" s="449"/>
      <c r="S31" s="449">
        <f t="shared" si="6"/>
        <v>0</v>
      </c>
      <c r="T31" s="449">
        <f t="shared" si="7"/>
        <v>0</v>
      </c>
      <c r="U31" s="449">
        <f t="shared" si="8"/>
        <v>0</v>
      </c>
      <c r="V31" s="449"/>
      <c r="W31" s="449">
        <f t="shared" si="11"/>
        <v>0</v>
      </c>
      <c r="X31" s="449"/>
      <c r="Y31" s="449"/>
      <c r="Z31" s="449"/>
      <c r="AA31" s="448"/>
      <c r="AB31" s="323" t="s">
        <v>602</v>
      </c>
      <c r="AC31" s="323">
        <v>848500</v>
      </c>
      <c r="AD31" s="449"/>
      <c r="AE31" s="449"/>
      <c r="AF31" s="449"/>
      <c r="AG31" s="449"/>
      <c r="AH31" s="449"/>
      <c r="AI31" s="449"/>
      <c r="AJ31" s="449"/>
      <c r="AK31" s="449"/>
      <c r="AL31" s="449"/>
      <c r="AM31" s="449"/>
      <c r="AN31" s="449">
        <f t="shared" si="12"/>
        <v>0</v>
      </c>
      <c r="AO31" s="449">
        <f t="shared" si="9"/>
        <v>0</v>
      </c>
      <c r="AP31" s="449"/>
      <c r="AQ31" s="449">
        <f t="shared" si="13"/>
        <v>0</v>
      </c>
      <c r="AR31" s="449"/>
      <c r="AS31" s="449"/>
      <c r="AT31" s="449"/>
      <c r="AU31" s="449"/>
      <c r="AV31" s="449"/>
      <c r="AW31" s="449">
        <f t="shared" si="14"/>
        <v>0</v>
      </c>
      <c r="AX31" s="449"/>
      <c r="AY31" s="449"/>
      <c r="AZ31" s="449"/>
      <c r="BA31" s="449"/>
    </row>
    <row r="32" spans="1:53" s="842" customFormat="1" ht="30" customHeight="1">
      <c r="A32" s="448">
        <f t="shared" si="10"/>
        <v>27</v>
      </c>
      <c r="B32" s="448">
        <v>1970</v>
      </c>
      <c r="C32" s="448" t="s">
        <v>123</v>
      </c>
      <c r="D32" s="449">
        <v>32500000</v>
      </c>
      <c r="E32" s="449">
        <v>32500000</v>
      </c>
      <c r="F32" s="449">
        <f t="shared" si="0"/>
        <v>0</v>
      </c>
      <c r="G32" s="449">
        <v>32500000</v>
      </c>
      <c r="H32" s="449">
        <v>32372422</v>
      </c>
      <c r="I32" s="449">
        <v>35837</v>
      </c>
      <c r="J32" s="449">
        <v>62753</v>
      </c>
      <c r="K32" s="449">
        <f t="shared" si="1"/>
        <v>98590</v>
      </c>
      <c r="L32" s="449">
        <f t="shared" si="2"/>
        <v>32471012</v>
      </c>
      <c r="M32" s="449">
        <f t="shared" si="3"/>
        <v>28988</v>
      </c>
      <c r="N32" s="449"/>
      <c r="O32" s="449">
        <f t="shared" si="4"/>
        <v>0</v>
      </c>
      <c r="P32" s="449">
        <f t="shared" si="5"/>
        <v>28988</v>
      </c>
      <c r="Q32" s="449"/>
      <c r="R32" s="449"/>
      <c r="S32" s="449">
        <f t="shared" si="6"/>
        <v>0</v>
      </c>
      <c r="T32" s="449">
        <f t="shared" si="7"/>
        <v>0</v>
      </c>
      <c r="U32" s="449">
        <f t="shared" si="8"/>
        <v>0</v>
      </c>
      <c r="V32" s="449"/>
      <c r="W32" s="449">
        <f t="shared" si="11"/>
        <v>0</v>
      </c>
      <c r="X32" s="449"/>
      <c r="Y32" s="449"/>
      <c r="Z32" s="449"/>
      <c r="AA32" s="448"/>
      <c r="AB32" s="448" t="s">
        <v>842</v>
      </c>
      <c r="AC32" s="448">
        <v>810000</v>
      </c>
      <c r="AD32" s="449"/>
      <c r="AE32" s="449"/>
      <c r="AF32" s="449"/>
      <c r="AG32" s="449"/>
      <c r="AH32" s="449"/>
      <c r="AI32" s="449"/>
      <c r="AJ32" s="449"/>
      <c r="AK32" s="449"/>
      <c r="AL32" s="449"/>
      <c r="AM32" s="449"/>
      <c r="AN32" s="449">
        <f t="shared" si="12"/>
        <v>0</v>
      </c>
      <c r="AO32" s="449">
        <f t="shared" si="9"/>
        <v>0</v>
      </c>
      <c r="AP32" s="449"/>
      <c r="AQ32" s="449">
        <f t="shared" si="13"/>
        <v>0</v>
      </c>
      <c r="AR32" s="449"/>
      <c r="AS32" s="449"/>
      <c r="AT32" s="449"/>
      <c r="AU32" s="449"/>
      <c r="AV32" s="449"/>
      <c r="AW32" s="449">
        <f t="shared" si="14"/>
        <v>0</v>
      </c>
      <c r="AX32" s="449"/>
      <c r="AY32" s="449"/>
      <c r="AZ32" s="449"/>
      <c r="BA32" s="449"/>
    </row>
    <row r="33" spans="1:53" s="842" customFormat="1" ht="30" customHeight="1">
      <c r="A33" s="448">
        <f t="shared" si="10"/>
        <v>28</v>
      </c>
      <c r="B33" s="448">
        <v>1973</v>
      </c>
      <c r="C33" s="448" t="s">
        <v>119</v>
      </c>
      <c r="D33" s="449">
        <f>3000000-500000</f>
        <v>2500000</v>
      </c>
      <c r="E33" s="449">
        <v>2500000</v>
      </c>
      <c r="F33" s="449">
        <f t="shared" si="0"/>
        <v>0</v>
      </c>
      <c r="G33" s="449">
        <v>1950000</v>
      </c>
      <c r="H33" s="449">
        <v>1264790</v>
      </c>
      <c r="I33" s="449">
        <v>0</v>
      </c>
      <c r="J33" s="449">
        <v>460497</v>
      </c>
      <c r="K33" s="449">
        <f t="shared" si="1"/>
        <v>460497</v>
      </c>
      <c r="L33" s="449">
        <f t="shared" si="2"/>
        <v>1725287</v>
      </c>
      <c r="M33" s="449">
        <f t="shared" si="3"/>
        <v>224713</v>
      </c>
      <c r="N33" s="449">
        <f>1000000-500000-200000</f>
        <v>300000</v>
      </c>
      <c r="O33" s="449">
        <f t="shared" si="4"/>
        <v>250000</v>
      </c>
      <c r="P33" s="449">
        <f t="shared" si="5"/>
        <v>224713</v>
      </c>
      <c r="Q33" s="449"/>
      <c r="R33" s="449"/>
      <c r="S33" s="449">
        <f t="shared" si="6"/>
        <v>0</v>
      </c>
      <c r="T33" s="449">
        <f t="shared" si="7"/>
        <v>0</v>
      </c>
      <c r="U33" s="449">
        <f t="shared" si="8"/>
        <v>300000</v>
      </c>
      <c r="V33" s="449"/>
      <c r="W33" s="419">
        <f t="shared" si="11"/>
        <v>300000</v>
      </c>
      <c r="X33" s="449"/>
      <c r="Y33" s="449"/>
      <c r="Z33" s="449"/>
      <c r="AA33" s="449"/>
      <c r="AB33" s="448" t="s">
        <v>764</v>
      </c>
      <c r="AC33" s="448">
        <v>742000</v>
      </c>
      <c r="AD33" s="449"/>
      <c r="AE33" s="449">
        <v>300000</v>
      </c>
      <c r="AF33" s="449"/>
      <c r="AG33" s="449"/>
      <c r="AH33" s="449"/>
      <c r="AI33" s="449"/>
      <c r="AJ33" s="449"/>
      <c r="AK33" s="449"/>
      <c r="AL33" s="449"/>
      <c r="AM33" s="449"/>
      <c r="AN33" s="449">
        <f t="shared" si="12"/>
        <v>300000</v>
      </c>
      <c r="AO33" s="449">
        <f t="shared" si="9"/>
        <v>0</v>
      </c>
      <c r="AP33" s="449"/>
      <c r="AQ33" s="449">
        <f t="shared" si="13"/>
        <v>300000</v>
      </c>
      <c r="AR33" s="449"/>
      <c r="AS33" s="449"/>
      <c r="AT33" s="449"/>
      <c r="AU33" s="449"/>
      <c r="AV33" s="449"/>
      <c r="AW33" s="449">
        <f t="shared" si="14"/>
        <v>0</v>
      </c>
      <c r="AX33" s="449"/>
      <c r="AY33" s="449"/>
      <c r="AZ33" s="449"/>
      <c r="BA33" s="449"/>
    </row>
    <row r="34" spans="1:53" s="842" customFormat="1" ht="30" customHeight="1">
      <c r="A34" s="448">
        <f t="shared" si="10"/>
        <v>29</v>
      </c>
      <c r="B34" s="448">
        <v>2028</v>
      </c>
      <c r="C34" s="448" t="s">
        <v>270</v>
      </c>
      <c r="D34" s="449">
        <v>2435000</v>
      </c>
      <c r="E34" s="449">
        <v>2435000</v>
      </c>
      <c r="F34" s="449">
        <f t="shared" si="0"/>
        <v>0</v>
      </c>
      <c r="G34" s="449">
        <v>2435000</v>
      </c>
      <c r="H34" s="449">
        <v>2414757</v>
      </c>
      <c r="I34" s="449">
        <v>19766</v>
      </c>
      <c r="J34" s="449">
        <v>0</v>
      </c>
      <c r="K34" s="449">
        <f t="shared" si="1"/>
        <v>19766</v>
      </c>
      <c r="L34" s="449">
        <f t="shared" si="2"/>
        <v>2434523</v>
      </c>
      <c r="M34" s="449">
        <f t="shared" si="3"/>
        <v>477</v>
      </c>
      <c r="N34" s="449"/>
      <c r="O34" s="449">
        <f t="shared" si="4"/>
        <v>0</v>
      </c>
      <c r="P34" s="449">
        <f t="shared" si="5"/>
        <v>477</v>
      </c>
      <c r="Q34" s="449"/>
      <c r="R34" s="449"/>
      <c r="S34" s="449">
        <f t="shared" si="6"/>
        <v>0</v>
      </c>
      <c r="T34" s="449">
        <f t="shared" si="7"/>
        <v>0</v>
      </c>
      <c r="U34" s="449">
        <f t="shared" si="8"/>
        <v>0</v>
      </c>
      <c r="V34" s="449"/>
      <c r="W34" s="449">
        <f t="shared" si="11"/>
        <v>0</v>
      </c>
      <c r="X34" s="449"/>
      <c r="Y34" s="449"/>
      <c r="Z34" s="449"/>
      <c r="AA34" s="448"/>
      <c r="AB34" s="448" t="s">
        <v>389</v>
      </c>
      <c r="AC34" s="448">
        <v>810000</v>
      </c>
      <c r="AD34" s="449"/>
      <c r="AE34" s="449"/>
      <c r="AF34" s="449"/>
      <c r="AG34" s="449"/>
      <c r="AH34" s="449"/>
      <c r="AI34" s="449"/>
      <c r="AJ34" s="449"/>
      <c r="AK34" s="449"/>
      <c r="AL34" s="449"/>
      <c r="AM34" s="449"/>
      <c r="AN34" s="449">
        <f t="shared" si="12"/>
        <v>0</v>
      </c>
      <c r="AO34" s="449">
        <f t="shared" si="9"/>
        <v>0</v>
      </c>
      <c r="AP34" s="449"/>
      <c r="AQ34" s="449">
        <f t="shared" si="13"/>
        <v>0</v>
      </c>
      <c r="AR34" s="449"/>
      <c r="AS34" s="449"/>
      <c r="AT34" s="449"/>
      <c r="AU34" s="449"/>
      <c r="AV34" s="449"/>
      <c r="AW34" s="449">
        <f t="shared" si="14"/>
        <v>0</v>
      </c>
      <c r="AX34" s="449"/>
      <c r="AY34" s="449"/>
      <c r="AZ34" s="449"/>
      <c r="BA34" s="449"/>
    </row>
    <row r="35" spans="1:53" s="842" customFormat="1" ht="30" customHeight="1">
      <c r="A35" s="448">
        <f t="shared" si="10"/>
        <v>30</v>
      </c>
      <c r="B35" s="448">
        <v>2030</v>
      </c>
      <c r="C35" s="448" t="s">
        <v>231</v>
      </c>
      <c r="D35" s="449">
        <v>31500000</v>
      </c>
      <c r="E35" s="449">
        <v>31500000</v>
      </c>
      <c r="F35" s="449">
        <f t="shared" si="0"/>
        <v>0</v>
      </c>
      <c r="G35" s="449">
        <v>16421977</v>
      </c>
      <c r="H35" s="449">
        <f>6344826+1560617</f>
        <v>7905443</v>
      </c>
      <c r="I35" s="449">
        <f>4846505+271685</f>
        <v>5118190</v>
      </c>
      <c r="J35" s="449">
        <v>116547</v>
      </c>
      <c r="K35" s="449">
        <f t="shared" si="1"/>
        <v>5234737</v>
      </c>
      <c r="L35" s="449">
        <f t="shared" si="2"/>
        <v>13140180</v>
      </c>
      <c r="M35" s="449">
        <f t="shared" si="3"/>
        <v>3281797</v>
      </c>
      <c r="N35" s="488">
        <f>4800000-100000</f>
        <v>4700000</v>
      </c>
      <c r="O35" s="449">
        <f t="shared" si="4"/>
        <v>10378023</v>
      </c>
      <c r="P35" s="449">
        <f t="shared" si="5"/>
        <v>3281797</v>
      </c>
      <c r="Q35" s="449"/>
      <c r="R35" s="449"/>
      <c r="S35" s="449">
        <f t="shared" si="6"/>
        <v>0</v>
      </c>
      <c r="T35" s="449">
        <f t="shared" si="7"/>
        <v>0</v>
      </c>
      <c r="U35" s="449">
        <f t="shared" si="8"/>
        <v>4700000</v>
      </c>
      <c r="V35" s="449"/>
      <c r="W35" s="449">
        <f t="shared" si="11"/>
        <v>909061</v>
      </c>
      <c r="X35" s="449"/>
      <c r="Y35" s="449"/>
      <c r="Z35" s="449"/>
      <c r="AA35" s="449">
        <f>496139+3368300-73500</f>
        <v>3790939</v>
      </c>
      <c r="AB35" s="448" t="s">
        <v>907</v>
      </c>
      <c r="AC35" s="448">
        <v>810000</v>
      </c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>
        <f t="shared" si="12"/>
        <v>0</v>
      </c>
      <c r="AO35" s="449">
        <f t="shared" si="9"/>
        <v>4700000</v>
      </c>
      <c r="AP35" s="449"/>
      <c r="AQ35" s="449">
        <f t="shared" si="13"/>
        <v>0</v>
      </c>
      <c r="AR35" s="449"/>
      <c r="AS35" s="449"/>
      <c r="AT35" s="449"/>
      <c r="AU35" s="449"/>
      <c r="AV35" s="449"/>
      <c r="AW35" s="449">
        <f t="shared" si="14"/>
        <v>0</v>
      </c>
      <c r="AX35" s="449"/>
      <c r="AY35" s="449"/>
      <c r="AZ35" s="449"/>
      <c r="BA35" s="449"/>
    </row>
    <row r="36" spans="1:53" s="842" customFormat="1" ht="30" customHeight="1">
      <c r="A36" s="448">
        <f t="shared" si="10"/>
        <v>31</v>
      </c>
      <c r="B36" s="448">
        <v>2037</v>
      </c>
      <c r="C36" s="448" t="s">
        <v>372</v>
      </c>
      <c r="D36" s="449">
        <v>5000000</v>
      </c>
      <c r="E36" s="449">
        <v>5000000</v>
      </c>
      <c r="F36" s="449">
        <f t="shared" si="0"/>
        <v>0</v>
      </c>
      <c r="G36" s="449">
        <v>1500000</v>
      </c>
      <c r="H36" s="449">
        <v>741383.86</v>
      </c>
      <c r="I36" s="449">
        <v>0</v>
      </c>
      <c r="J36" s="449">
        <v>372633.03</v>
      </c>
      <c r="K36" s="449">
        <f t="shared" si="1"/>
        <v>372633.03</v>
      </c>
      <c r="L36" s="449">
        <f t="shared" si="2"/>
        <v>1114016.8900000001</v>
      </c>
      <c r="M36" s="449">
        <f t="shared" si="3"/>
        <v>685983.10999999987</v>
      </c>
      <c r="N36" s="449">
        <v>500000</v>
      </c>
      <c r="O36" s="449">
        <f t="shared" si="4"/>
        <v>2700000</v>
      </c>
      <c r="P36" s="449">
        <f t="shared" si="5"/>
        <v>385983.10999999987</v>
      </c>
      <c r="Q36" s="482">
        <v>300000</v>
      </c>
      <c r="R36" s="449"/>
      <c r="S36" s="449">
        <f t="shared" si="6"/>
        <v>300000</v>
      </c>
      <c r="T36" s="449">
        <f t="shared" si="7"/>
        <v>0</v>
      </c>
      <c r="U36" s="449">
        <f t="shared" si="8"/>
        <v>500000</v>
      </c>
      <c r="V36" s="449"/>
      <c r="W36" s="419">
        <f t="shared" si="11"/>
        <v>500000</v>
      </c>
      <c r="X36" s="449"/>
      <c r="Y36" s="449"/>
      <c r="Z36" s="449"/>
      <c r="AA36" s="449"/>
      <c r="AB36" s="448" t="s">
        <v>843</v>
      </c>
      <c r="AC36" s="448">
        <v>870000</v>
      </c>
      <c r="AD36" s="449"/>
      <c r="AE36" s="449"/>
      <c r="AF36" s="449"/>
      <c r="AG36" s="449"/>
      <c r="AH36" s="449"/>
      <c r="AI36" s="449"/>
      <c r="AJ36" s="449"/>
      <c r="AK36" s="449">
        <v>500000</v>
      </c>
      <c r="AL36" s="449"/>
      <c r="AM36" s="449"/>
      <c r="AN36" s="449">
        <f t="shared" si="12"/>
        <v>500000</v>
      </c>
      <c r="AO36" s="449">
        <f t="shared" si="9"/>
        <v>0</v>
      </c>
      <c r="AP36" s="449"/>
      <c r="AQ36" s="449">
        <f t="shared" si="13"/>
        <v>500000</v>
      </c>
      <c r="AR36" s="449"/>
      <c r="AS36" s="449"/>
      <c r="AT36" s="449"/>
      <c r="AU36" s="449"/>
      <c r="AV36" s="449"/>
      <c r="AW36" s="449">
        <f t="shared" si="14"/>
        <v>0</v>
      </c>
      <c r="AX36" s="449"/>
      <c r="AY36" s="449"/>
      <c r="AZ36" s="449"/>
      <c r="BA36" s="449"/>
    </row>
    <row r="37" spans="1:53" s="842" customFormat="1" ht="30" customHeight="1">
      <c r="A37" s="448">
        <f t="shared" si="10"/>
        <v>32</v>
      </c>
      <c r="B37" s="448">
        <v>2038</v>
      </c>
      <c r="C37" s="448" t="s">
        <v>396</v>
      </c>
      <c r="D37" s="449">
        <v>6000000</v>
      </c>
      <c r="E37" s="449">
        <v>4950000</v>
      </c>
      <c r="F37" s="449">
        <f t="shared" si="0"/>
        <v>1050000</v>
      </c>
      <c r="G37" s="449">
        <v>4450000</v>
      </c>
      <c r="H37" s="449">
        <v>3639925.66</v>
      </c>
      <c r="I37" s="449">
        <v>0</v>
      </c>
      <c r="J37" s="449">
        <v>775562.61</v>
      </c>
      <c r="K37" s="449">
        <f t="shared" si="1"/>
        <v>775562.61</v>
      </c>
      <c r="L37" s="449">
        <f t="shared" si="2"/>
        <v>4415488.2700000005</v>
      </c>
      <c r="M37" s="449">
        <f t="shared" si="3"/>
        <v>34511.729999999516</v>
      </c>
      <c r="N37" s="449">
        <f>1000000-200000</f>
        <v>800000</v>
      </c>
      <c r="O37" s="449">
        <f t="shared" si="4"/>
        <v>750000</v>
      </c>
      <c r="P37" s="449">
        <f t="shared" si="5"/>
        <v>34511.729999999516</v>
      </c>
      <c r="Q37" s="449"/>
      <c r="R37" s="449"/>
      <c r="S37" s="449">
        <f t="shared" si="6"/>
        <v>0</v>
      </c>
      <c r="T37" s="449">
        <f t="shared" si="7"/>
        <v>0</v>
      </c>
      <c r="U37" s="449">
        <f t="shared" si="8"/>
        <v>800000</v>
      </c>
      <c r="V37" s="449"/>
      <c r="W37" s="419">
        <f t="shared" si="11"/>
        <v>800000</v>
      </c>
      <c r="X37" s="449"/>
      <c r="Y37" s="449"/>
      <c r="Z37" s="449"/>
      <c r="AA37" s="449"/>
      <c r="AB37" s="448" t="s">
        <v>416</v>
      </c>
      <c r="AC37" s="448">
        <v>810000</v>
      </c>
      <c r="AD37" s="449"/>
      <c r="AE37" s="449"/>
      <c r="AF37" s="449">
        <v>300000</v>
      </c>
      <c r="AG37" s="449"/>
      <c r="AH37" s="449">
        <v>500000</v>
      </c>
      <c r="AI37" s="449"/>
      <c r="AJ37" s="449"/>
      <c r="AK37" s="449"/>
      <c r="AL37" s="449"/>
      <c r="AM37" s="449"/>
      <c r="AN37" s="449">
        <f t="shared" si="12"/>
        <v>800000</v>
      </c>
      <c r="AO37" s="449">
        <f t="shared" si="9"/>
        <v>0</v>
      </c>
      <c r="AP37" s="449"/>
      <c r="AQ37" s="449">
        <f t="shared" si="13"/>
        <v>800000</v>
      </c>
      <c r="AR37" s="449"/>
      <c r="AS37" s="449"/>
      <c r="AT37" s="449"/>
      <c r="AU37" s="449"/>
      <c r="AV37" s="449"/>
      <c r="AW37" s="449">
        <f t="shared" si="14"/>
        <v>0</v>
      </c>
      <c r="AX37" s="449"/>
      <c r="AY37" s="449"/>
      <c r="AZ37" s="449"/>
      <c r="BA37" s="449"/>
    </row>
    <row r="38" spans="1:53" s="842" customFormat="1" ht="30" customHeight="1">
      <c r="A38" s="448">
        <f t="shared" si="10"/>
        <v>33</v>
      </c>
      <c r="B38" s="448">
        <v>2039</v>
      </c>
      <c r="C38" s="448" t="s">
        <v>130</v>
      </c>
      <c r="D38" s="449">
        <v>535000</v>
      </c>
      <c r="E38" s="449">
        <v>535000</v>
      </c>
      <c r="F38" s="449">
        <f t="shared" si="0"/>
        <v>0</v>
      </c>
      <c r="G38" s="449">
        <v>385000</v>
      </c>
      <c r="H38" s="449">
        <v>34999</v>
      </c>
      <c r="I38" s="449">
        <v>0</v>
      </c>
      <c r="J38" s="449">
        <v>145720.4</v>
      </c>
      <c r="K38" s="449">
        <f t="shared" si="1"/>
        <v>145720.4</v>
      </c>
      <c r="L38" s="449">
        <f t="shared" si="2"/>
        <v>180719.4</v>
      </c>
      <c r="M38" s="449">
        <f t="shared" si="3"/>
        <v>354280.6</v>
      </c>
      <c r="N38" s="449">
        <v>0</v>
      </c>
      <c r="O38" s="449">
        <f t="shared" si="4"/>
        <v>0</v>
      </c>
      <c r="P38" s="449">
        <f t="shared" si="5"/>
        <v>204280.6</v>
      </c>
      <c r="Q38" s="482">
        <v>150000</v>
      </c>
      <c r="R38" s="449"/>
      <c r="S38" s="449">
        <f t="shared" si="6"/>
        <v>150000</v>
      </c>
      <c r="T38" s="449">
        <f t="shared" si="7"/>
        <v>0</v>
      </c>
      <c r="U38" s="449">
        <f t="shared" si="8"/>
        <v>0</v>
      </c>
      <c r="V38" s="449"/>
      <c r="W38" s="419">
        <f t="shared" si="11"/>
        <v>0</v>
      </c>
      <c r="X38" s="449"/>
      <c r="Y38" s="449"/>
      <c r="Z38" s="449"/>
      <c r="AA38" s="449"/>
      <c r="AB38" s="484" t="s">
        <v>508</v>
      </c>
      <c r="AC38" s="448">
        <v>760000</v>
      </c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>
        <f t="shared" si="12"/>
        <v>0</v>
      </c>
      <c r="AO38" s="449">
        <f t="shared" si="9"/>
        <v>0</v>
      </c>
      <c r="AP38" s="449"/>
      <c r="AQ38" s="449">
        <f t="shared" si="13"/>
        <v>0</v>
      </c>
      <c r="AR38" s="449"/>
      <c r="AS38" s="449"/>
      <c r="AT38" s="449"/>
      <c r="AU38" s="449"/>
      <c r="AV38" s="449"/>
      <c r="AW38" s="449">
        <f t="shared" si="14"/>
        <v>0</v>
      </c>
      <c r="AX38" s="449"/>
      <c r="AY38" s="449"/>
      <c r="AZ38" s="449"/>
      <c r="BA38" s="449"/>
    </row>
    <row r="39" spans="1:53" s="842" customFormat="1" ht="30" customHeight="1">
      <c r="A39" s="448">
        <f t="shared" si="10"/>
        <v>34</v>
      </c>
      <c r="B39" s="448">
        <v>2040</v>
      </c>
      <c r="C39" s="448" t="s">
        <v>281</v>
      </c>
      <c r="D39" s="449">
        <v>2710000</v>
      </c>
      <c r="E39" s="449">
        <v>1210000</v>
      </c>
      <c r="F39" s="449">
        <f t="shared" si="0"/>
        <v>1500000</v>
      </c>
      <c r="G39" s="449">
        <v>1210000</v>
      </c>
      <c r="H39" s="449">
        <v>832911</v>
      </c>
      <c r="I39" s="449">
        <v>0</v>
      </c>
      <c r="J39" s="449">
        <v>0</v>
      </c>
      <c r="K39" s="449">
        <f t="shared" si="1"/>
        <v>0</v>
      </c>
      <c r="L39" s="449">
        <f t="shared" si="2"/>
        <v>832911</v>
      </c>
      <c r="M39" s="449">
        <f t="shared" si="3"/>
        <v>377089</v>
      </c>
      <c r="N39" s="449">
        <f>1500000-800000</f>
        <v>700000</v>
      </c>
      <c r="O39" s="449">
        <f t="shared" si="4"/>
        <v>800000</v>
      </c>
      <c r="P39" s="449">
        <f t="shared" si="5"/>
        <v>377089</v>
      </c>
      <c r="Q39" s="449"/>
      <c r="R39" s="449"/>
      <c r="S39" s="449">
        <f t="shared" si="6"/>
        <v>0</v>
      </c>
      <c r="T39" s="449">
        <f t="shared" si="7"/>
        <v>0</v>
      </c>
      <c r="U39" s="449">
        <f t="shared" si="8"/>
        <v>700000</v>
      </c>
      <c r="V39" s="449"/>
      <c r="W39" s="419">
        <f t="shared" si="11"/>
        <v>700000</v>
      </c>
      <c r="X39" s="449"/>
      <c r="Y39" s="449"/>
      <c r="Z39" s="449"/>
      <c r="AA39" s="449"/>
      <c r="AB39" s="448" t="s">
        <v>518</v>
      </c>
      <c r="AC39" s="448">
        <v>829000</v>
      </c>
      <c r="AD39" s="449"/>
      <c r="AE39" s="449"/>
      <c r="AF39" s="449"/>
      <c r="AG39" s="449"/>
      <c r="AH39" s="449"/>
      <c r="AI39" s="449"/>
      <c r="AJ39" s="449">
        <v>200000</v>
      </c>
      <c r="AK39" s="449"/>
      <c r="AL39" s="449"/>
      <c r="AM39" s="449"/>
      <c r="AN39" s="449">
        <f t="shared" si="12"/>
        <v>200000</v>
      </c>
      <c r="AO39" s="449">
        <f t="shared" si="9"/>
        <v>500000</v>
      </c>
      <c r="AP39" s="449"/>
      <c r="AQ39" s="449">
        <f t="shared" si="13"/>
        <v>200000</v>
      </c>
      <c r="AR39" s="449"/>
      <c r="AS39" s="449"/>
      <c r="AT39" s="449"/>
      <c r="AU39" s="449"/>
      <c r="AV39" s="449"/>
      <c r="AW39" s="449">
        <f t="shared" si="14"/>
        <v>0</v>
      </c>
      <c r="AX39" s="449"/>
      <c r="AY39" s="449"/>
      <c r="AZ39" s="449"/>
      <c r="BA39" s="449"/>
    </row>
    <row r="40" spans="1:53" s="842" customFormat="1" ht="30" customHeight="1">
      <c r="A40" s="448">
        <f t="shared" si="10"/>
        <v>35</v>
      </c>
      <c r="B40" s="448">
        <v>2043</v>
      </c>
      <c r="C40" s="448" t="s">
        <v>402</v>
      </c>
      <c r="D40" s="449">
        <f>20350000-5000000</f>
        <v>15350000</v>
      </c>
      <c r="E40" s="449">
        <v>10350000</v>
      </c>
      <c r="F40" s="449">
        <f t="shared" si="0"/>
        <v>5000000</v>
      </c>
      <c r="G40" s="449">
        <v>10350000</v>
      </c>
      <c r="H40" s="449">
        <v>9873872.5299999993</v>
      </c>
      <c r="I40" s="449">
        <v>56624</v>
      </c>
      <c r="J40" s="449">
        <f>168185+118565+83680</f>
        <v>370430</v>
      </c>
      <c r="K40" s="449">
        <f t="shared" si="1"/>
        <v>427054</v>
      </c>
      <c r="L40" s="449">
        <f t="shared" si="2"/>
        <v>10300926.529999999</v>
      </c>
      <c r="M40" s="449">
        <f t="shared" si="3"/>
        <v>49073.470000000671</v>
      </c>
      <c r="N40" s="449">
        <f>10000000-5000000-500000</f>
        <v>4500000</v>
      </c>
      <c r="O40" s="449">
        <f t="shared" si="4"/>
        <v>500000</v>
      </c>
      <c r="P40" s="449">
        <f t="shared" si="5"/>
        <v>49073.470000000671</v>
      </c>
      <c r="Q40" s="449"/>
      <c r="R40" s="449"/>
      <c r="S40" s="449">
        <f t="shared" si="6"/>
        <v>0</v>
      </c>
      <c r="T40" s="449">
        <f t="shared" si="7"/>
        <v>0</v>
      </c>
      <c r="U40" s="449">
        <f t="shared" si="8"/>
        <v>4500000</v>
      </c>
      <c r="V40" s="449"/>
      <c r="W40" s="419">
        <f t="shared" si="11"/>
        <v>4500000</v>
      </c>
      <c r="X40" s="449"/>
      <c r="Y40" s="449"/>
      <c r="Z40" s="449"/>
      <c r="AA40" s="449"/>
      <c r="AB40" s="448" t="s">
        <v>702</v>
      </c>
      <c r="AC40" s="448">
        <v>747000</v>
      </c>
      <c r="AD40" s="449">
        <f>100000+4000000</f>
        <v>4100000</v>
      </c>
      <c r="AE40" s="449"/>
      <c r="AF40" s="449"/>
      <c r="AG40" s="449"/>
      <c r="AH40" s="449">
        <v>250000</v>
      </c>
      <c r="AI40" s="449"/>
      <c r="AJ40" s="449">
        <v>150000</v>
      </c>
      <c r="AK40" s="449"/>
      <c r="AL40" s="449"/>
      <c r="AM40" s="449"/>
      <c r="AN40" s="449">
        <f t="shared" si="12"/>
        <v>4500000</v>
      </c>
      <c r="AO40" s="449">
        <f t="shared" si="9"/>
        <v>0</v>
      </c>
      <c r="AP40" s="449"/>
      <c r="AQ40" s="449">
        <f t="shared" si="13"/>
        <v>4500000</v>
      </c>
      <c r="AR40" s="449"/>
      <c r="AS40" s="449"/>
      <c r="AT40" s="449"/>
      <c r="AU40" s="449"/>
      <c r="AV40" s="449"/>
      <c r="AW40" s="449">
        <f t="shared" si="14"/>
        <v>0</v>
      </c>
      <c r="AX40" s="449"/>
      <c r="AY40" s="449"/>
      <c r="AZ40" s="449"/>
      <c r="BA40" s="449"/>
    </row>
    <row r="41" spans="1:53" s="842" customFormat="1" ht="30" customHeight="1">
      <c r="A41" s="448">
        <f t="shared" si="10"/>
        <v>36</v>
      </c>
      <c r="B41" s="448">
        <v>2044</v>
      </c>
      <c r="C41" s="448" t="s">
        <v>131</v>
      </c>
      <c r="D41" s="449">
        <v>105000</v>
      </c>
      <c r="E41" s="449">
        <v>105000</v>
      </c>
      <c r="F41" s="449">
        <f t="shared" si="0"/>
        <v>0</v>
      </c>
      <c r="G41" s="449">
        <v>105000</v>
      </c>
      <c r="H41" s="449">
        <v>56160</v>
      </c>
      <c r="I41" s="449">
        <v>0</v>
      </c>
      <c r="J41" s="449">
        <v>0</v>
      </c>
      <c r="K41" s="449">
        <f t="shared" si="1"/>
        <v>0</v>
      </c>
      <c r="L41" s="449">
        <f t="shared" si="2"/>
        <v>56160</v>
      </c>
      <c r="M41" s="449">
        <f t="shared" si="3"/>
        <v>48840</v>
      </c>
      <c r="N41" s="449"/>
      <c r="O41" s="449">
        <f t="shared" si="4"/>
        <v>0</v>
      </c>
      <c r="P41" s="449">
        <f t="shared" si="5"/>
        <v>48840</v>
      </c>
      <c r="Q41" s="449"/>
      <c r="R41" s="449"/>
      <c r="S41" s="449">
        <f t="shared" si="6"/>
        <v>0</v>
      </c>
      <c r="T41" s="449">
        <f t="shared" si="7"/>
        <v>0</v>
      </c>
      <c r="U41" s="449">
        <f t="shared" si="8"/>
        <v>0</v>
      </c>
      <c r="V41" s="449"/>
      <c r="W41" s="419">
        <f t="shared" si="11"/>
        <v>0</v>
      </c>
      <c r="X41" s="449"/>
      <c r="Y41" s="449"/>
      <c r="Z41" s="449"/>
      <c r="AA41" s="449"/>
      <c r="AB41" s="448" t="s">
        <v>554</v>
      </c>
      <c r="AC41" s="448">
        <v>747000</v>
      </c>
      <c r="AD41" s="449"/>
      <c r="AE41" s="449"/>
      <c r="AF41" s="449"/>
      <c r="AG41" s="449"/>
      <c r="AH41" s="449"/>
      <c r="AI41" s="449"/>
      <c r="AJ41" s="449"/>
      <c r="AK41" s="449"/>
      <c r="AL41" s="449"/>
      <c r="AM41" s="449"/>
      <c r="AN41" s="449">
        <f t="shared" si="12"/>
        <v>0</v>
      </c>
      <c r="AO41" s="449">
        <f t="shared" si="9"/>
        <v>0</v>
      </c>
      <c r="AP41" s="449"/>
      <c r="AQ41" s="449">
        <f t="shared" si="13"/>
        <v>0</v>
      </c>
      <c r="AR41" s="449"/>
      <c r="AS41" s="449"/>
      <c r="AT41" s="449"/>
      <c r="AU41" s="449"/>
      <c r="AV41" s="449"/>
      <c r="AW41" s="449">
        <f t="shared" si="14"/>
        <v>0</v>
      </c>
      <c r="AX41" s="449"/>
      <c r="AY41" s="449"/>
      <c r="AZ41" s="449"/>
      <c r="BA41" s="449"/>
    </row>
    <row r="42" spans="1:53" s="842" customFormat="1" ht="30" customHeight="1">
      <c r="A42" s="448">
        <f t="shared" si="10"/>
        <v>37</v>
      </c>
      <c r="B42" s="448">
        <v>2047</v>
      </c>
      <c r="C42" s="448" t="s">
        <v>283</v>
      </c>
      <c r="D42" s="449">
        <v>170000</v>
      </c>
      <c r="E42" s="449">
        <v>170000</v>
      </c>
      <c r="F42" s="449">
        <f t="shared" si="0"/>
        <v>0</v>
      </c>
      <c r="G42" s="449">
        <v>170000</v>
      </c>
      <c r="H42" s="449">
        <v>170000</v>
      </c>
      <c r="I42" s="449">
        <v>0</v>
      </c>
      <c r="J42" s="449">
        <v>0</v>
      </c>
      <c r="K42" s="449">
        <f t="shared" si="1"/>
        <v>0</v>
      </c>
      <c r="L42" s="449">
        <f t="shared" si="2"/>
        <v>170000</v>
      </c>
      <c r="M42" s="449">
        <f t="shared" si="3"/>
        <v>0</v>
      </c>
      <c r="N42" s="449"/>
      <c r="O42" s="449">
        <f t="shared" si="4"/>
        <v>0</v>
      </c>
      <c r="P42" s="449">
        <f t="shared" si="5"/>
        <v>0</v>
      </c>
      <c r="Q42" s="449"/>
      <c r="R42" s="449"/>
      <c r="S42" s="449">
        <f t="shared" si="6"/>
        <v>0</v>
      </c>
      <c r="T42" s="449">
        <f t="shared" si="7"/>
        <v>0</v>
      </c>
      <c r="U42" s="449">
        <f t="shared" si="8"/>
        <v>0</v>
      </c>
      <c r="V42" s="449"/>
      <c r="W42" s="419">
        <f t="shared" si="11"/>
        <v>0</v>
      </c>
      <c r="X42" s="449"/>
      <c r="Y42" s="449"/>
      <c r="Z42" s="449"/>
      <c r="AA42" s="449"/>
      <c r="AB42" s="448" t="s">
        <v>461</v>
      </c>
      <c r="AC42" s="448">
        <v>747000</v>
      </c>
      <c r="AD42" s="449"/>
      <c r="AE42" s="449"/>
      <c r="AF42" s="449"/>
      <c r="AG42" s="449"/>
      <c r="AH42" s="449"/>
      <c r="AI42" s="449"/>
      <c r="AJ42" s="449"/>
      <c r="AK42" s="449"/>
      <c r="AL42" s="449"/>
      <c r="AM42" s="449"/>
      <c r="AN42" s="449">
        <f t="shared" si="12"/>
        <v>0</v>
      </c>
      <c r="AO42" s="449">
        <f t="shared" si="9"/>
        <v>0</v>
      </c>
      <c r="AP42" s="449"/>
      <c r="AQ42" s="449">
        <f t="shared" si="13"/>
        <v>0</v>
      </c>
      <c r="AR42" s="449"/>
      <c r="AS42" s="449"/>
      <c r="AT42" s="449"/>
      <c r="AU42" s="449"/>
      <c r="AV42" s="449"/>
      <c r="AW42" s="449">
        <f t="shared" si="14"/>
        <v>0</v>
      </c>
      <c r="AX42" s="449"/>
      <c r="AY42" s="449"/>
      <c r="AZ42" s="449"/>
      <c r="BA42" s="449"/>
    </row>
    <row r="43" spans="1:53" s="842" customFormat="1" ht="30" customHeight="1">
      <c r="A43" s="448">
        <f t="shared" si="10"/>
        <v>38</v>
      </c>
      <c r="B43" s="448">
        <v>2063</v>
      </c>
      <c r="C43" s="448" t="s">
        <v>271</v>
      </c>
      <c r="D43" s="449">
        <v>2500000</v>
      </c>
      <c r="E43" s="449">
        <v>2300000</v>
      </c>
      <c r="F43" s="449">
        <f t="shared" si="0"/>
        <v>200000</v>
      </c>
      <c r="G43" s="449">
        <v>2400000</v>
      </c>
      <c r="H43" s="449">
        <v>510740</v>
      </c>
      <c r="I43" s="449">
        <v>1708229</v>
      </c>
      <c r="J43" s="449">
        <v>67139</v>
      </c>
      <c r="K43" s="449">
        <f t="shared" si="1"/>
        <v>1775368</v>
      </c>
      <c r="L43" s="449">
        <f t="shared" si="2"/>
        <v>2286108</v>
      </c>
      <c r="M43" s="449">
        <f t="shared" si="3"/>
        <v>13892</v>
      </c>
      <c r="N43" s="449">
        <v>100000</v>
      </c>
      <c r="O43" s="449">
        <f t="shared" si="4"/>
        <v>100000</v>
      </c>
      <c r="P43" s="449">
        <f t="shared" si="5"/>
        <v>113892</v>
      </c>
      <c r="Q43" s="449"/>
      <c r="R43" s="482">
        <v>-100000</v>
      </c>
      <c r="S43" s="449">
        <f t="shared" si="6"/>
        <v>-100000</v>
      </c>
      <c r="T43" s="449">
        <f t="shared" si="7"/>
        <v>0</v>
      </c>
      <c r="U43" s="449">
        <f t="shared" si="8"/>
        <v>100000</v>
      </c>
      <c r="V43" s="449"/>
      <c r="W43" s="449">
        <f t="shared" si="11"/>
        <v>100000</v>
      </c>
      <c r="X43" s="449"/>
      <c r="Y43" s="449"/>
      <c r="Z43" s="449"/>
      <c r="AA43" s="448"/>
      <c r="AB43" s="448" t="s">
        <v>514</v>
      </c>
      <c r="AC43" s="448">
        <v>810000</v>
      </c>
      <c r="AD43" s="449"/>
      <c r="AE43" s="449"/>
      <c r="AF43" s="449"/>
      <c r="AG43" s="449"/>
      <c r="AH43" s="449"/>
      <c r="AI43" s="449"/>
      <c r="AJ43" s="449"/>
      <c r="AK43" s="449"/>
      <c r="AL43" s="449"/>
      <c r="AM43" s="449"/>
      <c r="AN43" s="449">
        <f t="shared" si="12"/>
        <v>0</v>
      </c>
      <c r="AO43" s="449">
        <f t="shared" si="9"/>
        <v>100000</v>
      </c>
      <c r="AP43" s="449"/>
      <c r="AQ43" s="449">
        <f t="shared" si="13"/>
        <v>0</v>
      </c>
      <c r="AR43" s="449"/>
      <c r="AS43" s="449"/>
      <c r="AT43" s="449"/>
      <c r="AU43" s="449"/>
      <c r="AV43" s="449"/>
      <c r="AW43" s="449">
        <f t="shared" si="14"/>
        <v>0</v>
      </c>
      <c r="AX43" s="449"/>
      <c r="AY43" s="449"/>
      <c r="AZ43" s="449"/>
      <c r="BA43" s="449"/>
    </row>
    <row r="44" spans="1:53" s="842" customFormat="1" ht="30" customHeight="1">
      <c r="A44" s="448">
        <f t="shared" si="10"/>
        <v>39</v>
      </c>
      <c r="B44" s="486">
        <v>2071</v>
      </c>
      <c r="C44" s="448" t="s">
        <v>275</v>
      </c>
      <c r="D44" s="449">
        <v>300000</v>
      </c>
      <c r="E44" s="449">
        <v>300000</v>
      </c>
      <c r="F44" s="449">
        <f t="shared" si="0"/>
        <v>0</v>
      </c>
      <c r="G44" s="449">
        <v>300000</v>
      </c>
      <c r="H44" s="449">
        <v>278080</v>
      </c>
      <c r="I44" s="449">
        <v>0</v>
      </c>
      <c r="J44" s="449">
        <v>0</v>
      </c>
      <c r="K44" s="449">
        <f t="shared" si="1"/>
        <v>0</v>
      </c>
      <c r="L44" s="449">
        <f t="shared" si="2"/>
        <v>278080</v>
      </c>
      <c r="M44" s="449">
        <f t="shared" si="3"/>
        <v>21920</v>
      </c>
      <c r="N44" s="449"/>
      <c r="O44" s="449">
        <f t="shared" si="4"/>
        <v>0</v>
      </c>
      <c r="P44" s="449">
        <f t="shared" si="5"/>
        <v>21920</v>
      </c>
      <c r="Q44" s="449"/>
      <c r="R44" s="449"/>
      <c r="S44" s="449">
        <f t="shared" si="6"/>
        <v>0</v>
      </c>
      <c r="T44" s="449">
        <f t="shared" si="7"/>
        <v>0</v>
      </c>
      <c r="U44" s="449">
        <f t="shared" si="8"/>
        <v>0</v>
      </c>
      <c r="V44" s="449"/>
      <c r="W44" s="449">
        <f t="shared" si="11"/>
        <v>0</v>
      </c>
      <c r="X44" s="449"/>
      <c r="Y44" s="449"/>
      <c r="Z44" s="449"/>
      <c r="AA44" s="448"/>
      <c r="AB44" s="448" t="s">
        <v>388</v>
      </c>
      <c r="AC44" s="448">
        <v>810000</v>
      </c>
      <c r="AD44" s="449"/>
      <c r="AE44" s="449"/>
      <c r="AF44" s="449"/>
      <c r="AG44" s="449"/>
      <c r="AH44" s="449"/>
      <c r="AI44" s="449"/>
      <c r="AJ44" s="449"/>
      <c r="AK44" s="449"/>
      <c r="AL44" s="449"/>
      <c r="AM44" s="449"/>
      <c r="AN44" s="449">
        <f t="shared" si="12"/>
        <v>0</v>
      </c>
      <c r="AO44" s="449">
        <f t="shared" si="9"/>
        <v>0</v>
      </c>
      <c r="AP44" s="449"/>
      <c r="AQ44" s="449">
        <f t="shared" si="13"/>
        <v>0</v>
      </c>
      <c r="AR44" s="449"/>
      <c r="AS44" s="449"/>
      <c r="AT44" s="449"/>
      <c r="AU44" s="449"/>
      <c r="AV44" s="449"/>
      <c r="AW44" s="449">
        <f t="shared" si="14"/>
        <v>0</v>
      </c>
      <c r="AX44" s="449"/>
      <c r="AY44" s="449"/>
      <c r="AZ44" s="449"/>
      <c r="BA44" s="449"/>
    </row>
    <row r="45" spans="1:53" s="842" customFormat="1" ht="30" customHeight="1">
      <c r="A45" s="448">
        <f t="shared" si="10"/>
        <v>40</v>
      </c>
      <c r="B45" s="536">
        <v>2094</v>
      </c>
      <c r="C45" s="469" t="s">
        <v>1258</v>
      </c>
      <c r="D45" s="419">
        <v>1000000</v>
      </c>
      <c r="E45" s="419">
        <v>1000000</v>
      </c>
      <c r="F45" s="419">
        <f t="shared" si="0"/>
        <v>0</v>
      </c>
      <c r="G45" s="419">
        <v>300000</v>
      </c>
      <c r="H45" s="419">
        <v>277735</v>
      </c>
      <c r="I45" s="419">
        <v>0</v>
      </c>
      <c r="J45" s="419">
        <v>15210</v>
      </c>
      <c r="K45" s="449">
        <f t="shared" si="1"/>
        <v>15210</v>
      </c>
      <c r="L45" s="449">
        <f t="shared" si="2"/>
        <v>292945</v>
      </c>
      <c r="M45" s="449">
        <f t="shared" si="3"/>
        <v>7055</v>
      </c>
      <c r="N45" s="449">
        <f>700000-700000</f>
        <v>0</v>
      </c>
      <c r="O45" s="449">
        <f t="shared" si="4"/>
        <v>700000</v>
      </c>
      <c r="P45" s="419">
        <f t="shared" si="5"/>
        <v>7055</v>
      </c>
      <c r="Q45" s="419"/>
      <c r="R45" s="419"/>
      <c r="S45" s="419">
        <f t="shared" si="6"/>
        <v>0</v>
      </c>
      <c r="T45" s="419">
        <f t="shared" si="7"/>
        <v>0</v>
      </c>
      <c r="U45" s="449">
        <f t="shared" si="8"/>
        <v>0</v>
      </c>
      <c r="V45" s="419"/>
      <c r="W45" s="419">
        <f t="shared" si="11"/>
        <v>0</v>
      </c>
      <c r="X45" s="419"/>
      <c r="Y45" s="419"/>
      <c r="Z45" s="419"/>
      <c r="AA45" s="469"/>
      <c r="AB45" s="483" t="s">
        <v>685</v>
      </c>
      <c r="AC45" s="469">
        <v>720000</v>
      </c>
      <c r="AD45" s="449"/>
      <c r="AE45" s="449"/>
      <c r="AF45" s="449"/>
      <c r="AG45" s="449"/>
      <c r="AH45" s="449"/>
      <c r="AI45" s="449"/>
      <c r="AJ45" s="449"/>
      <c r="AK45" s="449"/>
      <c r="AL45" s="449"/>
      <c r="AM45" s="449"/>
      <c r="AN45" s="449">
        <f t="shared" si="12"/>
        <v>0</v>
      </c>
      <c r="AO45" s="449">
        <f t="shared" si="9"/>
        <v>0</v>
      </c>
      <c r="AP45" s="449"/>
      <c r="AQ45" s="449">
        <f t="shared" si="13"/>
        <v>0</v>
      </c>
      <c r="AR45" s="449"/>
      <c r="AS45" s="449"/>
      <c r="AT45" s="449"/>
      <c r="AU45" s="449"/>
      <c r="AV45" s="449"/>
      <c r="AW45" s="449">
        <f t="shared" si="14"/>
        <v>0</v>
      </c>
      <c r="AX45" s="449"/>
      <c r="AY45" s="449"/>
      <c r="AZ45" s="449"/>
      <c r="BA45" s="449"/>
    </row>
    <row r="46" spans="1:53" s="842" customFormat="1" ht="30" customHeight="1">
      <c r="A46" s="448">
        <f t="shared" si="10"/>
        <v>41</v>
      </c>
      <c r="B46" s="448">
        <v>2095</v>
      </c>
      <c r="C46" s="448" t="s">
        <v>272</v>
      </c>
      <c r="D46" s="449">
        <f>160000+150000-50000-50000</f>
        <v>210000</v>
      </c>
      <c r="E46" s="449">
        <v>160000</v>
      </c>
      <c r="F46" s="449">
        <f t="shared" si="0"/>
        <v>50000</v>
      </c>
      <c r="G46" s="449">
        <v>160000</v>
      </c>
      <c r="H46" s="449">
        <v>40365</v>
      </c>
      <c r="I46" s="449">
        <v>0</v>
      </c>
      <c r="J46" s="449">
        <v>0</v>
      </c>
      <c r="K46" s="449">
        <f t="shared" si="1"/>
        <v>0</v>
      </c>
      <c r="L46" s="449">
        <f t="shared" si="2"/>
        <v>40365</v>
      </c>
      <c r="M46" s="449">
        <f t="shared" si="3"/>
        <v>119635</v>
      </c>
      <c r="N46" s="449">
        <f>150000-50000-50000</f>
        <v>50000</v>
      </c>
      <c r="O46" s="449">
        <f t="shared" si="4"/>
        <v>0</v>
      </c>
      <c r="P46" s="449">
        <f t="shared" si="5"/>
        <v>119635</v>
      </c>
      <c r="Q46" s="449"/>
      <c r="R46" s="449"/>
      <c r="S46" s="449">
        <f t="shared" si="6"/>
        <v>0</v>
      </c>
      <c r="T46" s="449">
        <f t="shared" si="7"/>
        <v>0</v>
      </c>
      <c r="U46" s="449">
        <f t="shared" si="8"/>
        <v>50000</v>
      </c>
      <c r="V46" s="449"/>
      <c r="W46" s="449">
        <f t="shared" si="11"/>
        <v>50000</v>
      </c>
      <c r="X46" s="449"/>
      <c r="Y46" s="449"/>
      <c r="Z46" s="449"/>
      <c r="AA46" s="448"/>
      <c r="AB46" s="448" t="s">
        <v>515</v>
      </c>
      <c r="AC46" s="448">
        <v>610000</v>
      </c>
      <c r="AD46" s="449"/>
      <c r="AE46" s="449"/>
      <c r="AF46" s="449"/>
      <c r="AG46" s="449"/>
      <c r="AH46" s="449"/>
      <c r="AI46" s="449"/>
      <c r="AJ46" s="449"/>
      <c r="AK46" s="449"/>
      <c r="AL46" s="449"/>
      <c r="AM46" s="449">
        <v>50000</v>
      </c>
      <c r="AN46" s="449">
        <f t="shared" si="12"/>
        <v>50000</v>
      </c>
      <c r="AO46" s="482">
        <f t="shared" si="9"/>
        <v>0</v>
      </c>
      <c r="AP46" s="449"/>
      <c r="AQ46" s="449">
        <f t="shared" si="13"/>
        <v>50000</v>
      </c>
      <c r="AR46" s="449"/>
      <c r="AS46" s="449"/>
      <c r="AT46" s="449"/>
      <c r="AU46" s="449"/>
      <c r="AV46" s="449"/>
      <c r="AW46" s="449">
        <f t="shared" si="14"/>
        <v>50000</v>
      </c>
      <c r="AX46" s="449"/>
      <c r="AY46" s="449"/>
      <c r="AZ46" s="449"/>
      <c r="BA46" s="449"/>
    </row>
    <row r="47" spans="1:53" s="842" customFormat="1" ht="30" customHeight="1">
      <c r="A47" s="448">
        <f t="shared" si="10"/>
        <v>42</v>
      </c>
      <c r="B47" s="448">
        <v>2125</v>
      </c>
      <c r="C47" s="448" t="s">
        <v>1071</v>
      </c>
      <c r="D47" s="449">
        <v>146923</v>
      </c>
      <c r="E47" s="449">
        <v>146923</v>
      </c>
      <c r="F47" s="449">
        <f t="shared" si="0"/>
        <v>0</v>
      </c>
      <c r="G47" s="449">
        <v>146923</v>
      </c>
      <c r="H47" s="449">
        <v>146923</v>
      </c>
      <c r="I47" s="449">
        <v>0</v>
      </c>
      <c r="J47" s="449">
        <v>0</v>
      </c>
      <c r="K47" s="449">
        <f t="shared" si="1"/>
        <v>0</v>
      </c>
      <c r="L47" s="449">
        <f t="shared" si="2"/>
        <v>146923</v>
      </c>
      <c r="M47" s="449">
        <f t="shared" si="3"/>
        <v>0</v>
      </c>
      <c r="N47" s="449"/>
      <c r="O47" s="449">
        <f t="shared" si="4"/>
        <v>0</v>
      </c>
      <c r="P47" s="449">
        <f t="shared" si="5"/>
        <v>0</v>
      </c>
      <c r="Q47" s="449"/>
      <c r="R47" s="449"/>
      <c r="S47" s="449">
        <f t="shared" si="6"/>
        <v>0</v>
      </c>
      <c r="T47" s="449">
        <f t="shared" si="7"/>
        <v>0</v>
      </c>
      <c r="U47" s="449">
        <f t="shared" si="8"/>
        <v>0</v>
      </c>
      <c r="V47" s="449"/>
      <c r="W47" s="419">
        <f t="shared" si="11"/>
        <v>0</v>
      </c>
      <c r="X47" s="449"/>
      <c r="Y47" s="449"/>
      <c r="Z47" s="449"/>
      <c r="AA47" s="449"/>
      <c r="AB47" s="448" t="s">
        <v>555</v>
      </c>
      <c r="AC47" s="448">
        <v>747000</v>
      </c>
      <c r="AD47" s="449"/>
      <c r="AE47" s="449"/>
      <c r="AF47" s="449"/>
      <c r="AG47" s="449"/>
      <c r="AH47" s="449"/>
      <c r="AI47" s="449"/>
      <c r="AJ47" s="449"/>
      <c r="AK47" s="449"/>
      <c r="AL47" s="449"/>
      <c r="AM47" s="449"/>
      <c r="AN47" s="449">
        <f t="shared" si="12"/>
        <v>0</v>
      </c>
      <c r="AO47" s="449">
        <f t="shared" si="9"/>
        <v>0</v>
      </c>
      <c r="AP47" s="449"/>
      <c r="AQ47" s="449">
        <f t="shared" si="13"/>
        <v>0</v>
      </c>
      <c r="AR47" s="449"/>
      <c r="AS47" s="449"/>
      <c r="AT47" s="449"/>
      <c r="AU47" s="449"/>
      <c r="AV47" s="449"/>
      <c r="AW47" s="449">
        <f t="shared" si="14"/>
        <v>0</v>
      </c>
      <c r="AX47" s="449"/>
      <c r="AY47" s="449"/>
      <c r="AZ47" s="449"/>
      <c r="BA47" s="449"/>
    </row>
    <row r="48" spans="1:53" s="842" customFormat="1" ht="30" customHeight="1">
      <c r="A48" s="448">
        <f t="shared" si="10"/>
        <v>43</v>
      </c>
      <c r="B48" s="448">
        <v>2131</v>
      </c>
      <c r="C48" s="448" t="s">
        <v>418</v>
      </c>
      <c r="D48" s="449">
        <v>7500000</v>
      </c>
      <c r="E48" s="449">
        <v>7500000</v>
      </c>
      <c r="F48" s="449">
        <f t="shared" si="0"/>
        <v>0</v>
      </c>
      <c r="G48" s="449">
        <v>4020000</v>
      </c>
      <c r="H48" s="449">
        <v>3815119</v>
      </c>
      <c r="I48" s="449">
        <v>189143</v>
      </c>
      <c r="J48" s="449">
        <v>9170</v>
      </c>
      <c r="K48" s="449">
        <f t="shared" si="1"/>
        <v>198313</v>
      </c>
      <c r="L48" s="449">
        <f t="shared" si="2"/>
        <v>4013432</v>
      </c>
      <c r="M48" s="449">
        <f t="shared" si="3"/>
        <v>6568</v>
      </c>
      <c r="N48" s="449"/>
      <c r="O48" s="449">
        <f t="shared" si="4"/>
        <v>3480000</v>
      </c>
      <c r="P48" s="449">
        <f t="shared" si="5"/>
        <v>6568</v>
      </c>
      <c r="Q48" s="449"/>
      <c r="R48" s="449"/>
      <c r="S48" s="449">
        <f t="shared" si="6"/>
        <v>0</v>
      </c>
      <c r="T48" s="449">
        <f t="shared" si="7"/>
        <v>0</v>
      </c>
      <c r="U48" s="449">
        <f t="shared" si="8"/>
        <v>0</v>
      </c>
      <c r="V48" s="449"/>
      <c r="W48" s="449">
        <f t="shared" si="11"/>
        <v>0</v>
      </c>
      <c r="X48" s="449"/>
      <c r="Y48" s="449"/>
      <c r="Z48" s="449"/>
      <c r="AA48" s="448"/>
      <c r="AB48" s="448" t="s">
        <v>552</v>
      </c>
      <c r="AC48" s="448">
        <v>870000</v>
      </c>
      <c r="AD48" s="449"/>
      <c r="AE48" s="449"/>
      <c r="AF48" s="449"/>
      <c r="AG48" s="449"/>
      <c r="AH48" s="449"/>
      <c r="AI48" s="449"/>
      <c r="AJ48" s="449"/>
      <c r="AK48" s="449"/>
      <c r="AL48" s="449"/>
      <c r="AM48" s="449"/>
      <c r="AN48" s="449">
        <f t="shared" si="12"/>
        <v>0</v>
      </c>
      <c r="AO48" s="449">
        <f t="shared" si="9"/>
        <v>0</v>
      </c>
      <c r="AP48" s="449"/>
      <c r="AQ48" s="449">
        <f t="shared" si="13"/>
        <v>0</v>
      </c>
      <c r="AR48" s="449"/>
      <c r="AS48" s="449"/>
      <c r="AT48" s="449"/>
      <c r="AU48" s="449"/>
      <c r="AV48" s="449"/>
      <c r="AW48" s="449">
        <f t="shared" si="14"/>
        <v>0</v>
      </c>
      <c r="AX48" s="449"/>
      <c r="AY48" s="449"/>
      <c r="AZ48" s="449"/>
      <c r="BA48" s="449"/>
    </row>
    <row r="49" spans="1:53" s="842" customFormat="1" ht="30" customHeight="1">
      <c r="A49" s="448">
        <f t="shared" si="10"/>
        <v>44</v>
      </c>
      <c r="B49" s="448">
        <v>2133</v>
      </c>
      <c r="C49" s="448" t="s">
        <v>376</v>
      </c>
      <c r="D49" s="449">
        <v>5150000</v>
      </c>
      <c r="E49" s="449">
        <v>5150000</v>
      </c>
      <c r="F49" s="449">
        <f t="shared" si="0"/>
        <v>0</v>
      </c>
      <c r="G49" s="449">
        <v>3150000</v>
      </c>
      <c r="H49" s="449">
        <v>2457812</v>
      </c>
      <c r="I49" s="449">
        <v>0</v>
      </c>
      <c r="J49" s="449">
        <v>115638</v>
      </c>
      <c r="K49" s="449">
        <f t="shared" si="1"/>
        <v>115638</v>
      </c>
      <c r="L49" s="449">
        <f t="shared" si="2"/>
        <v>2573450</v>
      </c>
      <c r="M49" s="449">
        <f>P49+S49-365000-200000</f>
        <v>11550</v>
      </c>
      <c r="N49" s="449">
        <v>365000</v>
      </c>
      <c r="O49" s="449">
        <f t="shared" si="4"/>
        <v>2200000</v>
      </c>
      <c r="P49" s="449">
        <f t="shared" si="5"/>
        <v>576550</v>
      </c>
      <c r="Q49" s="449"/>
      <c r="R49" s="449"/>
      <c r="S49" s="449">
        <f t="shared" si="6"/>
        <v>0</v>
      </c>
      <c r="T49" s="449">
        <f t="shared" si="7"/>
        <v>565000</v>
      </c>
      <c r="U49" s="449">
        <f t="shared" si="8"/>
        <v>-200000</v>
      </c>
      <c r="V49" s="449"/>
      <c r="W49" s="449">
        <f t="shared" si="11"/>
        <v>-200000</v>
      </c>
      <c r="X49" s="449"/>
      <c r="Y49" s="449"/>
      <c r="Z49" s="449"/>
      <c r="AA49" s="448"/>
      <c r="AB49" s="448" t="s">
        <v>894</v>
      </c>
      <c r="AC49" s="448">
        <v>930000</v>
      </c>
      <c r="AD49" s="449"/>
      <c r="AE49" s="449"/>
      <c r="AF49" s="449">
        <v>-200000</v>
      </c>
      <c r="AG49" s="449"/>
      <c r="AH49" s="449"/>
      <c r="AI49" s="449"/>
      <c r="AJ49" s="449"/>
      <c r="AK49" s="449"/>
      <c r="AL49" s="449"/>
      <c r="AM49" s="449"/>
      <c r="AN49" s="449">
        <f t="shared" si="12"/>
        <v>-200000</v>
      </c>
      <c r="AO49" s="449">
        <f t="shared" si="9"/>
        <v>0</v>
      </c>
      <c r="AP49" s="449"/>
      <c r="AQ49" s="449">
        <f t="shared" si="13"/>
        <v>-200000</v>
      </c>
      <c r="AR49" s="449"/>
      <c r="AS49" s="449"/>
      <c r="AT49" s="449"/>
      <c r="AU49" s="449"/>
      <c r="AV49" s="449"/>
      <c r="AW49" s="449">
        <f t="shared" si="14"/>
        <v>0</v>
      </c>
      <c r="AX49" s="449"/>
      <c r="AY49" s="449"/>
      <c r="AZ49" s="449"/>
      <c r="BA49" s="449"/>
    </row>
    <row r="50" spans="1:53" s="842" customFormat="1" ht="30" customHeight="1">
      <c r="A50" s="448">
        <f t="shared" si="10"/>
        <v>45</v>
      </c>
      <c r="B50" s="448">
        <v>2136</v>
      </c>
      <c r="C50" s="448" t="s">
        <v>1072</v>
      </c>
      <c r="D50" s="449">
        <v>55226</v>
      </c>
      <c r="E50" s="449">
        <v>55226</v>
      </c>
      <c r="F50" s="449">
        <f t="shared" si="0"/>
        <v>0</v>
      </c>
      <c r="G50" s="449">
        <v>55226</v>
      </c>
      <c r="H50" s="449">
        <v>55226</v>
      </c>
      <c r="I50" s="449">
        <v>0</v>
      </c>
      <c r="J50" s="449">
        <v>0</v>
      </c>
      <c r="K50" s="449">
        <f t="shared" si="1"/>
        <v>0</v>
      </c>
      <c r="L50" s="449">
        <f t="shared" si="2"/>
        <v>55226</v>
      </c>
      <c r="M50" s="449">
        <f t="shared" si="3"/>
        <v>0</v>
      </c>
      <c r="N50" s="449"/>
      <c r="O50" s="449">
        <f t="shared" si="4"/>
        <v>0</v>
      </c>
      <c r="P50" s="449">
        <f t="shared" si="5"/>
        <v>0</v>
      </c>
      <c r="Q50" s="449"/>
      <c r="R50" s="449"/>
      <c r="S50" s="449">
        <f t="shared" si="6"/>
        <v>0</v>
      </c>
      <c r="T50" s="449">
        <f t="shared" si="7"/>
        <v>0</v>
      </c>
      <c r="U50" s="449">
        <f t="shared" si="8"/>
        <v>0</v>
      </c>
      <c r="V50" s="449"/>
      <c r="W50" s="419">
        <f t="shared" si="11"/>
        <v>0</v>
      </c>
      <c r="X50" s="449"/>
      <c r="Y50" s="449"/>
      <c r="Z50" s="449"/>
      <c r="AA50" s="449"/>
      <c r="AB50" s="448" t="s">
        <v>556</v>
      </c>
      <c r="AC50" s="448">
        <v>747000</v>
      </c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>
        <f t="shared" si="12"/>
        <v>0</v>
      </c>
      <c r="AO50" s="449">
        <f t="shared" si="9"/>
        <v>0</v>
      </c>
      <c r="AP50" s="449"/>
      <c r="AQ50" s="449">
        <f t="shared" si="13"/>
        <v>0</v>
      </c>
      <c r="AR50" s="449"/>
      <c r="AS50" s="449"/>
      <c r="AT50" s="449"/>
      <c r="AU50" s="449"/>
      <c r="AV50" s="449"/>
      <c r="AW50" s="449">
        <f t="shared" si="14"/>
        <v>0</v>
      </c>
      <c r="AX50" s="449"/>
      <c r="AY50" s="449"/>
      <c r="AZ50" s="449"/>
      <c r="BA50" s="449"/>
    </row>
    <row r="51" spans="1:53" s="842" customFormat="1" ht="30" customHeight="1">
      <c r="A51" s="448">
        <f t="shared" si="10"/>
        <v>46</v>
      </c>
      <c r="B51" s="448">
        <v>2137</v>
      </c>
      <c r="C51" s="448" t="s">
        <v>378</v>
      </c>
      <c r="D51" s="449">
        <v>50000</v>
      </c>
      <c r="E51" s="449">
        <v>50000</v>
      </c>
      <c r="F51" s="449">
        <f t="shared" si="0"/>
        <v>0</v>
      </c>
      <c r="G51" s="449">
        <v>50000</v>
      </c>
      <c r="H51" s="449">
        <v>49966</v>
      </c>
      <c r="I51" s="449">
        <v>0</v>
      </c>
      <c r="J51" s="449">
        <v>0</v>
      </c>
      <c r="K51" s="449">
        <f t="shared" si="1"/>
        <v>0</v>
      </c>
      <c r="L51" s="449">
        <f t="shared" si="2"/>
        <v>49966</v>
      </c>
      <c r="M51" s="449">
        <f t="shared" si="3"/>
        <v>34</v>
      </c>
      <c r="N51" s="449"/>
      <c r="O51" s="449">
        <f t="shared" si="4"/>
        <v>0</v>
      </c>
      <c r="P51" s="449">
        <f t="shared" si="5"/>
        <v>34</v>
      </c>
      <c r="Q51" s="449"/>
      <c r="R51" s="449"/>
      <c r="S51" s="449">
        <f t="shared" si="6"/>
        <v>0</v>
      </c>
      <c r="T51" s="449">
        <f t="shared" si="7"/>
        <v>0</v>
      </c>
      <c r="U51" s="449">
        <f t="shared" si="8"/>
        <v>0</v>
      </c>
      <c r="V51" s="449"/>
      <c r="W51" s="419">
        <f t="shared" si="11"/>
        <v>0</v>
      </c>
      <c r="X51" s="449"/>
      <c r="Y51" s="449"/>
      <c r="Z51" s="449"/>
      <c r="AA51" s="449"/>
      <c r="AB51" s="448" t="s">
        <v>557</v>
      </c>
      <c r="AC51" s="448">
        <v>747000</v>
      </c>
      <c r="AD51" s="449"/>
      <c r="AE51" s="449"/>
      <c r="AF51" s="449"/>
      <c r="AG51" s="449"/>
      <c r="AH51" s="449"/>
      <c r="AI51" s="449"/>
      <c r="AJ51" s="449"/>
      <c r="AK51" s="449"/>
      <c r="AL51" s="449"/>
      <c r="AM51" s="449"/>
      <c r="AN51" s="449">
        <f t="shared" si="12"/>
        <v>0</v>
      </c>
      <c r="AO51" s="449">
        <f t="shared" si="9"/>
        <v>0</v>
      </c>
      <c r="AP51" s="449"/>
      <c r="AQ51" s="449">
        <f t="shared" si="13"/>
        <v>0</v>
      </c>
      <c r="AR51" s="449"/>
      <c r="AS51" s="449"/>
      <c r="AT51" s="449"/>
      <c r="AU51" s="449"/>
      <c r="AV51" s="449"/>
      <c r="AW51" s="449">
        <f t="shared" si="14"/>
        <v>0</v>
      </c>
      <c r="AX51" s="449"/>
      <c r="AY51" s="449"/>
      <c r="AZ51" s="449"/>
      <c r="BA51" s="449"/>
    </row>
    <row r="52" spans="1:53" s="842" customFormat="1" ht="30" customHeight="1">
      <c r="A52" s="448">
        <f t="shared" si="10"/>
        <v>47</v>
      </c>
      <c r="B52" s="448">
        <v>2138</v>
      </c>
      <c r="C52" s="448" t="s">
        <v>1073</v>
      </c>
      <c r="D52" s="449">
        <v>80000</v>
      </c>
      <c r="E52" s="449">
        <v>80000</v>
      </c>
      <c r="F52" s="449">
        <f t="shared" si="0"/>
        <v>0</v>
      </c>
      <c r="G52" s="449">
        <v>80000</v>
      </c>
      <c r="H52" s="449">
        <v>0</v>
      </c>
      <c r="I52" s="449">
        <v>0</v>
      </c>
      <c r="J52" s="449">
        <v>80000</v>
      </c>
      <c r="K52" s="449">
        <f t="shared" si="1"/>
        <v>80000</v>
      </c>
      <c r="L52" s="449">
        <f t="shared" si="2"/>
        <v>80000</v>
      </c>
      <c r="M52" s="449">
        <f t="shared" si="3"/>
        <v>0</v>
      </c>
      <c r="N52" s="449"/>
      <c r="O52" s="449">
        <f t="shared" si="4"/>
        <v>0</v>
      </c>
      <c r="P52" s="449">
        <f t="shared" si="5"/>
        <v>0</v>
      </c>
      <c r="Q52" s="449"/>
      <c r="R52" s="449"/>
      <c r="S52" s="449">
        <f t="shared" si="6"/>
        <v>0</v>
      </c>
      <c r="T52" s="449">
        <f t="shared" si="7"/>
        <v>0</v>
      </c>
      <c r="U52" s="449">
        <f t="shared" si="8"/>
        <v>0</v>
      </c>
      <c r="V52" s="449"/>
      <c r="W52" s="419">
        <f t="shared" si="11"/>
        <v>0</v>
      </c>
      <c r="X52" s="449"/>
      <c r="Y52" s="449"/>
      <c r="Z52" s="449"/>
      <c r="AA52" s="449"/>
      <c r="AB52" s="448" t="s">
        <v>557</v>
      </c>
      <c r="AC52" s="448">
        <v>747000</v>
      </c>
      <c r="AD52" s="449"/>
      <c r="AE52" s="449"/>
      <c r="AF52" s="449"/>
      <c r="AG52" s="449"/>
      <c r="AH52" s="449"/>
      <c r="AI52" s="449"/>
      <c r="AJ52" s="449"/>
      <c r="AK52" s="449"/>
      <c r="AL52" s="449"/>
      <c r="AM52" s="449"/>
      <c r="AN52" s="449">
        <f t="shared" si="12"/>
        <v>0</v>
      </c>
      <c r="AO52" s="449">
        <f t="shared" si="9"/>
        <v>0</v>
      </c>
      <c r="AP52" s="449"/>
      <c r="AQ52" s="449">
        <f t="shared" si="13"/>
        <v>0</v>
      </c>
      <c r="AR52" s="449"/>
      <c r="AS52" s="449"/>
      <c r="AT52" s="449"/>
      <c r="AU52" s="449"/>
      <c r="AV52" s="449"/>
      <c r="AW52" s="449">
        <f t="shared" si="14"/>
        <v>0</v>
      </c>
      <c r="AX52" s="449"/>
      <c r="AY52" s="449"/>
      <c r="AZ52" s="449"/>
      <c r="BA52" s="449"/>
    </row>
    <row r="53" spans="1:53" s="842" customFormat="1" ht="30" customHeight="1">
      <c r="A53" s="448">
        <f t="shared" si="10"/>
        <v>48</v>
      </c>
      <c r="B53" s="448">
        <v>2140</v>
      </c>
      <c r="C53" s="448" t="s">
        <v>430</v>
      </c>
      <c r="D53" s="449">
        <v>360000</v>
      </c>
      <c r="E53" s="449">
        <v>360000</v>
      </c>
      <c r="F53" s="449">
        <f t="shared" si="0"/>
        <v>0</v>
      </c>
      <c r="G53" s="449">
        <v>360000</v>
      </c>
      <c r="H53" s="449">
        <v>283122</v>
      </c>
      <c r="I53" s="449">
        <v>0</v>
      </c>
      <c r="J53" s="449">
        <v>0</v>
      </c>
      <c r="K53" s="449">
        <f t="shared" si="1"/>
        <v>0</v>
      </c>
      <c r="L53" s="449">
        <f t="shared" si="2"/>
        <v>283122</v>
      </c>
      <c r="M53" s="449">
        <f t="shared" si="3"/>
        <v>76878</v>
      </c>
      <c r="N53" s="449"/>
      <c r="O53" s="449">
        <f t="shared" si="4"/>
        <v>0</v>
      </c>
      <c r="P53" s="449">
        <f t="shared" si="5"/>
        <v>76878</v>
      </c>
      <c r="Q53" s="449"/>
      <c r="R53" s="449"/>
      <c r="S53" s="449">
        <f t="shared" si="6"/>
        <v>0</v>
      </c>
      <c r="T53" s="449">
        <f t="shared" si="7"/>
        <v>0</v>
      </c>
      <c r="U53" s="449">
        <f t="shared" si="8"/>
        <v>0</v>
      </c>
      <c r="V53" s="449"/>
      <c r="W53" s="449">
        <f t="shared" si="11"/>
        <v>0</v>
      </c>
      <c r="X53" s="449"/>
      <c r="Y53" s="449"/>
      <c r="Z53" s="449"/>
      <c r="AA53" s="448"/>
      <c r="AB53" s="448" t="s">
        <v>448</v>
      </c>
      <c r="AC53" s="448">
        <v>810000</v>
      </c>
      <c r="AD53" s="449"/>
      <c r="AE53" s="449"/>
      <c r="AF53" s="449"/>
      <c r="AG53" s="449"/>
      <c r="AH53" s="449"/>
      <c r="AI53" s="449"/>
      <c r="AJ53" s="449"/>
      <c r="AK53" s="449"/>
      <c r="AL53" s="449"/>
      <c r="AM53" s="449"/>
      <c r="AN53" s="449">
        <f t="shared" si="12"/>
        <v>0</v>
      </c>
      <c r="AO53" s="449">
        <f t="shared" si="9"/>
        <v>0</v>
      </c>
      <c r="AP53" s="449"/>
      <c r="AQ53" s="449">
        <f t="shared" si="13"/>
        <v>0</v>
      </c>
      <c r="AR53" s="449"/>
      <c r="AS53" s="449"/>
      <c r="AT53" s="449"/>
      <c r="AU53" s="449"/>
      <c r="AV53" s="449"/>
      <c r="AW53" s="449">
        <f t="shared" si="14"/>
        <v>0</v>
      </c>
      <c r="AX53" s="449"/>
      <c r="AY53" s="449"/>
      <c r="AZ53" s="449"/>
      <c r="BA53" s="449"/>
    </row>
    <row r="54" spans="1:53" s="842" customFormat="1" ht="30" customHeight="1">
      <c r="A54" s="448">
        <f t="shared" si="10"/>
        <v>49</v>
      </c>
      <c r="B54" s="448">
        <v>2154</v>
      </c>
      <c r="C54" s="448" t="s">
        <v>431</v>
      </c>
      <c r="D54" s="449">
        <v>10500000</v>
      </c>
      <c r="E54" s="449">
        <v>10500000</v>
      </c>
      <c r="F54" s="449">
        <f t="shared" si="0"/>
        <v>0</v>
      </c>
      <c r="G54" s="449">
        <v>750000</v>
      </c>
      <c r="H54" s="449">
        <v>133002</v>
      </c>
      <c r="I54" s="449">
        <v>0</v>
      </c>
      <c r="J54" s="449">
        <v>175239</v>
      </c>
      <c r="K54" s="449">
        <f t="shared" si="1"/>
        <v>175239</v>
      </c>
      <c r="L54" s="449">
        <f t="shared" si="2"/>
        <v>308241</v>
      </c>
      <c r="M54" s="449">
        <f t="shared" si="3"/>
        <v>441759</v>
      </c>
      <c r="N54" s="449"/>
      <c r="O54" s="449">
        <f t="shared" si="4"/>
        <v>9750000</v>
      </c>
      <c r="P54" s="449">
        <f t="shared" si="5"/>
        <v>441759</v>
      </c>
      <c r="Q54" s="449"/>
      <c r="R54" s="449"/>
      <c r="S54" s="449">
        <f t="shared" si="6"/>
        <v>0</v>
      </c>
      <c r="T54" s="449">
        <f t="shared" si="7"/>
        <v>0</v>
      </c>
      <c r="U54" s="449">
        <f t="shared" si="8"/>
        <v>0</v>
      </c>
      <c r="V54" s="449"/>
      <c r="W54" s="449">
        <f t="shared" si="11"/>
        <v>0</v>
      </c>
      <c r="X54" s="449"/>
      <c r="Y54" s="449"/>
      <c r="Z54" s="449"/>
      <c r="AA54" s="449"/>
      <c r="AB54" s="448" t="s">
        <v>844</v>
      </c>
      <c r="AC54" s="448">
        <v>870000</v>
      </c>
      <c r="AD54" s="449"/>
      <c r="AE54" s="449"/>
      <c r="AF54" s="449"/>
      <c r="AG54" s="449"/>
      <c r="AH54" s="449"/>
      <c r="AI54" s="449"/>
      <c r="AJ54" s="449"/>
      <c r="AK54" s="449"/>
      <c r="AL54" s="449"/>
      <c r="AM54" s="449"/>
      <c r="AN54" s="449">
        <f t="shared" si="12"/>
        <v>0</v>
      </c>
      <c r="AO54" s="449">
        <f t="shared" si="9"/>
        <v>0</v>
      </c>
      <c r="AP54" s="449"/>
      <c r="AQ54" s="449">
        <f t="shared" si="13"/>
        <v>0</v>
      </c>
      <c r="AR54" s="449"/>
      <c r="AS54" s="449"/>
      <c r="AT54" s="449"/>
      <c r="AU54" s="449"/>
      <c r="AV54" s="449"/>
      <c r="AW54" s="449">
        <f t="shared" si="14"/>
        <v>0</v>
      </c>
      <c r="AX54" s="449"/>
      <c r="AY54" s="449"/>
      <c r="AZ54" s="449"/>
      <c r="BA54" s="449"/>
    </row>
    <row r="55" spans="1:53" s="842" customFormat="1" ht="30" customHeight="1">
      <c r="A55" s="448">
        <f t="shared" si="10"/>
        <v>50</v>
      </c>
      <c r="B55" s="448">
        <v>2156</v>
      </c>
      <c r="C55" s="448" t="s">
        <v>390</v>
      </c>
      <c r="D55" s="449">
        <f>2600000+110000-10000</f>
        <v>2700000</v>
      </c>
      <c r="E55" s="449">
        <v>1600000</v>
      </c>
      <c r="F55" s="449">
        <f t="shared" si="0"/>
        <v>1100000</v>
      </c>
      <c r="G55" s="449">
        <v>700000</v>
      </c>
      <c r="H55" s="449">
        <v>301893</v>
      </c>
      <c r="I55" s="449">
        <v>0</v>
      </c>
      <c r="J55" s="449">
        <v>192689</v>
      </c>
      <c r="K55" s="449">
        <f t="shared" si="1"/>
        <v>192689</v>
      </c>
      <c r="L55" s="449">
        <f t="shared" si="2"/>
        <v>494582</v>
      </c>
      <c r="M55" s="449">
        <f t="shared" si="3"/>
        <v>205418</v>
      </c>
      <c r="N55" s="449">
        <f>810000+1000000-10000-1800000</f>
        <v>0</v>
      </c>
      <c r="O55" s="449">
        <f t="shared" si="4"/>
        <v>2000000</v>
      </c>
      <c r="P55" s="449">
        <f t="shared" si="5"/>
        <v>205418</v>
      </c>
      <c r="Q55" s="482">
        <f>200000-200000</f>
        <v>0</v>
      </c>
      <c r="R55" s="449"/>
      <c r="S55" s="449">
        <f t="shared" si="6"/>
        <v>0</v>
      </c>
      <c r="T55" s="449">
        <f t="shared" si="7"/>
        <v>0</v>
      </c>
      <c r="U55" s="449">
        <f t="shared" si="8"/>
        <v>0</v>
      </c>
      <c r="V55" s="449"/>
      <c r="W55" s="449">
        <f t="shared" si="11"/>
        <v>0</v>
      </c>
      <c r="X55" s="449"/>
      <c r="Y55" s="449"/>
      <c r="Z55" s="449"/>
      <c r="AA55" s="448"/>
      <c r="AB55" s="448" t="s">
        <v>603</v>
      </c>
      <c r="AC55" s="448">
        <v>720000</v>
      </c>
      <c r="AD55" s="449"/>
      <c r="AE55" s="449"/>
      <c r="AF55" s="449"/>
      <c r="AG55" s="449"/>
      <c r="AH55" s="449"/>
      <c r="AI55" s="449"/>
      <c r="AJ55" s="449"/>
      <c r="AK55" s="449"/>
      <c r="AL55" s="449"/>
      <c r="AM55" s="449"/>
      <c r="AN55" s="449">
        <f t="shared" si="12"/>
        <v>0</v>
      </c>
      <c r="AO55" s="449">
        <f t="shared" si="9"/>
        <v>0</v>
      </c>
      <c r="AP55" s="449"/>
      <c r="AQ55" s="449">
        <f t="shared" si="13"/>
        <v>0</v>
      </c>
      <c r="AR55" s="449"/>
      <c r="AS55" s="449"/>
      <c r="AT55" s="449"/>
      <c r="AU55" s="449"/>
      <c r="AV55" s="449"/>
      <c r="AW55" s="449">
        <f t="shared" si="14"/>
        <v>0</v>
      </c>
      <c r="AX55" s="449"/>
      <c r="AY55" s="449"/>
      <c r="AZ55" s="449"/>
      <c r="BA55" s="449"/>
    </row>
    <row r="56" spans="1:53" s="842" customFormat="1" ht="30" customHeight="1">
      <c r="A56" s="448">
        <f t="shared" si="10"/>
        <v>51</v>
      </c>
      <c r="B56" s="448">
        <v>2157</v>
      </c>
      <c r="C56" s="448" t="s">
        <v>432</v>
      </c>
      <c r="D56" s="449">
        <v>5200000</v>
      </c>
      <c r="E56" s="449">
        <v>5200000</v>
      </c>
      <c r="F56" s="449">
        <f t="shared" si="0"/>
        <v>0</v>
      </c>
      <c r="G56" s="449">
        <v>150000</v>
      </c>
      <c r="H56" s="449">
        <v>0</v>
      </c>
      <c r="I56" s="449">
        <v>0</v>
      </c>
      <c r="J56" s="449">
        <v>42554</v>
      </c>
      <c r="K56" s="449">
        <f t="shared" si="1"/>
        <v>42554</v>
      </c>
      <c r="L56" s="449">
        <f t="shared" si="2"/>
        <v>42554</v>
      </c>
      <c r="M56" s="449">
        <f t="shared" si="3"/>
        <v>7446</v>
      </c>
      <c r="N56" s="488">
        <f>6*70000</f>
        <v>420000</v>
      </c>
      <c r="O56" s="449">
        <f t="shared" si="4"/>
        <v>4730000</v>
      </c>
      <c r="P56" s="449">
        <f t="shared" si="5"/>
        <v>107446</v>
      </c>
      <c r="Q56" s="449"/>
      <c r="R56" s="645">
        <v>-100000</v>
      </c>
      <c r="S56" s="449">
        <f t="shared" si="6"/>
        <v>-100000</v>
      </c>
      <c r="T56" s="449">
        <f t="shared" si="7"/>
        <v>0</v>
      </c>
      <c r="U56" s="449">
        <f t="shared" si="8"/>
        <v>420000</v>
      </c>
      <c r="V56" s="449"/>
      <c r="W56" s="449">
        <f t="shared" si="11"/>
        <v>420000</v>
      </c>
      <c r="X56" s="449"/>
      <c r="Y56" s="449"/>
      <c r="Z56" s="449"/>
      <c r="AA56" s="448"/>
      <c r="AB56" s="448" t="s">
        <v>417</v>
      </c>
      <c r="AC56" s="448">
        <v>810000</v>
      </c>
      <c r="AD56" s="449"/>
      <c r="AE56" s="449"/>
      <c r="AF56" s="449"/>
      <c r="AG56" s="449"/>
      <c r="AH56" s="449"/>
      <c r="AI56" s="449"/>
      <c r="AJ56" s="449">
        <v>420000</v>
      </c>
      <c r="AK56" s="449"/>
      <c r="AL56" s="449"/>
      <c r="AM56" s="449"/>
      <c r="AN56" s="449">
        <f t="shared" si="12"/>
        <v>420000</v>
      </c>
      <c r="AO56" s="449">
        <f t="shared" si="9"/>
        <v>0</v>
      </c>
      <c r="AP56" s="449"/>
      <c r="AQ56" s="449">
        <f t="shared" si="13"/>
        <v>420000</v>
      </c>
      <c r="AR56" s="449"/>
      <c r="AS56" s="449"/>
      <c r="AT56" s="449"/>
      <c r="AU56" s="449"/>
      <c r="AV56" s="449"/>
      <c r="AW56" s="449">
        <f t="shared" si="14"/>
        <v>0</v>
      </c>
      <c r="AX56" s="449"/>
      <c r="AY56" s="449"/>
      <c r="AZ56" s="449"/>
      <c r="BA56" s="449"/>
    </row>
    <row r="57" spans="1:53" s="842" customFormat="1" ht="30" customHeight="1">
      <c r="A57" s="448">
        <f t="shared" si="10"/>
        <v>52</v>
      </c>
      <c r="B57" s="455">
        <v>2165</v>
      </c>
      <c r="C57" s="448" t="s">
        <v>604</v>
      </c>
      <c r="D57" s="449">
        <v>1600000</v>
      </c>
      <c r="E57" s="449">
        <v>1040000</v>
      </c>
      <c r="F57" s="449">
        <f t="shared" si="0"/>
        <v>560000</v>
      </c>
      <c r="G57" s="449">
        <v>0</v>
      </c>
      <c r="H57" s="449">
        <v>0</v>
      </c>
      <c r="I57" s="449">
        <v>0</v>
      </c>
      <c r="J57" s="449">
        <v>0</v>
      </c>
      <c r="K57" s="449">
        <f t="shared" si="1"/>
        <v>0</v>
      </c>
      <c r="L57" s="449">
        <f t="shared" si="2"/>
        <v>0</v>
      </c>
      <c r="M57" s="449">
        <f t="shared" si="3"/>
        <v>0</v>
      </c>
      <c r="N57" s="449">
        <f>1600000-1600000</f>
        <v>0</v>
      </c>
      <c r="O57" s="449">
        <f t="shared" si="4"/>
        <v>1600000</v>
      </c>
      <c r="P57" s="449">
        <f t="shared" si="5"/>
        <v>0</v>
      </c>
      <c r="Q57" s="449"/>
      <c r="R57" s="449"/>
      <c r="S57" s="449">
        <f t="shared" si="6"/>
        <v>0</v>
      </c>
      <c r="T57" s="449">
        <f t="shared" si="7"/>
        <v>0</v>
      </c>
      <c r="U57" s="449">
        <f t="shared" si="8"/>
        <v>0</v>
      </c>
      <c r="V57" s="449"/>
      <c r="W57" s="419">
        <f t="shared" si="11"/>
        <v>0</v>
      </c>
      <c r="X57" s="449"/>
      <c r="Y57" s="449"/>
      <c r="Z57" s="449"/>
      <c r="AA57" s="449"/>
      <c r="AB57" s="448" t="s">
        <v>738</v>
      </c>
      <c r="AC57" s="448">
        <v>746000</v>
      </c>
      <c r="AD57" s="449"/>
      <c r="AE57" s="449"/>
      <c r="AF57" s="449"/>
      <c r="AG57" s="449"/>
      <c r="AH57" s="449"/>
      <c r="AI57" s="449"/>
      <c r="AJ57" s="449"/>
      <c r="AK57" s="449"/>
      <c r="AL57" s="449"/>
      <c r="AM57" s="449"/>
      <c r="AN57" s="449">
        <f t="shared" si="12"/>
        <v>0</v>
      </c>
      <c r="AO57" s="449">
        <f t="shared" si="9"/>
        <v>0</v>
      </c>
      <c r="AP57" s="449"/>
      <c r="AQ57" s="449">
        <f t="shared" si="13"/>
        <v>0</v>
      </c>
      <c r="AR57" s="449"/>
      <c r="AS57" s="449"/>
      <c r="AT57" s="449"/>
      <c r="AU57" s="449"/>
      <c r="AV57" s="449"/>
      <c r="AW57" s="449">
        <f t="shared" si="14"/>
        <v>0</v>
      </c>
      <c r="AX57" s="449"/>
      <c r="AY57" s="449"/>
      <c r="AZ57" s="449"/>
      <c r="BA57" s="449"/>
    </row>
    <row r="58" spans="1:53" s="842" customFormat="1" ht="30" customHeight="1">
      <c r="A58" s="448">
        <f t="shared" si="10"/>
        <v>53</v>
      </c>
      <c r="B58" s="455">
        <v>2166</v>
      </c>
      <c r="C58" s="448" t="s">
        <v>399</v>
      </c>
      <c r="D58" s="449">
        <v>500000</v>
      </c>
      <c r="E58" s="449">
        <v>500000</v>
      </c>
      <c r="F58" s="449">
        <f t="shared" si="0"/>
        <v>0</v>
      </c>
      <c r="G58" s="449">
        <v>0</v>
      </c>
      <c r="H58" s="449">
        <v>0</v>
      </c>
      <c r="I58" s="449">
        <v>0</v>
      </c>
      <c r="J58" s="449">
        <v>0</v>
      </c>
      <c r="K58" s="449">
        <f t="shared" si="1"/>
        <v>0</v>
      </c>
      <c r="L58" s="449">
        <f t="shared" si="2"/>
        <v>0</v>
      </c>
      <c r="M58" s="449">
        <f t="shared" si="3"/>
        <v>0</v>
      </c>
      <c r="N58" s="449">
        <v>500000</v>
      </c>
      <c r="O58" s="449">
        <f t="shared" si="4"/>
        <v>0</v>
      </c>
      <c r="P58" s="449">
        <f t="shared" si="5"/>
        <v>0</v>
      </c>
      <c r="Q58" s="449"/>
      <c r="R58" s="449"/>
      <c r="S58" s="449">
        <f t="shared" si="6"/>
        <v>0</v>
      </c>
      <c r="T58" s="449">
        <f t="shared" si="7"/>
        <v>0</v>
      </c>
      <c r="U58" s="449">
        <f t="shared" si="8"/>
        <v>500000</v>
      </c>
      <c r="V58" s="449"/>
      <c r="W58" s="419">
        <f t="shared" si="11"/>
        <v>500000</v>
      </c>
      <c r="X58" s="449"/>
      <c r="Y58" s="449"/>
      <c r="Z58" s="449"/>
      <c r="AA58" s="449"/>
      <c r="AB58" s="448" t="s">
        <v>676</v>
      </c>
      <c r="AC58" s="448">
        <v>746000</v>
      </c>
      <c r="AD58" s="449"/>
      <c r="AE58" s="449"/>
      <c r="AF58" s="449"/>
      <c r="AG58" s="449"/>
      <c r="AH58" s="449"/>
      <c r="AI58" s="449"/>
      <c r="AJ58" s="449"/>
      <c r="AK58" s="449"/>
      <c r="AL58" s="449"/>
      <c r="AM58" s="449"/>
      <c r="AN58" s="449">
        <f t="shared" si="12"/>
        <v>0</v>
      </c>
      <c r="AO58" s="449">
        <f t="shared" si="9"/>
        <v>500000</v>
      </c>
      <c r="AP58" s="449"/>
      <c r="AQ58" s="449">
        <f t="shared" si="13"/>
        <v>0</v>
      </c>
      <c r="AR58" s="449"/>
      <c r="AS58" s="449"/>
      <c r="AT58" s="449"/>
      <c r="AU58" s="449"/>
      <c r="AV58" s="449"/>
      <c r="AW58" s="449">
        <f t="shared" si="14"/>
        <v>0</v>
      </c>
      <c r="AX58" s="449"/>
      <c r="AY58" s="449"/>
      <c r="AZ58" s="449"/>
      <c r="BA58" s="449"/>
    </row>
    <row r="59" spans="1:53" s="842" customFormat="1" ht="30" customHeight="1">
      <c r="A59" s="448">
        <f t="shared" si="10"/>
        <v>54</v>
      </c>
      <c r="B59" s="455">
        <v>2167</v>
      </c>
      <c r="C59" s="448" t="s">
        <v>400</v>
      </c>
      <c r="D59" s="449">
        <v>1400000</v>
      </c>
      <c r="E59" s="449">
        <v>1400000</v>
      </c>
      <c r="F59" s="449">
        <f t="shared" si="0"/>
        <v>0</v>
      </c>
      <c r="G59" s="449">
        <v>100000</v>
      </c>
      <c r="H59" s="449">
        <v>1170</v>
      </c>
      <c r="I59" s="449">
        <v>0</v>
      </c>
      <c r="J59" s="449">
        <v>91455</v>
      </c>
      <c r="K59" s="449">
        <f t="shared" si="1"/>
        <v>91455</v>
      </c>
      <c r="L59" s="449">
        <f t="shared" si="2"/>
        <v>92625</v>
      </c>
      <c r="M59" s="449">
        <f t="shared" si="3"/>
        <v>7375</v>
      </c>
      <c r="N59" s="449"/>
      <c r="O59" s="449">
        <f t="shared" si="4"/>
        <v>1300000</v>
      </c>
      <c r="P59" s="449">
        <f t="shared" si="5"/>
        <v>7375</v>
      </c>
      <c r="Q59" s="449"/>
      <c r="R59" s="449"/>
      <c r="S59" s="449">
        <f t="shared" si="6"/>
        <v>0</v>
      </c>
      <c r="T59" s="449">
        <f t="shared" si="7"/>
        <v>0</v>
      </c>
      <c r="U59" s="449">
        <f t="shared" si="8"/>
        <v>0</v>
      </c>
      <c r="V59" s="449"/>
      <c r="W59" s="419">
        <f t="shared" si="11"/>
        <v>0</v>
      </c>
      <c r="X59" s="449"/>
      <c r="Y59" s="449"/>
      <c r="Z59" s="449"/>
      <c r="AA59" s="449"/>
      <c r="AB59" s="448" t="s">
        <v>845</v>
      </c>
      <c r="AC59" s="448">
        <v>742000</v>
      </c>
      <c r="AD59" s="449"/>
      <c r="AE59" s="449"/>
      <c r="AF59" s="449"/>
      <c r="AG59" s="449"/>
      <c r="AH59" s="449"/>
      <c r="AI59" s="449"/>
      <c r="AJ59" s="449"/>
      <c r="AK59" s="449"/>
      <c r="AL59" s="449"/>
      <c r="AM59" s="449"/>
      <c r="AN59" s="449">
        <f t="shared" si="12"/>
        <v>0</v>
      </c>
      <c r="AO59" s="449">
        <f t="shared" si="9"/>
        <v>0</v>
      </c>
      <c r="AP59" s="449"/>
      <c r="AQ59" s="449">
        <f t="shared" si="13"/>
        <v>0</v>
      </c>
      <c r="AR59" s="449"/>
      <c r="AS59" s="449"/>
      <c r="AT59" s="449"/>
      <c r="AU59" s="449"/>
      <c r="AV59" s="449"/>
      <c r="AW59" s="449">
        <f t="shared" si="14"/>
        <v>0</v>
      </c>
      <c r="AX59" s="449"/>
      <c r="AY59" s="449"/>
      <c r="AZ59" s="449"/>
      <c r="BA59" s="449"/>
    </row>
    <row r="60" spans="1:53" s="842" customFormat="1" ht="30" customHeight="1">
      <c r="A60" s="448">
        <f t="shared" si="10"/>
        <v>55</v>
      </c>
      <c r="B60" s="448">
        <v>2177</v>
      </c>
      <c r="C60" s="448" t="s">
        <v>577</v>
      </c>
      <c r="D60" s="449">
        <v>12500000</v>
      </c>
      <c r="E60" s="449">
        <v>12500000</v>
      </c>
      <c r="F60" s="449">
        <f t="shared" si="0"/>
        <v>0</v>
      </c>
      <c r="G60" s="449">
        <v>12500000</v>
      </c>
      <c r="H60" s="449">
        <v>12000101</v>
      </c>
      <c r="I60" s="449">
        <v>254817</v>
      </c>
      <c r="J60" s="449">
        <v>236993</v>
      </c>
      <c r="K60" s="449">
        <f t="shared" si="1"/>
        <v>491810</v>
      </c>
      <c r="L60" s="449">
        <f t="shared" si="2"/>
        <v>12491911</v>
      </c>
      <c r="M60" s="449">
        <f t="shared" si="3"/>
        <v>8089</v>
      </c>
      <c r="N60" s="449"/>
      <c r="O60" s="449">
        <f t="shared" si="4"/>
        <v>0</v>
      </c>
      <c r="P60" s="449">
        <f t="shared" si="5"/>
        <v>8089</v>
      </c>
      <c r="Q60" s="449"/>
      <c r="R60" s="449"/>
      <c r="S60" s="449">
        <f t="shared" si="6"/>
        <v>0</v>
      </c>
      <c r="T60" s="449">
        <f t="shared" si="7"/>
        <v>0</v>
      </c>
      <c r="U60" s="449">
        <f t="shared" si="8"/>
        <v>0</v>
      </c>
      <c r="V60" s="449"/>
      <c r="W60" s="449">
        <f t="shared" si="11"/>
        <v>0</v>
      </c>
      <c r="X60" s="449"/>
      <c r="Y60" s="449"/>
      <c r="Z60" s="449"/>
      <c r="AA60" s="448"/>
      <c r="AB60" s="448" t="s">
        <v>677</v>
      </c>
      <c r="AC60" s="448">
        <v>810000</v>
      </c>
      <c r="AD60" s="449"/>
      <c r="AE60" s="449"/>
      <c r="AF60" s="449"/>
      <c r="AG60" s="449"/>
      <c r="AH60" s="449"/>
      <c r="AI60" s="449"/>
      <c r="AJ60" s="449"/>
      <c r="AK60" s="449"/>
      <c r="AL60" s="449"/>
      <c r="AM60" s="449"/>
      <c r="AN60" s="449">
        <f t="shared" si="12"/>
        <v>0</v>
      </c>
      <c r="AO60" s="449">
        <f t="shared" si="9"/>
        <v>0</v>
      </c>
      <c r="AP60" s="449"/>
      <c r="AQ60" s="449">
        <f t="shared" si="13"/>
        <v>0</v>
      </c>
      <c r="AR60" s="449"/>
      <c r="AS60" s="449"/>
      <c r="AT60" s="449"/>
      <c r="AU60" s="449"/>
      <c r="AV60" s="449"/>
      <c r="AW60" s="449">
        <f t="shared" si="14"/>
        <v>0</v>
      </c>
      <c r="AX60" s="449"/>
      <c r="AY60" s="449"/>
      <c r="AZ60" s="449"/>
      <c r="BA60" s="449"/>
    </row>
    <row r="61" spans="1:53" s="842" customFormat="1" ht="30" customHeight="1">
      <c r="A61" s="448">
        <f t="shared" si="10"/>
        <v>56</v>
      </c>
      <c r="B61" s="448">
        <v>2178</v>
      </c>
      <c r="C61" s="448" t="s">
        <v>433</v>
      </c>
      <c r="D61" s="449">
        <f>9000000+6700000</f>
        <v>15700000</v>
      </c>
      <c r="E61" s="449">
        <v>2100000</v>
      </c>
      <c r="F61" s="449">
        <f t="shared" si="0"/>
        <v>13600000</v>
      </c>
      <c r="G61" s="449">
        <v>1700000</v>
      </c>
      <c r="H61" s="449">
        <v>1658344</v>
      </c>
      <c r="I61" s="449">
        <v>0</v>
      </c>
      <c r="J61" s="449">
        <v>761</v>
      </c>
      <c r="K61" s="449">
        <f t="shared" si="1"/>
        <v>761</v>
      </c>
      <c r="L61" s="449">
        <f t="shared" si="2"/>
        <v>1659105</v>
      </c>
      <c r="M61" s="449">
        <f t="shared" si="3"/>
        <v>40895</v>
      </c>
      <c r="N61" s="449">
        <f>7000000-1000000</f>
        <v>6000000</v>
      </c>
      <c r="O61" s="449">
        <f t="shared" si="4"/>
        <v>8000000</v>
      </c>
      <c r="P61" s="449">
        <f t="shared" si="5"/>
        <v>40895</v>
      </c>
      <c r="Q61" s="449"/>
      <c r="R61" s="449"/>
      <c r="S61" s="449">
        <f t="shared" si="6"/>
        <v>0</v>
      </c>
      <c r="T61" s="449">
        <f t="shared" si="7"/>
        <v>0</v>
      </c>
      <c r="U61" s="449">
        <f t="shared" si="8"/>
        <v>6000000</v>
      </c>
      <c r="V61" s="449"/>
      <c r="W61" s="449">
        <f t="shared" si="11"/>
        <v>6000000</v>
      </c>
      <c r="X61" s="449"/>
      <c r="Y61" s="449"/>
      <c r="Z61" s="449"/>
      <c r="AA61" s="449"/>
      <c r="AB61" s="448" t="s">
        <v>911</v>
      </c>
      <c r="AC61" s="448">
        <v>810000</v>
      </c>
      <c r="AD61" s="449"/>
      <c r="AE61" s="449"/>
      <c r="AF61" s="449"/>
      <c r="AG61" s="449"/>
      <c r="AH61" s="449"/>
      <c r="AI61" s="449"/>
      <c r="AJ61" s="449"/>
      <c r="AK61" s="449"/>
      <c r="AL61" s="449"/>
      <c r="AM61" s="449"/>
      <c r="AN61" s="449">
        <f t="shared" si="12"/>
        <v>0</v>
      </c>
      <c r="AO61" s="449">
        <f t="shared" si="9"/>
        <v>6000000</v>
      </c>
      <c r="AP61" s="449"/>
      <c r="AQ61" s="449">
        <f t="shared" si="13"/>
        <v>0</v>
      </c>
      <c r="AR61" s="449"/>
      <c r="AS61" s="449"/>
      <c r="AT61" s="449"/>
      <c r="AU61" s="449"/>
      <c r="AV61" s="449"/>
      <c r="AW61" s="449">
        <f t="shared" si="14"/>
        <v>0</v>
      </c>
      <c r="AX61" s="449"/>
      <c r="AY61" s="449"/>
      <c r="AZ61" s="449"/>
      <c r="BA61" s="449"/>
    </row>
    <row r="62" spans="1:53" s="842" customFormat="1" ht="30" customHeight="1">
      <c r="A62" s="448">
        <f t="shared" si="10"/>
        <v>57</v>
      </c>
      <c r="B62" s="455">
        <v>2181</v>
      </c>
      <c r="C62" s="448" t="s">
        <v>434</v>
      </c>
      <c r="D62" s="449">
        <v>1259000</v>
      </c>
      <c r="E62" s="449">
        <v>1259000</v>
      </c>
      <c r="F62" s="449">
        <f t="shared" si="0"/>
        <v>0</v>
      </c>
      <c r="G62" s="449">
        <v>1259000</v>
      </c>
      <c r="H62" s="449">
        <v>1235965</v>
      </c>
      <c r="I62" s="449">
        <v>0</v>
      </c>
      <c r="J62" s="449">
        <v>0</v>
      </c>
      <c r="K62" s="449">
        <f t="shared" si="1"/>
        <v>0</v>
      </c>
      <c r="L62" s="449">
        <f t="shared" si="2"/>
        <v>1235965</v>
      </c>
      <c r="M62" s="449">
        <f t="shared" si="3"/>
        <v>23035</v>
      </c>
      <c r="N62" s="449"/>
      <c r="O62" s="449">
        <f t="shared" si="4"/>
        <v>0</v>
      </c>
      <c r="P62" s="449">
        <f t="shared" si="5"/>
        <v>23035</v>
      </c>
      <c r="Q62" s="449"/>
      <c r="R62" s="449"/>
      <c r="S62" s="449">
        <f t="shared" si="6"/>
        <v>0</v>
      </c>
      <c r="T62" s="449">
        <f t="shared" si="7"/>
        <v>0</v>
      </c>
      <c r="U62" s="449">
        <f t="shared" si="8"/>
        <v>0</v>
      </c>
      <c r="V62" s="449"/>
      <c r="W62" s="419">
        <f t="shared" si="11"/>
        <v>0</v>
      </c>
      <c r="X62" s="449"/>
      <c r="Y62" s="449"/>
      <c r="Z62" s="449"/>
      <c r="AA62" s="449"/>
      <c r="AB62" s="448" t="s">
        <v>458</v>
      </c>
      <c r="AC62" s="448">
        <v>747000</v>
      </c>
      <c r="AD62" s="449"/>
      <c r="AE62" s="449"/>
      <c r="AF62" s="449"/>
      <c r="AG62" s="449"/>
      <c r="AH62" s="449"/>
      <c r="AI62" s="449"/>
      <c r="AJ62" s="449"/>
      <c r="AK62" s="449"/>
      <c r="AL62" s="449"/>
      <c r="AM62" s="449"/>
      <c r="AN62" s="449">
        <f t="shared" si="12"/>
        <v>0</v>
      </c>
      <c r="AO62" s="449">
        <f t="shared" si="9"/>
        <v>0</v>
      </c>
      <c r="AP62" s="449"/>
      <c r="AQ62" s="449">
        <f t="shared" si="13"/>
        <v>0</v>
      </c>
      <c r="AR62" s="449"/>
      <c r="AS62" s="449"/>
      <c r="AT62" s="449"/>
      <c r="AU62" s="449"/>
      <c r="AV62" s="449"/>
      <c r="AW62" s="449">
        <f t="shared" si="14"/>
        <v>0</v>
      </c>
      <c r="AX62" s="449"/>
      <c r="AY62" s="449"/>
      <c r="AZ62" s="449"/>
      <c r="BA62" s="449"/>
    </row>
    <row r="63" spans="1:53" s="842" customFormat="1" ht="30" customHeight="1">
      <c r="A63" s="448">
        <f t="shared" si="10"/>
        <v>58</v>
      </c>
      <c r="B63" s="448">
        <v>2187</v>
      </c>
      <c r="C63" s="448" t="s">
        <v>446</v>
      </c>
      <c r="D63" s="449">
        <v>10600000</v>
      </c>
      <c r="E63" s="449">
        <v>10600000</v>
      </c>
      <c r="F63" s="449">
        <f t="shared" si="0"/>
        <v>0</v>
      </c>
      <c r="G63" s="449">
        <v>10600000</v>
      </c>
      <c r="H63" s="449">
        <v>8755527</v>
      </c>
      <c r="I63" s="449">
        <v>344565</v>
      </c>
      <c r="J63" s="449">
        <v>590972</v>
      </c>
      <c r="K63" s="449">
        <f t="shared" si="1"/>
        <v>935537</v>
      </c>
      <c r="L63" s="449">
        <f t="shared" si="2"/>
        <v>9691064</v>
      </c>
      <c r="M63" s="449">
        <f t="shared" si="3"/>
        <v>908936</v>
      </c>
      <c r="N63" s="449"/>
      <c r="O63" s="449">
        <f t="shared" si="4"/>
        <v>0</v>
      </c>
      <c r="P63" s="449">
        <f t="shared" si="5"/>
        <v>908936</v>
      </c>
      <c r="Q63" s="449"/>
      <c r="R63" s="449"/>
      <c r="S63" s="449">
        <f t="shared" si="6"/>
        <v>0</v>
      </c>
      <c r="T63" s="449">
        <f t="shared" si="7"/>
        <v>0</v>
      </c>
      <c r="U63" s="449">
        <f t="shared" si="8"/>
        <v>0</v>
      </c>
      <c r="V63" s="449"/>
      <c r="W63" s="449">
        <f t="shared" si="11"/>
        <v>0</v>
      </c>
      <c r="X63" s="449"/>
      <c r="Y63" s="449"/>
      <c r="Z63" s="449"/>
      <c r="AA63" s="448"/>
      <c r="AB63" s="448" t="s">
        <v>447</v>
      </c>
      <c r="AC63" s="448">
        <v>810000</v>
      </c>
      <c r="AD63" s="449"/>
      <c r="AE63" s="449"/>
      <c r="AF63" s="449"/>
      <c r="AG63" s="449"/>
      <c r="AH63" s="449"/>
      <c r="AI63" s="449"/>
      <c r="AJ63" s="449"/>
      <c r="AK63" s="449"/>
      <c r="AL63" s="449"/>
      <c r="AM63" s="449"/>
      <c r="AN63" s="449">
        <f t="shared" si="12"/>
        <v>0</v>
      </c>
      <c r="AO63" s="449">
        <f t="shared" si="9"/>
        <v>0</v>
      </c>
      <c r="AP63" s="449"/>
      <c r="AQ63" s="449">
        <f t="shared" si="13"/>
        <v>0</v>
      </c>
      <c r="AR63" s="449"/>
      <c r="AS63" s="449"/>
      <c r="AT63" s="449"/>
      <c r="AU63" s="449"/>
      <c r="AV63" s="449"/>
      <c r="AW63" s="449">
        <f t="shared" si="14"/>
        <v>0</v>
      </c>
      <c r="AX63" s="449"/>
      <c r="AY63" s="449"/>
      <c r="AZ63" s="449"/>
      <c r="BA63" s="449"/>
    </row>
    <row r="64" spans="1:53" s="842" customFormat="1" ht="30" customHeight="1">
      <c r="A64" s="448">
        <f t="shared" si="10"/>
        <v>59</v>
      </c>
      <c r="B64" s="486">
        <v>2211</v>
      </c>
      <c r="C64" s="448" t="s">
        <v>722</v>
      </c>
      <c r="D64" s="449">
        <v>800000</v>
      </c>
      <c r="E64" s="646">
        <v>800000</v>
      </c>
      <c r="F64" s="449">
        <f t="shared" si="0"/>
        <v>0</v>
      </c>
      <c r="G64" s="646">
        <v>800000</v>
      </c>
      <c r="H64" s="646">
        <v>715023</v>
      </c>
      <c r="I64" s="646">
        <v>44227</v>
      </c>
      <c r="J64" s="646">
        <v>0</v>
      </c>
      <c r="K64" s="449">
        <f t="shared" si="1"/>
        <v>44227</v>
      </c>
      <c r="L64" s="449">
        <f t="shared" si="2"/>
        <v>759250</v>
      </c>
      <c r="M64" s="449">
        <f t="shared" si="3"/>
        <v>40750</v>
      </c>
      <c r="N64" s="449"/>
      <c r="O64" s="449">
        <f t="shared" si="4"/>
        <v>0</v>
      </c>
      <c r="P64" s="449">
        <f t="shared" si="5"/>
        <v>40750</v>
      </c>
      <c r="Q64" s="646"/>
      <c r="R64" s="646"/>
      <c r="S64" s="449">
        <f t="shared" si="6"/>
        <v>0</v>
      </c>
      <c r="T64" s="449">
        <f t="shared" si="7"/>
        <v>0</v>
      </c>
      <c r="U64" s="449">
        <f t="shared" si="8"/>
        <v>0</v>
      </c>
      <c r="V64" s="449"/>
      <c r="W64" s="449">
        <f t="shared" si="11"/>
        <v>0</v>
      </c>
      <c r="X64" s="486"/>
      <c r="Y64" s="486"/>
      <c r="Z64" s="486"/>
      <c r="AA64" s="486"/>
      <c r="AB64" s="448" t="s">
        <v>698</v>
      </c>
      <c r="AC64" s="448">
        <v>810000</v>
      </c>
      <c r="AD64" s="449"/>
      <c r="AE64" s="449"/>
      <c r="AF64" s="449"/>
      <c r="AG64" s="449"/>
      <c r="AH64" s="449"/>
      <c r="AI64" s="449"/>
      <c r="AJ64" s="449"/>
      <c r="AK64" s="449"/>
      <c r="AL64" s="449"/>
      <c r="AM64" s="449"/>
      <c r="AN64" s="449">
        <f t="shared" si="12"/>
        <v>0</v>
      </c>
      <c r="AO64" s="449">
        <f t="shared" si="9"/>
        <v>0</v>
      </c>
      <c r="AP64" s="449"/>
      <c r="AQ64" s="449">
        <f t="shared" si="13"/>
        <v>0</v>
      </c>
      <c r="AR64" s="449"/>
      <c r="AS64" s="449"/>
      <c r="AT64" s="449"/>
      <c r="AU64" s="449"/>
      <c r="AV64" s="449"/>
      <c r="AW64" s="449">
        <f t="shared" si="14"/>
        <v>0</v>
      </c>
      <c r="AX64" s="449"/>
      <c r="AY64" s="449"/>
      <c r="AZ64" s="449"/>
      <c r="BA64" s="449"/>
    </row>
    <row r="65" spans="1:53" s="842" customFormat="1" ht="30" customHeight="1">
      <c r="A65" s="448">
        <f t="shared" si="10"/>
        <v>60</v>
      </c>
      <c r="B65" s="486">
        <v>2214</v>
      </c>
      <c r="C65" s="448" t="s">
        <v>1259</v>
      </c>
      <c r="D65" s="449">
        <f>300000-100000</f>
        <v>200000</v>
      </c>
      <c r="E65" s="449">
        <v>200000</v>
      </c>
      <c r="F65" s="449">
        <f t="shared" si="0"/>
        <v>0</v>
      </c>
      <c r="G65" s="461">
        <v>200000</v>
      </c>
      <c r="H65" s="461">
        <v>68461</v>
      </c>
      <c r="I65" s="461">
        <v>0</v>
      </c>
      <c r="J65" s="461">
        <v>87645</v>
      </c>
      <c r="K65" s="449">
        <f t="shared" si="1"/>
        <v>87645</v>
      </c>
      <c r="L65" s="449">
        <f t="shared" si="2"/>
        <v>156106</v>
      </c>
      <c r="M65" s="449">
        <f t="shared" si="3"/>
        <v>43894</v>
      </c>
      <c r="N65" s="449">
        <f>100000-100000</f>
        <v>0</v>
      </c>
      <c r="O65" s="449">
        <f t="shared" si="4"/>
        <v>0</v>
      </c>
      <c r="P65" s="449">
        <f t="shared" si="5"/>
        <v>43894</v>
      </c>
      <c r="Q65" s="461"/>
      <c r="R65" s="461"/>
      <c r="S65" s="449">
        <f t="shared" si="6"/>
        <v>0</v>
      </c>
      <c r="T65" s="449">
        <f t="shared" si="7"/>
        <v>0</v>
      </c>
      <c r="U65" s="449">
        <f t="shared" si="8"/>
        <v>0</v>
      </c>
      <c r="V65" s="449"/>
      <c r="W65" s="449">
        <f>U65-V65-AA65</f>
        <v>0</v>
      </c>
      <c r="X65" s="449"/>
      <c r="Y65" s="449"/>
      <c r="Z65" s="449"/>
      <c r="AA65" s="449"/>
      <c r="AB65" s="448" t="s">
        <v>846</v>
      </c>
      <c r="AC65" s="448">
        <v>930000</v>
      </c>
      <c r="AD65" s="449"/>
      <c r="AE65" s="449"/>
      <c r="AF65" s="449"/>
      <c r="AG65" s="449"/>
      <c r="AH65" s="449"/>
      <c r="AI65" s="449"/>
      <c r="AJ65" s="449"/>
      <c r="AK65" s="449"/>
      <c r="AL65" s="449"/>
      <c r="AM65" s="449"/>
      <c r="AN65" s="449">
        <f t="shared" si="12"/>
        <v>0</v>
      </c>
      <c r="AO65" s="449">
        <f t="shared" si="9"/>
        <v>0</v>
      </c>
      <c r="AP65" s="449"/>
      <c r="AQ65" s="449">
        <f t="shared" si="13"/>
        <v>0</v>
      </c>
      <c r="AR65" s="449"/>
      <c r="AS65" s="449"/>
      <c r="AT65" s="449"/>
      <c r="AU65" s="449"/>
      <c r="AV65" s="449"/>
      <c r="AW65" s="449">
        <f t="shared" si="14"/>
        <v>0</v>
      </c>
      <c r="AX65" s="449"/>
      <c r="AY65" s="449"/>
      <c r="AZ65" s="449"/>
      <c r="BA65" s="449"/>
    </row>
    <row r="66" spans="1:53" s="842" customFormat="1" ht="30" customHeight="1">
      <c r="A66" s="448">
        <f t="shared" si="10"/>
        <v>61</v>
      </c>
      <c r="B66" s="486">
        <v>2215</v>
      </c>
      <c r="C66" s="448" t="s">
        <v>450</v>
      </c>
      <c r="D66" s="449">
        <v>420000</v>
      </c>
      <c r="E66" s="449">
        <v>420000</v>
      </c>
      <c r="F66" s="449">
        <f t="shared" si="0"/>
        <v>0</v>
      </c>
      <c r="G66" s="461">
        <v>420000</v>
      </c>
      <c r="H66" s="461">
        <v>383635</v>
      </c>
      <c r="I66" s="461">
        <v>0</v>
      </c>
      <c r="J66" s="461">
        <v>0</v>
      </c>
      <c r="K66" s="449">
        <f t="shared" si="1"/>
        <v>0</v>
      </c>
      <c r="L66" s="449">
        <f t="shared" si="2"/>
        <v>383635</v>
      </c>
      <c r="M66" s="449">
        <f t="shared" si="3"/>
        <v>36365</v>
      </c>
      <c r="N66" s="449"/>
      <c r="O66" s="449">
        <f t="shared" si="4"/>
        <v>0</v>
      </c>
      <c r="P66" s="449">
        <f t="shared" si="5"/>
        <v>36365</v>
      </c>
      <c r="Q66" s="461"/>
      <c r="R66" s="461"/>
      <c r="S66" s="449">
        <f t="shared" si="6"/>
        <v>0</v>
      </c>
      <c r="T66" s="449">
        <f t="shared" si="7"/>
        <v>0</v>
      </c>
      <c r="U66" s="449">
        <f t="shared" si="8"/>
        <v>0</v>
      </c>
      <c r="V66" s="449"/>
      <c r="W66" s="449">
        <f>U66-V66-AA66</f>
        <v>0</v>
      </c>
      <c r="X66" s="449"/>
      <c r="Y66" s="449"/>
      <c r="Z66" s="449"/>
      <c r="AA66" s="449"/>
      <c r="AB66" s="448" t="s">
        <v>451</v>
      </c>
      <c r="AC66" s="448">
        <v>810000</v>
      </c>
      <c r="AD66" s="449"/>
      <c r="AE66" s="449"/>
      <c r="AF66" s="449"/>
      <c r="AG66" s="449"/>
      <c r="AH66" s="449"/>
      <c r="AI66" s="449"/>
      <c r="AJ66" s="449"/>
      <c r="AK66" s="449"/>
      <c r="AL66" s="449"/>
      <c r="AM66" s="449"/>
      <c r="AN66" s="449">
        <f t="shared" si="12"/>
        <v>0</v>
      </c>
      <c r="AO66" s="449">
        <f t="shared" si="9"/>
        <v>0</v>
      </c>
      <c r="AP66" s="449"/>
      <c r="AQ66" s="449">
        <f t="shared" si="13"/>
        <v>0</v>
      </c>
      <c r="AR66" s="449"/>
      <c r="AS66" s="449"/>
      <c r="AT66" s="449"/>
      <c r="AU66" s="449"/>
      <c r="AV66" s="449"/>
      <c r="AW66" s="449">
        <f t="shared" si="14"/>
        <v>0</v>
      </c>
      <c r="AX66" s="449"/>
      <c r="AY66" s="449"/>
      <c r="AZ66" s="449"/>
      <c r="BA66" s="449"/>
    </row>
    <row r="67" spans="1:53" s="842" customFormat="1" ht="30" customHeight="1">
      <c r="A67" s="448">
        <f t="shared" si="10"/>
        <v>62</v>
      </c>
      <c r="B67" s="455">
        <v>2216</v>
      </c>
      <c r="C67" s="448" t="s">
        <v>453</v>
      </c>
      <c r="D67" s="449">
        <v>4400000</v>
      </c>
      <c r="E67" s="449">
        <v>4400000</v>
      </c>
      <c r="F67" s="449">
        <f t="shared" si="0"/>
        <v>0</v>
      </c>
      <c r="G67" s="449">
        <v>4400000</v>
      </c>
      <c r="H67" s="449">
        <v>110395</v>
      </c>
      <c r="I67" s="449">
        <v>0</v>
      </c>
      <c r="J67" s="449">
        <v>3233317</v>
      </c>
      <c r="K67" s="449">
        <f t="shared" si="1"/>
        <v>3233317</v>
      </c>
      <c r="L67" s="449">
        <f t="shared" si="2"/>
        <v>3343712</v>
      </c>
      <c r="M67" s="449">
        <f t="shared" si="3"/>
        <v>1056288</v>
      </c>
      <c r="N67" s="449"/>
      <c r="O67" s="449">
        <f t="shared" si="4"/>
        <v>0</v>
      </c>
      <c r="P67" s="449">
        <f t="shared" si="5"/>
        <v>1056288</v>
      </c>
      <c r="Q67" s="449"/>
      <c r="R67" s="449"/>
      <c r="S67" s="449">
        <f t="shared" si="6"/>
        <v>0</v>
      </c>
      <c r="T67" s="449">
        <f t="shared" si="7"/>
        <v>0</v>
      </c>
      <c r="U67" s="449">
        <f t="shared" si="8"/>
        <v>0</v>
      </c>
      <c r="V67" s="449">
        <f>U67-AA67-W67-Z67</f>
        <v>0</v>
      </c>
      <c r="W67" s="449"/>
      <c r="X67" s="449"/>
      <c r="Y67" s="449"/>
      <c r="Z67" s="449"/>
      <c r="AA67" s="449"/>
      <c r="AB67" s="448" t="s">
        <v>454</v>
      </c>
      <c r="AC67" s="448">
        <v>810000</v>
      </c>
      <c r="AD67" s="449"/>
      <c r="AE67" s="449"/>
      <c r="AF67" s="449"/>
      <c r="AG67" s="449"/>
      <c r="AH67" s="449"/>
      <c r="AI67" s="449"/>
      <c r="AJ67" s="449"/>
      <c r="AK67" s="449"/>
      <c r="AL67" s="449"/>
      <c r="AM67" s="449"/>
      <c r="AN67" s="449">
        <f t="shared" si="12"/>
        <v>0</v>
      </c>
      <c r="AO67" s="449">
        <f t="shared" si="9"/>
        <v>0</v>
      </c>
      <c r="AP67" s="449"/>
      <c r="AQ67" s="449">
        <f t="shared" si="13"/>
        <v>0</v>
      </c>
      <c r="AR67" s="449"/>
      <c r="AS67" s="449"/>
      <c r="AT67" s="449"/>
      <c r="AU67" s="449"/>
      <c r="AV67" s="449"/>
      <c r="AW67" s="449">
        <f t="shared" si="14"/>
        <v>0</v>
      </c>
      <c r="AX67" s="449"/>
      <c r="AY67" s="449"/>
      <c r="AZ67" s="449"/>
      <c r="BA67" s="449"/>
    </row>
    <row r="68" spans="1:53" s="842" customFormat="1" ht="30" customHeight="1">
      <c r="A68" s="448">
        <f t="shared" si="10"/>
        <v>63</v>
      </c>
      <c r="B68" s="455">
        <v>2221</v>
      </c>
      <c r="C68" s="448" t="s">
        <v>460</v>
      </c>
      <c r="D68" s="449">
        <v>91304</v>
      </c>
      <c r="E68" s="449">
        <v>91304</v>
      </c>
      <c r="F68" s="449">
        <f t="shared" si="0"/>
        <v>0</v>
      </c>
      <c r="G68" s="449">
        <v>91304</v>
      </c>
      <c r="H68" s="449">
        <v>86522</v>
      </c>
      <c r="I68" s="449">
        <v>0</v>
      </c>
      <c r="J68" s="449">
        <v>4680</v>
      </c>
      <c r="K68" s="449">
        <f t="shared" si="1"/>
        <v>4680</v>
      </c>
      <c r="L68" s="449">
        <f t="shared" si="2"/>
        <v>91202</v>
      </c>
      <c r="M68" s="449">
        <f t="shared" si="3"/>
        <v>102</v>
      </c>
      <c r="N68" s="449"/>
      <c r="O68" s="449">
        <f t="shared" si="4"/>
        <v>0</v>
      </c>
      <c r="P68" s="449">
        <f t="shared" si="5"/>
        <v>102</v>
      </c>
      <c r="Q68" s="449"/>
      <c r="R68" s="449"/>
      <c r="S68" s="449">
        <f t="shared" si="6"/>
        <v>0</v>
      </c>
      <c r="T68" s="449">
        <f t="shared" si="7"/>
        <v>0</v>
      </c>
      <c r="U68" s="449">
        <f t="shared" si="8"/>
        <v>0</v>
      </c>
      <c r="V68" s="449"/>
      <c r="W68" s="419">
        <f>U68-V68-AA68</f>
        <v>0</v>
      </c>
      <c r="X68" s="449"/>
      <c r="Y68" s="449"/>
      <c r="Z68" s="449"/>
      <c r="AA68" s="449"/>
      <c r="AB68" s="448" t="s">
        <v>461</v>
      </c>
      <c r="AC68" s="448">
        <v>747000</v>
      </c>
      <c r="AD68" s="449"/>
      <c r="AE68" s="449"/>
      <c r="AF68" s="449"/>
      <c r="AG68" s="449"/>
      <c r="AH68" s="449"/>
      <c r="AI68" s="449"/>
      <c r="AJ68" s="449"/>
      <c r="AK68" s="449"/>
      <c r="AL68" s="449"/>
      <c r="AM68" s="449"/>
      <c r="AN68" s="449">
        <f t="shared" si="12"/>
        <v>0</v>
      </c>
      <c r="AO68" s="449">
        <f t="shared" si="9"/>
        <v>0</v>
      </c>
      <c r="AP68" s="449"/>
      <c r="AQ68" s="449">
        <f t="shared" si="13"/>
        <v>0</v>
      </c>
      <c r="AR68" s="449"/>
      <c r="AS68" s="449"/>
      <c r="AT68" s="449"/>
      <c r="AU68" s="449"/>
      <c r="AV68" s="449"/>
      <c r="AW68" s="449">
        <f t="shared" si="14"/>
        <v>0</v>
      </c>
      <c r="AX68" s="449"/>
      <c r="AY68" s="449"/>
      <c r="AZ68" s="449"/>
      <c r="BA68" s="449"/>
    </row>
    <row r="69" spans="1:53" s="842" customFormat="1" ht="30" customHeight="1">
      <c r="A69" s="448">
        <f t="shared" si="10"/>
        <v>64</v>
      </c>
      <c r="B69" s="455">
        <v>2225</v>
      </c>
      <c r="C69" s="448" t="s">
        <v>450</v>
      </c>
      <c r="D69" s="449">
        <v>150000</v>
      </c>
      <c r="E69" s="449">
        <v>150000</v>
      </c>
      <c r="F69" s="449">
        <f t="shared" si="0"/>
        <v>0</v>
      </c>
      <c r="G69" s="449">
        <v>150000</v>
      </c>
      <c r="H69" s="449">
        <v>68712</v>
      </c>
      <c r="I69" s="449">
        <v>0</v>
      </c>
      <c r="J69" s="449">
        <v>0</v>
      </c>
      <c r="K69" s="449">
        <f t="shared" si="1"/>
        <v>0</v>
      </c>
      <c r="L69" s="449">
        <f t="shared" si="2"/>
        <v>68712</v>
      </c>
      <c r="M69" s="449">
        <f t="shared" si="3"/>
        <v>81288</v>
      </c>
      <c r="N69" s="449"/>
      <c r="O69" s="449">
        <f t="shared" si="4"/>
        <v>0</v>
      </c>
      <c r="P69" s="449">
        <f t="shared" si="5"/>
        <v>81288</v>
      </c>
      <c r="Q69" s="449"/>
      <c r="R69" s="449"/>
      <c r="S69" s="449">
        <f t="shared" si="6"/>
        <v>0</v>
      </c>
      <c r="T69" s="449">
        <f t="shared" si="7"/>
        <v>0</v>
      </c>
      <c r="U69" s="449">
        <f t="shared" si="8"/>
        <v>0</v>
      </c>
      <c r="V69" s="449">
        <f>U69-AA69-W69-Z69</f>
        <v>0</v>
      </c>
      <c r="W69" s="449"/>
      <c r="X69" s="449"/>
      <c r="Y69" s="449"/>
      <c r="Z69" s="449"/>
      <c r="AA69" s="449"/>
      <c r="AB69" s="448" t="s">
        <v>706</v>
      </c>
      <c r="AC69" s="448">
        <v>810000</v>
      </c>
      <c r="AD69" s="449"/>
      <c r="AE69" s="449"/>
      <c r="AF69" s="449"/>
      <c r="AG69" s="449"/>
      <c r="AH69" s="449"/>
      <c r="AI69" s="449"/>
      <c r="AJ69" s="449"/>
      <c r="AK69" s="449"/>
      <c r="AL69" s="449"/>
      <c r="AM69" s="449"/>
      <c r="AN69" s="449">
        <f t="shared" si="12"/>
        <v>0</v>
      </c>
      <c r="AO69" s="449">
        <f t="shared" si="9"/>
        <v>0</v>
      </c>
      <c r="AP69" s="449"/>
      <c r="AQ69" s="449">
        <f t="shared" si="13"/>
        <v>0</v>
      </c>
      <c r="AR69" s="449"/>
      <c r="AS69" s="449"/>
      <c r="AT69" s="449"/>
      <c r="AU69" s="449"/>
      <c r="AV69" s="449"/>
      <c r="AW69" s="449">
        <f t="shared" si="14"/>
        <v>0</v>
      </c>
      <c r="AX69" s="449"/>
      <c r="AY69" s="449"/>
      <c r="AZ69" s="449"/>
      <c r="BA69" s="449"/>
    </row>
    <row r="70" spans="1:53" s="842" customFormat="1" ht="30" customHeight="1">
      <c r="A70" s="448">
        <f t="shared" si="10"/>
        <v>65</v>
      </c>
      <c r="B70" s="455">
        <v>2226</v>
      </c>
      <c r="C70" s="448" t="s">
        <v>570</v>
      </c>
      <c r="D70" s="449">
        <v>91304</v>
      </c>
      <c r="E70" s="449">
        <v>91304</v>
      </c>
      <c r="F70" s="449">
        <f t="shared" ref="F70:F110" si="15">D70-E70</f>
        <v>0</v>
      </c>
      <c r="G70" s="449">
        <v>91304</v>
      </c>
      <c r="H70" s="449">
        <v>76577</v>
      </c>
      <c r="I70" s="449">
        <v>0</v>
      </c>
      <c r="J70" s="449">
        <v>0</v>
      </c>
      <c r="K70" s="449">
        <f t="shared" ref="K70:K100" si="16">I70+J70</f>
        <v>0</v>
      </c>
      <c r="L70" s="449">
        <f t="shared" ref="L70:L100" si="17">H70+K70</f>
        <v>76577</v>
      </c>
      <c r="M70" s="449">
        <f t="shared" ref="M70:M100" si="18">P70+S70</f>
        <v>14727</v>
      </c>
      <c r="N70" s="449"/>
      <c r="O70" s="449">
        <f t="shared" ref="O70:O110" si="19">D70-L70-M70-N70</f>
        <v>0</v>
      </c>
      <c r="P70" s="449">
        <f t="shared" ref="P70:P100" si="20">G70-L70</f>
        <v>14727</v>
      </c>
      <c r="Q70" s="449"/>
      <c r="R70" s="449"/>
      <c r="S70" s="449">
        <f>SUM(Q70:R70)</f>
        <v>0</v>
      </c>
      <c r="T70" s="449">
        <f t="shared" ref="T70:T76" si="21">P70-M70+S70</f>
        <v>0</v>
      </c>
      <c r="U70" s="449">
        <f t="shared" ref="U70:U110" si="22">N70-T70</f>
        <v>0</v>
      </c>
      <c r="V70" s="449"/>
      <c r="W70" s="419">
        <f>U70-V70-AA70</f>
        <v>0</v>
      </c>
      <c r="X70" s="449"/>
      <c r="Y70" s="449"/>
      <c r="Z70" s="449"/>
      <c r="AA70" s="449"/>
      <c r="AB70" s="448" t="s">
        <v>461</v>
      </c>
      <c r="AC70" s="448">
        <v>747000</v>
      </c>
      <c r="AD70" s="449"/>
      <c r="AE70" s="449"/>
      <c r="AF70" s="449"/>
      <c r="AG70" s="449"/>
      <c r="AH70" s="449"/>
      <c r="AI70" s="449"/>
      <c r="AJ70" s="449"/>
      <c r="AK70" s="449"/>
      <c r="AL70" s="449"/>
      <c r="AM70" s="449"/>
      <c r="AN70" s="449">
        <f t="shared" si="12"/>
        <v>0</v>
      </c>
      <c r="AO70" s="449">
        <f t="shared" ref="AO70:AO110" si="23">U70-AN70</f>
        <v>0</v>
      </c>
      <c r="AP70" s="449"/>
      <c r="AQ70" s="449">
        <f t="shared" si="13"/>
        <v>0</v>
      </c>
      <c r="AR70" s="449"/>
      <c r="AS70" s="449"/>
      <c r="AT70" s="449"/>
      <c r="AU70" s="449"/>
      <c r="AV70" s="449"/>
      <c r="AW70" s="449">
        <f t="shared" si="14"/>
        <v>0</v>
      </c>
      <c r="AX70" s="449"/>
      <c r="AY70" s="449"/>
      <c r="AZ70" s="449"/>
      <c r="BA70" s="449"/>
    </row>
    <row r="71" spans="1:53" s="842" customFormat="1" ht="30" customHeight="1">
      <c r="A71" s="448">
        <f t="shared" ref="A71:A110" si="24">A70+1</f>
        <v>66</v>
      </c>
      <c r="B71" s="455">
        <v>2234</v>
      </c>
      <c r="C71" s="448" t="s">
        <v>580</v>
      </c>
      <c r="D71" s="449">
        <v>270000</v>
      </c>
      <c r="E71" s="449">
        <v>270000</v>
      </c>
      <c r="F71" s="449">
        <f t="shared" si="15"/>
        <v>0</v>
      </c>
      <c r="G71" s="449">
        <v>270000</v>
      </c>
      <c r="H71" s="449">
        <v>194454</v>
      </c>
      <c r="I71" s="449">
        <v>0</v>
      </c>
      <c r="J71" s="449">
        <v>69781</v>
      </c>
      <c r="K71" s="449">
        <f t="shared" si="16"/>
        <v>69781</v>
      </c>
      <c r="L71" s="449">
        <f t="shared" si="17"/>
        <v>264235</v>
      </c>
      <c r="M71" s="449">
        <f t="shared" si="18"/>
        <v>5765</v>
      </c>
      <c r="N71" s="449"/>
      <c r="O71" s="449">
        <f t="shared" si="19"/>
        <v>0</v>
      </c>
      <c r="P71" s="449">
        <f t="shared" si="20"/>
        <v>5765</v>
      </c>
      <c r="Q71" s="449"/>
      <c r="R71" s="449"/>
      <c r="S71" s="449">
        <f>SUM(Q71:R71)</f>
        <v>0</v>
      </c>
      <c r="T71" s="449">
        <f t="shared" si="21"/>
        <v>0</v>
      </c>
      <c r="U71" s="449">
        <f t="shared" si="22"/>
        <v>0</v>
      </c>
      <c r="V71" s="449">
        <f t="shared" ref="V71:V77" si="25">U71-AA71-W71-Z71</f>
        <v>0</v>
      </c>
      <c r="W71" s="449"/>
      <c r="X71" s="449"/>
      <c r="Y71" s="449"/>
      <c r="Z71" s="449"/>
      <c r="AA71" s="449"/>
      <c r="AB71" s="448" t="s">
        <v>582</v>
      </c>
      <c r="AC71" s="448">
        <v>810000</v>
      </c>
      <c r="AD71" s="449"/>
      <c r="AE71" s="449"/>
      <c r="AF71" s="449"/>
      <c r="AG71" s="449"/>
      <c r="AH71" s="449"/>
      <c r="AI71" s="449"/>
      <c r="AJ71" s="449"/>
      <c r="AK71" s="449"/>
      <c r="AL71" s="449"/>
      <c r="AM71" s="449"/>
      <c r="AN71" s="449">
        <f t="shared" si="12"/>
        <v>0</v>
      </c>
      <c r="AO71" s="449">
        <f t="shared" si="23"/>
        <v>0</v>
      </c>
      <c r="AP71" s="449"/>
      <c r="AQ71" s="449">
        <f t="shared" ref="AQ71:AQ110" si="26">AN71-AP71-AU71</f>
        <v>0</v>
      </c>
      <c r="AR71" s="449"/>
      <c r="AS71" s="449"/>
      <c r="AT71" s="449"/>
      <c r="AU71" s="449"/>
      <c r="AV71" s="449"/>
      <c r="AW71" s="449">
        <f t="shared" si="14"/>
        <v>0</v>
      </c>
      <c r="AX71" s="449"/>
      <c r="AY71" s="449"/>
      <c r="AZ71" s="449"/>
      <c r="BA71" s="449"/>
    </row>
    <row r="72" spans="1:53" s="842" customFormat="1" ht="30" customHeight="1">
      <c r="A72" s="448">
        <f t="shared" si="24"/>
        <v>67</v>
      </c>
      <c r="B72" s="455">
        <v>2235</v>
      </c>
      <c r="C72" s="448" t="s">
        <v>581</v>
      </c>
      <c r="D72" s="449">
        <v>1400000</v>
      </c>
      <c r="E72" s="449">
        <v>1400000</v>
      </c>
      <c r="F72" s="449">
        <f t="shared" si="15"/>
        <v>0</v>
      </c>
      <c r="G72" s="449">
        <v>1400000</v>
      </c>
      <c r="H72" s="449">
        <v>192408</v>
      </c>
      <c r="I72" s="449">
        <v>0</v>
      </c>
      <c r="J72" s="449">
        <f>744437-525587</f>
        <v>218850</v>
      </c>
      <c r="K72" s="449">
        <f t="shared" si="16"/>
        <v>218850</v>
      </c>
      <c r="L72" s="449">
        <f t="shared" si="17"/>
        <v>411258</v>
      </c>
      <c r="M72" s="449">
        <f>P72+S72-800000</f>
        <v>188742</v>
      </c>
      <c r="N72" s="449">
        <v>800000</v>
      </c>
      <c r="O72" s="449">
        <f t="shared" si="19"/>
        <v>0</v>
      </c>
      <c r="P72" s="449">
        <f t="shared" si="20"/>
        <v>988742</v>
      </c>
      <c r="Q72" s="449"/>
      <c r="R72" s="449"/>
      <c r="S72" s="449">
        <f>SUM(Q72:R72)</f>
        <v>0</v>
      </c>
      <c r="T72" s="449">
        <f t="shared" si="21"/>
        <v>800000</v>
      </c>
      <c r="U72" s="449">
        <f t="shared" si="22"/>
        <v>0</v>
      </c>
      <c r="V72" s="449">
        <f t="shared" si="25"/>
        <v>0</v>
      </c>
      <c r="W72" s="449"/>
      <c r="X72" s="449"/>
      <c r="Y72" s="449"/>
      <c r="Z72" s="449"/>
      <c r="AA72" s="449"/>
      <c r="AB72" s="448" t="s">
        <v>583</v>
      </c>
      <c r="AC72" s="448">
        <v>829000</v>
      </c>
      <c r="AD72" s="449"/>
      <c r="AE72" s="449"/>
      <c r="AF72" s="449"/>
      <c r="AG72" s="449"/>
      <c r="AH72" s="449"/>
      <c r="AI72" s="449"/>
      <c r="AJ72" s="449"/>
      <c r="AK72" s="449"/>
      <c r="AL72" s="449"/>
      <c r="AM72" s="449"/>
      <c r="AN72" s="449">
        <f t="shared" ref="AN72:AN110" si="27">SUM(AD72:AM72)</f>
        <v>0</v>
      </c>
      <c r="AO72" s="449">
        <f t="shared" si="23"/>
        <v>0</v>
      </c>
      <c r="AP72" s="449"/>
      <c r="AQ72" s="449">
        <f t="shared" si="26"/>
        <v>0</v>
      </c>
      <c r="AR72" s="449"/>
      <c r="AS72" s="449"/>
      <c r="AT72" s="449"/>
      <c r="AU72" s="449"/>
      <c r="AV72" s="449"/>
      <c r="AW72" s="449">
        <f t="shared" ref="AW72:AW110" si="28">AM72-AV72-BA72</f>
        <v>0</v>
      </c>
      <c r="AX72" s="449"/>
      <c r="AY72" s="449"/>
      <c r="AZ72" s="449"/>
      <c r="BA72" s="449"/>
    </row>
    <row r="73" spans="1:53" s="842" customFormat="1" ht="30" customHeight="1">
      <c r="A73" s="448">
        <f t="shared" si="24"/>
        <v>68</v>
      </c>
      <c r="B73" s="455">
        <v>2236</v>
      </c>
      <c r="C73" s="448" t="s">
        <v>580</v>
      </c>
      <c r="D73" s="449">
        <v>180000</v>
      </c>
      <c r="E73" s="449">
        <v>180000</v>
      </c>
      <c r="F73" s="449">
        <f t="shared" si="15"/>
        <v>0</v>
      </c>
      <c r="G73" s="449">
        <v>180000</v>
      </c>
      <c r="H73" s="449">
        <v>116522</v>
      </c>
      <c r="I73" s="449">
        <v>0</v>
      </c>
      <c r="J73" s="449">
        <v>2319</v>
      </c>
      <c r="K73" s="449">
        <f t="shared" si="16"/>
        <v>2319</v>
      </c>
      <c r="L73" s="449">
        <f t="shared" si="17"/>
        <v>118841</v>
      </c>
      <c r="M73" s="449">
        <f t="shared" si="18"/>
        <v>61159</v>
      </c>
      <c r="N73" s="449"/>
      <c r="O73" s="449">
        <f t="shared" si="19"/>
        <v>0</v>
      </c>
      <c r="P73" s="449">
        <f t="shared" si="20"/>
        <v>61159</v>
      </c>
      <c r="Q73" s="449"/>
      <c r="R73" s="449"/>
      <c r="S73" s="449"/>
      <c r="T73" s="449">
        <f t="shared" si="21"/>
        <v>0</v>
      </c>
      <c r="U73" s="449">
        <f t="shared" si="22"/>
        <v>0</v>
      </c>
      <c r="V73" s="449">
        <f t="shared" si="25"/>
        <v>0</v>
      </c>
      <c r="W73" s="449"/>
      <c r="X73" s="449"/>
      <c r="Y73" s="449"/>
      <c r="Z73" s="449"/>
      <c r="AA73" s="449"/>
      <c r="AB73" s="448" t="s">
        <v>847</v>
      </c>
      <c r="AC73" s="448">
        <v>810000</v>
      </c>
      <c r="AD73" s="449"/>
      <c r="AE73" s="449"/>
      <c r="AF73" s="449"/>
      <c r="AG73" s="449"/>
      <c r="AH73" s="449"/>
      <c r="AI73" s="449"/>
      <c r="AJ73" s="449"/>
      <c r="AK73" s="449"/>
      <c r="AL73" s="449"/>
      <c r="AM73" s="449"/>
      <c r="AN73" s="449">
        <f t="shared" si="27"/>
        <v>0</v>
      </c>
      <c r="AO73" s="449">
        <f t="shared" si="23"/>
        <v>0</v>
      </c>
      <c r="AP73" s="449"/>
      <c r="AQ73" s="449">
        <f t="shared" si="26"/>
        <v>0</v>
      </c>
      <c r="AR73" s="449"/>
      <c r="AS73" s="449"/>
      <c r="AT73" s="449"/>
      <c r="AU73" s="449"/>
      <c r="AV73" s="449"/>
      <c r="AW73" s="449">
        <f t="shared" si="28"/>
        <v>0</v>
      </c>
      <c r="AX73" s="449"/>
      <c r="AY73" s="449"/>
      <c r="AZ73" s="449"/>
      <c r="BA73" s="449"/>
    </row>
    <row r="74" spans="1:53" s="842" customFormat="1" ht="30" customHeight="1">
      <c r="A74" s="448">
        <f t="shared" si="24"/>
        <v>69</v>
      </c>
      <c r="B74" s="455">
        <v>2237</v>
      </c>
      <c r="C74" s="448" t="s">
        <v>605</v>
      </c>
      <c r="D74" s="449">
        <v>1700000</v>
      </c>
      <c r="E74" s="449">
        <v>1700000</v>
      </c>
      <c r="F74" s="449">
        <f t="shared" si="15"/>
        <v>0</v>
      </c>
      <c r="G74" s="449">
        <v>1700000</v>
      </c>
      <c r="H74" s="449">
        <v>310846</v>
      </c>
      <c r="I74" s="449">
        <v>0</v>
      </c>
      <c r="J74" s="449">
        <v>766703</v>
      </c>
      <c r="K74" s="449">
        <f t="shared" si="16"/>
        <v>766703</v>
      </c>
      <c r="L74" s="449">
        <f t="shared" si="17"/>
        <v>1077549</v>
      </c>
      <c r="M74" s="449">
        <f>P74+S74-400000</f>
        <v>222451</v>
      </c>
      <c r="N74" s="449"/>
      <c r="O74" s="449">
        <f t="shared" si="19"/>
        <v>400000</v>
      </c>
      <c r="P74" s="449">
        <f t="shared" si="20"/>
        <v>622451</v>
      </c>
      <c r="Q74" s="449"/>
      <c r="R74" s="449"/>
      <c r="S74" s="449"/>
      <c r="T74" s="449">
        <f t="shared" si="21"/>
        <v>400000</v>
      </c>
      <c r="U74" s="449">
        <f t="shared" si="22"/>
        <v>-400000</v>
      </c>
      <c r="V74" s="449">
        <f t="shared" si="25"/>
        <v>-400000</v>
      </c>
      <c r="W74" s="449"/>
      <c r="X74" s="449"/>
      <c r="Y74" s="449"/>
      <c r="Z74" s="449"/>
      <c r="AA74" s="449"/>
      <c r="AB74" s="448" t="s">
        <v>848</v>
      </c>
      <c r="AC74" s="448">
        <v>742000</v>
      </c>
      <c r="AD74" s="449"/>
      <c r="AE74" s="449"/>
      <c r="AF74" s="449">
        <v>-400000</v>
      </c>
      <c r="AG74" s="449"/>
      <c r="AH74" s="449"/>
      <c r="AI74" s="449"/>
      <c r="AJ74" s="449"/>
      <c r="AK74" s="449"/>
      <c r="AL74" s="449"/>
      <c r="AM74" s="449"/>
      <c r="AN74" s="449">
        <f t="shared" si="27"/>
        <v>-400000</v>
      </c>
      <c r="AO74" s="449">
        <f t="shared" si="23"/>
        <v>0</v>
      </c>
      <c r="AP74" s="449"/>
      <c r="AQ74" s="449">
        <f t="shared" si="26"/>
        <v>-400000</v>
      </c>
      <c r="AR74" s="449"/>
      <c r="AS74" s="449"/>
      <c r="AT74" s="449"/>
      <c r="AU74" s="449"/>
      <c r="AV74" s="449"/>
      <c r="AW74" s="449">
        <f t="shared" si="28"/>
        <v>0</v>
      </c>
      <c r="AX74" s="449"/>
      <c r="AY74" s="449"/>
      <c r="AZ74" s="449"/>
      <c r="BA74" s="449"/>
    </row>
    <row r="75" spans="1:53" s="842" customFormat="1" ht="30" customHeight="1">
      <c r="A75" s="448">
        <f t="shared" si="24"/>
        <v>70</v>
      </c>
      <c r="B75" s="455">
        <v>2238</v>
      </c>
      <c r="C75" s="448" t="s">
        <v>606</v>
      </c>
      <c r="D75" s="449">
        <v>5100000</v>
      </c>
      <c r="E75" s="449">
        <v>5100000</v>
      </c>
      <c r="F75" s="449">
        <f t="shared" si="15"/>
        <v>0</v>
      </c>
      <c r="G75" s="449">
        <v>3100000</v>
      </c>
      <c r="H75" s="449">
        <v>1897747</v>
      </c>
      <c r="I75" s="449">
        <v>0</v>
      </c>
      <c r="J75" s="449">
        <v>569570</v>
      </c>
      <c r="K75" s="449">
        <f t="shared" si="16"/>
        <v>569570</v>
      </c>
      <c r="L75" s="449">
        <f t="shared" si="17"/>
        <v>2467317</v>
      </c>
      <c r="M75" s="449">
        <f t="shared" si="18"/>
        <v>632683</v>
      </c>
      <c r="N75" s="449"/>
      <c r="O75" s="449">
        <f t="shared" si="19"/>
        <v>2000000</v>
      </c>
      <c r="P75" s="449">
        <f t="shared" si="20"/>
        <v>632683</v>
      </c>
      <c r="Q75" s="449"/>
      <c r="R75" s="449"/>
      <c r="S75" s="449"/>
      <c r="T75" s="449">
        <f t="shared" si="21"/>
        <v>0</v>
      </c>
      <c r="U75" s="449">
        <f t="shared" si="22"/>
        <v>0</v>
      </c>
      <c r="V75" s="449">
        <f t="shared" si="25"/>
        <v>0</v>
      </c>
      <c r="W75" s="449"/>
      <c r="X75" s="449"/>
      <c r="Y75" s="449"/>
      <c r="Z75" s="449"/>
      <c r="AA75" s="449"/>
      <c r="AB75" s="448" t="s">
        <v>689</v>
      </c>
      <c r="AC75" s="448">
        <v>747000</v>
      </c>
      <c r="AD75" s="449"/>
      <c r="AE75" s="449"/>
      <c r="AF75" s="449"/>
      <c r="AG75" s="449"/>
      <c r="AH75" s="449"/>
      <c r="AI75" s="449"/>
      <c r="AJ75" s="449"/>
      <c r="AK75" s="449"/>
      <c r="AL75" s="449"/>
      <c r="AM75" s="449"/>
      <c r="AN75" s="449">
        <f t="shared" si="27"/>
        <v>0</v>
      </c>
      <c r="AO75" s="449">
        <f t="shared" si="23"/>
        <v>0</v>
      </c>
      <c r="AP75" s="449"/>
      <c r="AQ75" s="449">
        <f t="shared" si="26"/>
        <v>0</v>
      </c>
      <c r="AR75" s="449"/>
      <c r="AS75" s="449"/>
      <c r="AT75" s="449"/>
      <c r="AU75" s="449"/>
      <c r="AV75" s="449"/>
      <c r="AW75" s="449">
        <f t="shared" si="28"/>
        <v>0</v>
      </c>
      <c r="AX75" s="449"/>
      <c r="AY75" s="449"/>
      <c r="AZ75" s="449"/>
      <c r="BA75" s="449"/>
    </row>
    <row r="76" spans="1:53" s="842" customFormat="1" ht="30" customHeight="1">
      <c r="A76" s="448">
        <f t="shared" si="24"/>
        <v>71</v>
      </c>
      <c r="B76" s="455">
        <v>2239</v>
      </c>
      <c r="C76" s="448" t="s">
        <v>607</v>
      </c>
      <c r="D76" s="449">
        <v>30000000</v>
      </c>
      <c r="E76" s="449">
        <v>30000000</v>
      </c>
      <c r="F76" s="449">
        <f t="shared" si="15"/>
        <v>0</v>
      </c>
      <c r="G76" s="449">
        <v>2750000</v>
      </c>
      <c r="H76" s="449">
        <v>1352378.42</v>
      </c>
      <c r="I76" s="449">
        <v>0</v>
      </c>
      <c r="J76" s="449">
        <v>463709.9</v>
      </c>
      <c r="K76" s="449">
        <f t="shared" si="16"/>
        <v>463709.9</v>
      </c>
      <c r="L76" s="449">
        <f t="shared" si="17"/>
        <v>1816088.3199999998</v>
      </c>
      <c r="M76" s="449">
        <f t="shared" si="18"/>
        <v>933911.68000000017</v>
      </c>
      <c r="N76" s="449">
        <f>3000000-1000000-500000</f>
        <v>1500000</v>
      </c>
      <c r="O76" s="449">
        <f t="shared" si="19"/>
        <v>25750000</v>
      </c>
      <c r="P76" s="449">
        <f t="shared" si="20"/>
        <v>933911.68000000017</v>
      </c>
      <c r="Q76" s="449"/>
      <c r="R76" s="449"/>
      <c r="S76" s="449">
        <f>SUM(Q76:R76)</f>
        <v>0</v>
      </c>
      <c r="T76" s="449">
        <f t="shared" si="21"/>
        <v>0</v>
      </c>
      <c r="U76" s="449">
        <f t="shared" si="22"/>
        <v>1500000</v>
      </c>
      <c r="V76" s="449">
        <f t="shared" si="25"/>
        <v>0</v>
      </c>
      <c r="W76" s="449">
        <v>1500000</v>
      </c>
      <c r="X76" s="449"/>
      <c r="Y76" s="449"/>
      <c r="Z76" s="449"/>
      <c r="AA76" s="449"/>
      <c r="AB76" s="448" t="s">
        <v>678</v>
      </c>
      <c r="AC76" s="448">
        <v>742000</v>
      </c>
      <c r="AD76" s="449"/>
      <c r="AE76" s="449"/>
      <c r="AF76" s="449"/>
      <c r="AG76" s="449"/>
      <c r="AH76" s="449">
        <v>1500000</v>
      </c>
      <c r="AI76" s="449"/>
      <c r="AJ76" s="449"/>
      <c r="AK76" s="449"/>
      <c r="AL76" s="449"/>
      <c r="AM76" s="449"/>
      <c r="AN76" s="449">
        <f t="shared" si="27"/>
        <v>1500000</v>
      </c>
      <c r="AO76" s="449">
        <f t="shared" si="23"/>
        <v>0</v>
      </c>
      <c r="AP76" s="449"/>
      <c r="AQ76" s="449">
        <f t="shared" si="26"/>
        <v>1500000</v>
      </c>
      <c r="AR76" s="449"/>
      <c r="AS76" s="449"/>
      <c r="AT76" s="449"/>
      <c r="AU76" s="449"/>
      <c r="AV76" s="449"/>
      <c r="AW76" s="449">
        <f t="shared" si="28"/>
        <v>0</v>
      </c>
      <c r="AX76" s="449"/>
      <c r="AY76" s="449"/>
      <c r="AZ76" s="449"/>
      <c r="BA76" s="449"/>
    </row>
    <row r="77" spans="1:53" s="842" customFormat="1" ht="30" customHeight="1">
      <c r="A77" s="448">
        <f t="shared" si="24"/>
        <v>72</v>
      </c>
      <c r="B77" s="455">
        <v>2240</v>
      </c>
      <c r="C77" s="448" t="s">
        <v>608</v>
      </c>
      <c r="D77" s="449">
        <v>13200000</v>
      </c>
      <c r="E77" s="449">
        <v>13200000</v>
      </c>
      <c r="F77" s="449">
        <f t="shared" si="15"/>
        <v>0</v>
      </c>
      <c r="G77" s="449">
        <v>2900000</v>
      </c>
      <c r="H77" s="449">
        <v>41510</v>
      </c>
      <c r="I77" s="449">
        <v>0</v>
      </c>
      <c r="J77" s="449">
        <v>1843658</v>
      </c>
      <c r="K77" s="449">
        <f t="shared" si="16"/>
        <v>1843658</v>
      </c>
      <c r="L77" s="449">
        <f t="shared" si="17"/>
        <v>1885168</v>
      </c>
      <c r="M77" s="449">
        <f t="shared" si="18"/>
        <v>1014832</v>
      </c>
      <c r="N77" s="449">
        <v>1340000</v>
      </c>
      <c r="O77" s="449">
        <f t="shared" si="19"/>
        <v>8960000</v>
      </c>
      <c r="P77" s="449">
        <f t="shared" si="20"/>
        <v>1014832</v>
      </c>
      <c r="Q77" s="449">
        <f>1340000-1340000</f>
        <v>0</v>
      </c>
      <c r="R77" s="449"/>
      <c r="S77" s="449">
        <f>SUM(Q77:R77)</f>
        <v>0</v>
      </c>
      <c r="T77" s="449">
        <f>P77-M77+S77</f>
        <v>0</v>
      </c>
      <c r="U77" s="449">
        <f t="shared" si="22"/>
        <v>1340000</v>
      </c>
      <c r="V77" s="449">
        <f t="shared" si="25"/>
        <v>0</v>
      </c>
      <c r="W77" s="449"/>
      <c r="X77" s="449"/>
      <c r="Y77" s="449"/>
      <c r="Z77" s="449"/>
      <c r="AA77" s="449">
        <v>1340000</v>
      </c>
      <c r="AB77" s="448" t="s">
        <v>703</v>
      </c>
      <c r="AC77" s="448">
        <v>720000</v>
      </c>
      <c r="AD77" s="449"/>
      <c r="AE77" s="449">
        <v>500000</v>
      </c>
      <c r="AF77" s="449"/>
      <c r="AG77" s="449"/>
      <c r="AH77" s="449"/>
      <c r="AI77" s="449"/>
      <c r="AJ77" s="449"/>
      <c r="AK77" s="449">
        <v>840000</v>
      </c>
      <c r="AL77" s="449"/>
      <c r="AM77" s="449"/>
      <c r="AN77" s="449">
        <f t="shared" si="27"/>
        <v>1340000</v>
      </c>
      <c r="AO77" s="449">
        <f t="shared" si="23"/>
        <v>0</v>
      </c>
      <c r="AP77" s="449"/>
      <c r="AQ77" s="449">
        <f t="shared" si="26"/>
        <v>0</v>
      </c>
      <c r="AR77" s="449"/>
      <c r="AS77" s="449"/>
      <c r="AT77" s="449"/>
      <c r="AU77" s="449">
        <v>1340000</v>
      </c>
      <c r="AV77" s="449"/>
      <c r="AW77" s="449">
        <f t="shared" si="28"/>
        <v>0</v>
      </c>
      <c r="AX77" s="449"/>
      <c r="AY77" s="449"/>
      <c r="AZ77" s="449"/>
      <c r="BA77" s="449"/>
    </row>
    <row r="78" spans="1:53" s="842" customFormat="1" ht="30" customHeight="1">
      <c r="A78" s="448">
        <f t="shared" si="24"/>
        <v>73</v>
      </c>
      <c r="B78" s="455">
        <v>2242</v>
      </c>
      <c r="C78" s="448" t="s">
        <v>715</v>
      </c>
      <c r="D78" s="449">
        <v>120000</v>
      </c>
      <c r="E78" s="449">
        <v>120000</v>
      </c>
      <c r="F78" s="449">
        <f>D78-E78</f>
        <v>0</v>
      </c>
      <c r="G78" s="449">
        <v>120000</v>
      </c>
      <c r="H78" s="449">
        <v>6957</v>
      </c>
      <c r="I78" s="449">
        <v>0</v>
      </c>
      <c r="J78" s="449">
        <v>1</v>
      </c>
      <c r="K78" s="449">
        <f t="shared" si="16"/>
        <v>1</v>
      </c>
      <c r="L78" s="449">
        <f t="shared" si="17"/>
        <v>6958</v>
      </c>
      <c r="M78" s="449">
        <f t="shared" si="18"/>
        <v>113042</v>
      </c>
      <c r="N78" s="449"/>
      <c r="O78" s="449">
        <f>D78-L78-M78-N78</f>
        <v>0</v>
      </c>
      <c r="P78" s="449">
        <f>G78-L78</f>
        <v>113042</v>
      </c>
      <c r="Q78" s="449"/>
      <c r="R78" s="449"/>
      <c r="S78" s="449">
        <f>SUM(Q78:R78)</f>
        <v>0</v>
      </c>
      <c r="T78" s="449">
        <f>P78-M78+S78</f>
        <v>0</v>
      </c>
      <c r="U78" s="449">
        <f>N78-T78</f>
        <v>0</v>
      </c>
      <c r="V78" s="449"/>
      <c r="W78" s="449">
        <f>U78-V78-AA78</f>
        <v>0</v>
      </c>
      <c r="X78" s="449"/>
      <c r="Y78" s="449"/>
      <c r="Z78" s="449"/>
      <c r="AA78" s="449"/>
      <c r="AB78" s="448" t="s">
        <v>849</v>
      </c>
      <c r="AC78" s="448">
        <v>810000</v>
      </c>
      <c r="AD78" s="449"/>
      <c r="AE78" s="449"/>
      <c r="AF78" s="449"/>
      <c r="AG78" s="449"/>
      <c r="AH78" s="449"/>
      <c r="AI78" s="449"/>
      <c r="AJ78" s="449"/>
      <c r="AK78" s="449"/>
      <c r="AL78" s="449"/>
      <c r="AM78" s="449"/>
      <c r="AN78" s="449">
        <f t="shared" si="27"/>
        <v>0</v>
      </c>
      <c r="AO78" s="449">
        <f t="shared" si="23"/>
        <v>0</v>
      </c>
      <c r="AP78" s="449"/>
      <c r="AQ78" s="449">
        <f t="shared" si="26"/>
        <v>0</v>
      </c>
      <c r="AR78" s="449"/>
      <c r="AS78" s="449"/>
      <c r="AT78" s="449"/>
      <c r="AU78" s="449"/>
      <c r="AV78" s="449"/>
      <c r="AW78" s="449">
        <f t="shared" si="28"/>
        <v>0</v>
      </c>
      <c r="AX78" s="449"/>
      <c r="AY78" s="449"/>
      <c r="AZ78" s="449"/>
      <c r="BA78" s="449"/>
    </row>
    <row r="79" spans="1:53" s="842" customFormat="1" ht="30" customHeight="1">
      <c r="A79" s="448">
        <f t="shared" si="24"/>
        <v>74</v>
      </c>
      <c r="B79" s="455">
        <v>20020</v>
      </c>
      <c r="C79" s="448" t="s">
        <v>610</v>
      </c>
      <c r="D79" s="449">
        <f>730000+250000-250000</f>
        <v>730000</v>
      </c>
      <c r="E79" s="449">
        <v>730000</v>
      </c>
      <c r="F79" s="449">
        <f t="shared" si="15"/>
        <v>0</v>
      </c>
      <c r="G79" s="449">
        <v>730000</v>
      </c>
      <c r="H79" s="449">
        <v>403681</v>
      </c>
      <c r="I79" s="449">
        <v>0</v>
      </c>
      <c r="J79" s="449">
        <v>6568</v>
      </c>
      <c r="K79" s="449">
        <f t="shared" si="16"/>
        <v>6568</v>
      </c>
      <c r="L79" s="449">
        <f t="shared" si="17"/>
        <v>410249</v>
      </c>
      <c r="M79" s="449">
        <f t="shared" si="18"/>
        <v>319751</v>
      </c>
      <c r="N79" s="449">
        <f>20*5000-100000</f>
        <v>0</v>
      </c>
      <c r="O79" s="449">
        <f t="shared" si="19"/>
        <v>0</v>
      </c>
      <c r="P79" s="449">
        <f t="shared" si="20"/>
        <v>319751</v>
      </c>
      <c r="Q79" s="449"/>
      <c r="R79" s="449"/>
      <c r="S79" s="449">
        <f t="shared" ref="S79:S100" si="29">SUM(Q79:R79)</f>
        <v>0</v>
      </c>
      <c r="T79" s="449">
        <f t="shared" ref="T79:T88" si="30">P79-M79+S79</f>
        <v>0</v>
      </c>
      <c r="U79" s="449">
        <f t="shared" si="22"/>
        <v>0</v>
      </c>
      <c r="V79" s="449"/>
      <c r="W79" s="449">
        <f>U79-V79-AA79</f>
        <v>0</v>
      </c>
      <c r="X79" s="449"/>
      <c r="Y79" s="449"/>
      <c r="Z79" s="449"/>
      <c r="AA79" s="449"/>
      <c r="AB79" s="322" t="s">
        <v>850</v>
      </c>
      <c r="AC79" s="448">
        <v>720000</v>
      </c>
      <c r="AD79" s="449"/>
      <c r="AE79" s="449"/>
      <c r="AF79" s="449"/>
      <c r="AG79" s="449"/>
      <c r="AH79" s="449"/>
      <c r="AI79" s="449"/>
      <c r="AJ79" s="449"/>
      <c r="AK79" s="449"/>
      <c r="AL79" s="449"/>
      <c r="AM79" s="449"/>
      <c r="AN79" s="449">
        <f t="shared" si="27"/>
        <v>0</v>
      </c>
      <c r="AO79" s="449">
        <f t="shared" si="23"/>
        <v>0</v>
      </c>
      <c r="AP79" s="449"/>
      <c r="AQ79" s="449">
        <f t="shared" si="26"/>
        <v>0</v>
      </c>
      <c r="AR79" s="449"/>
      <c r="AS79" s="449"/>
      <c r="AT79" s="449"/>
      <c r="AU79" s="449"/>
      <c r="AV79" s="449"/>
      <c r="AW79" s="449">
        <f t="shared" si="28"/>
        <v>0</v>
      </c>
      <c r="AX79" s="449"/>
      <c r="AY79" s="449"/>
      <c r="AZ79" s="449"/>
      <c r="BA79" s="449"/>
    </row>
    <row r="80" spans="1:53" s="842" customFormat="1" ht="30" customHeight="1">
      <c r="A80" s="448">
        <f t="shared" si="24"/>
        <v>75</v>
      </c>
      <c r="B80" s="455">
        <v>20021</v>
      </c>
      <c r="C80" s="448" t="s">
        <v>611</v>
      </c>
      <c r="D80" s="449">
        <f>10000000-2000000</f>
        <v>8000000</v>
      </c>
      <c r="E80" s="449">
        <v>8000000</v>
      </c>
      <c r="F80" s="449">
        <f t="shared" si="15"/>
        <v>0</v>
      </c>
      <c r="G80" s="449">
        <v>1500000</v>
      </c>
      <c r="H80" s="449">
        <v>0</v>
      </c>
      <c r="I80" s="449">
        <v>0</v>
      </c>
      <c r="J80" s="449">
        <v>548683</v>
      </c>
      <c r="K80" s="449">
        <f t="shared" si="16"/>
        <v>548683</v>
      </c>
      <c r="L80" s="449">
        <f t="shared" si="17"/>
        <v>548683</v>
      </c>
      <c r="M80" s="449">
        <f t="shared" si="18"/>
        <v>2451317</v>
      </c>
      <c r="N80" s="449">
        <f>7000000-2000000-1000000</f>
        <v>4000000</v>
      </c>
      <c r="O80" s="449">
        <f t="shared" si="19"/>
        <v>1000000</v>
      </c>
      <c r="P80" s="449">
        <f t="shared" si="20"/>
        <v>951317</v>
      </c>
      <c r="Q80" s="482">
        <v>1500000</v>
      </c>
      <c r="R80" s="449"/>
      <c r="S80" s="449">
        <f t="shared" si="29"/>
        <v>1500000</v>
      </c>
      <c r="T80" s="449">
        <f t="shared" si="30"/>
        <v>0</v>
      </c>
      <c r="U80" s="449">
        <f t="shared" si="22"/>
        <v>4000000</v>
      </c>
      <c r="V80" s="449">
        <f>U80-AA80-W80-Z80</f>
        <v>0</v>
      </c>
      <c r="W80" s="449">
        <v>4000000</v>
      </c>
      <c r="X80" s="449"/>
      <c r="Y80" s="449"/>
      <c r="Z80" s="449"/>
      <c r="AA80" s="449"/>
      <c r="AB80" s="448" t="s">
        <v>612</v>
      </c>
      <c r="AC80" s="448">
        <v>742000</v>
      </c>
      <c r="AD80" s="449"/>
      <c r="AE80" s="449"/>
      <c r="AF80" s="449">
        <v>4000000</v>
      </c>
      <c r="AG80" s="449"/>
      <c r="AH80" s="449"/>
      <c r="AI80" s="449"/>
      <c r="AJ80" s="449"/>
      <c r="AK80" s="449"/>
      <c r="AL80" s="449"/>
      <c r="AM80" s="449"/>
      <c r="AN80" s="449">
        <f t="shared" si="27"/>
        <v>4000000</v>
      </c>
      <c r="AO80" s="449">
        <f t="shared" si="23"/>
        <v>0</v>
      </c>
      <c r="AP80" s="449"/>
      <c r="AQ80" s="449">
        <f t="shared" si="26"/>
        <v>4000000</v>
      </c>
      <c r="AR80" s="449"/>
      <c r="AS80" s="449"/>
      <c r="AT80" s="449"/>
      <c r="AU80" s="449"/>
      <c r="AV80" s="449"/>
      <c r="AW80" s="449">
        <f t="shared" si="28"/>
        <v>0</v>
      </c>
      <c r="AX80" s="449"/>
      <c r="AY80" s="449"/>
      <c r="AZ80" s="449"/>
      <c r="BA80" s="449"/>
    </row>
    <row r="81" spans="1:53" s="842" customFormat="1" ht="30" customHeight="1">
      <c r="A81" s="448">
        <f t="shared" si="24"/>
        <v>76</v>
      </c>
      <c r="B81" s="455">
        <v>20022</v>
      </c>
      <c r="C81" s="448" t="s">
        <v>613</v>
      </c>
      <c r="D81" s="449">
        <f>180000+300000-300000</f>
        <v>180000</v>
      </c>
      <c r="E81" s="449">
        <v>180000</v>
      </c>
      <c r="F81" s="449">
        <f t="shared" si="15"/>
        <v>0</v>
      </c>
      <c r="G81" s="449">
        <v>0</v>
      </c>
      <c r="H81" s="449">
        <v>0</v>
      </c>
      <c r="I81" s="449">
        <v>0</v>
      </c>
      <c r="J81" s="449">
        <v>0</v>
      </c>
      <c r="K81" s="449">
        <f t="shared" si="16"/>
        <v>0</v>
      </c>
      <c r="L81" s="449">
        <f t="shared" si="17"/>
        <v>0</v>
      </c>
      <c r="M81" s="449">
        <f t="shared" si="18"/>
        <v>0</v>
      </c>
      <c r="N81" s="449">
        <f>180000+300000-300000-180000</f>
        <v>0</v>
      </c>
      <c r="O81" s="449">
        <f t="shared" si="19"/>
        <v>180000</v>
      </c>
      <c r="P81" s="449">
        <f t="shared" si="20"/>
        <v>0</v>
      </c>
      <c r="Q81" s="449"/>
      <c r="R81" s="449"/>
      <c r="S81" s="449">
        <f t="shared" si="29"/>
        <v>0</v>
      </c>
      <c r="T81" s="449">
        <f t="shared" si="30"/>
        <v>0</v>
      </c>
      <c r="U81" s="449">
        <f t="shared" si="22"/>
        <v>0</v>
      </c>
      <c r="V81" s="449"/>
      <c r="W81" s="449">
        <f t="shared" ref="W81:W86" si="31">U81-V81-AA81</f>
        <v>0</v>
      </c>
      <c r="X81" s="449"/>
      <c r="Y81" s="449"/>
      <c r="Z81" s="449"/>
      <c r="AA81" s="449"/>
      <c r="AB81" s="448" t="s">
        <v>679</v>
      </c>
      <c r="AC81" s="448">
        <v>747000</v>
      </c>
      <c r="AD81" s="449"/>
      <c r="AE81" s="449"/>
      <c r="AF81" s="449"/>
      <c r="AG81" s="449"/>
      <c r="AH81" s="449"/>
      <c r="AI81" s="449"/>
      <c r="AJ81" s="449"/>
      <c r="AK81" s="449"/>
      <c r="AL81" s="449"/>
      <c r="AM81" s="449"/>
      <c r="AN81" s="449">
        <f t="shared" si="27"/>
        <v>0</v>
      </c>
      <c r="AO81" s="449">
        <f t="shared" si="23"/>
        <v>0</v>
      </c>
      <c r="AP81" s="449"/>
      <c r="AQ81" s="449">
        <f t="shared" si="26"/>
        <v>0</v>
      </c>
      <c r="AR81" s="449"/>
      <c r="AS81" s="449"/>
      <c r="AT81" s="449"/>
      <c r="AU81" s="449"/>
      <c r="AV81" s="449"/>
      <c r="AW81" s="449">
        <f t="shared" si="28"/>
        <v>0</v>
      </c>
      <c r="AX81" s="449"/>
      <c r="AY81" s="449"/>
      <c r="AZ81" s="449"/>
      <c r="BA81" s="449"/>
    </row>
    <row r="82" spans="1:53" s="842" customFormat="1" ht="30" customHeight="1">
      <c r="A82" s="448">
        <f t="shared" si="24"/>
        <v>77</v>
      </c>
      <c r="B82" s="455">
        <v>20023</v>
      </c>
      <c r="C82" s="448" t="s">
        <v>614</v>
      </c>
      <c r="D82" s="449">
        <v>200000</v>
      </c>
      <c r="E82" s="449">
        <v>200000</v>
      </c>
      <c r="F82" s="449">
        <f t="shared" si="15"/>
        <v>0</v>
      </c>
      <c r="G82" s="449">
        <v>0</v>
      </c>
      <c r="H82" s="449">
        <v>0</v>
      </c>
      <c r="I82" s="449">
        <v>0</v>
      </c>
      <c r="J82" s="449">
        <v>0</v>
      </c>
      <c r="K82" s="449">
        <f t="shared" si="16"/>
        <v>0</v>
      </c>
      <c r="L82" s="449">
        <f t="shared" si="17"/>
        <v>0</v>
      </c>
      <c r="M82" s="449">
        <f t="shared" si="18"/>
        <v>0</v>
      </c>
      <c r="N82" s="449">
        <v>200000</v>
      </c>
      <c r="O82" s="449">
        <f t="shared" si="19"/>
        <v>0</v>
      </c>
      <c r="P82" s="449">
        <f t="shared" si="20"/>
        <v>0</v>
      </c>
      <c r="Q82" s="449"/>
      <c r="R82" s="449"/>
      <c r="S82" s="449">
        <f t="shared" si="29"/>
        <v>0</v>
      </c>
      <c r="T82" s="449">
        <f t="shared" si="30"/>
        <v>0</v>
      </c>
      <c r="U82" s="449">
        <f t="shared" si="22"/>
        <v>200000</v>
      </c>
      <c r="V82" s="449"/>
      <c r="W82" s="449">
        <f t="shared" si="31"/>
        <v>0</v>
      </c>
      <c r="X82" s="449"/>
      <c r="Y82" s="449"/>
      <c r="Z82" s="449"/>
      <c r="AA82" s="449">
        <v>200000</v>
      </c>
      <c r="AB82" s="448" t="s">
        <v>680</v>
      </c>
      <c r="AC82" s="448">
        <v>747000</v>
      </c>
      <c r="AD82" s="449"/>
      <c r="AE82" s="449"/>
      <c r="AF82" s="449"/>
      <c r="AG82" s="449"/>
      <c r="AH82" s="449"/>
      <c r="AI82" s="449"/>
      <c r="AJ82" s="449"/>
      <c r="AK82" s="449">
        <v>200000</v>
      </c>
      <c r="AL82" s="449"/>
      <c r="AM82" s="449"/>
      <c r="AN82" s="449">
        <f t="shared" si="27"/>
        <v>200000</v>
      </c>
      <c r="AO82" s="449">
        <f t="shared" si="23"/>
        <v>0</v>
      </c>
      <c r="AP82" s="449"/>
      <c r="AQ82" s="449">
        <f t="shared" si="26"/>
        <v>0</v>
      </c>
      <c r="AR82" s="449"/>
      <c r="AS82" s="449"/>
      <c r="AT82" s="449"/>
      <c r="AU82" s="449">
        <v>200000</v>
      </c>
      <c r="AV82" s="449"/>
      <c r="AW82" s="449">
        <f t="shared" si="28"/>
        <v>0</v>
      </c>
      <c r="AX82" s="449"/>
      <c r="AY82" s="449"/>
      <c r="AZ82" s="449"/>
      <c r="BA82" s="449"/>
    </row>
    <row r="83" spans="1:53" s="842" customFormat="1" ht="30" customHeight="1">
      <c r="A83" s="448">
        <f t="shared" si="24"/>
        <v>78</v>
      </c>
      <c r="B83" s="455">
        <v>20025</v>
      </c>
      <c r="C83" s="448" t="s">
        <v>1074</v>
      </c>
      <c r="D83" s="449">
        <v>50000</v>
      </c>
      <c r="E83" s="449">
        <v>50000</v>
      </c>
      <c r="F83" s="449">
        <f t="shared" si="15"/>
        <v>0</v>
      </c>
      <c r="G83" s="449">
        <v>50000</v>
      </c>
      <c r="H83" s="449">
        <v>0</v>
      </c>
      <c r="I83" s="449">
        <v>0</v>
      </c>
      <c r="J83" s="449">
        <v>50000</v>
      </c>
      <c r="K83" s="449">
        <f t="shared" si="16"/>
        <v>50000</v>
      </c>
      <c r="L83" s="449">
        <f t="shared" si="17"/>
        <v>50000</v>
      </c>
      <c r="M83" s="449">
        <f t="shared" si="18"/>
        <v>0</v>
      </c>
      <c r="N83" s="449"/>
      <c r="O83" s="449">
        <f t="shared" si="19"/>
        <v>0</v>
      </c>
      <c r="P83" s="449">
        <f t="shared" si="20"/>
        <v>0</v>
      </c>
      <c r="Q83" s="449"/>
      <c r="R83" s="449"/>
      <c r="S83" s="449">
        <f t="shared" si="29"/>
        <v>0</v>
      </c>
      <c r="T83" s="449">
        <f t="shared" si="30"/>
        <v>0</v>
      </c>
      <c r="U83" s="449">
        <f t="shared" si="22"/>
        <v>0</v>
      </c>
      <c r="V83" s="449"/>
      <c r="W83" s="449">
        <f t="shared" si="31"/>
        <v>0</v>
      </c>
      <c r="X83" s="449"/>
      <c r="Y83" s="449"/>
      <c r="Z83" s="449"/>
      <c r="AA83" s="449"/>
      <c r="AB83" s="448" t="s">
        <v>461</v>
      </c>
      <c r="AC83" s="448">
        <v>747000</v>
      </c>
      <c r="AD83" s="449"/>
      <c r="AE83" s="449"/>
      <c r="AF83" s="449"/>
      <c r="AG83" s="449"/>
      <c r="AH83" s="449"/>
      <c r="AI83" s="449"/>
      <c r="AJ83" s="449"/>
      <c r="AK83" s="449"/>
      <c r="AL83" s="449"/>
      <c r="AM83" s="449"/>
      <c r="AN83" s="449">
        <f t="shared" si="27"/>
        <v>0</v>
      </c>
      <c r="AO83" s="449">
        <f t="shared" si="23"/>
        <v>0</v>
      </c>
      <c r="AP83" s="449"/>
      <c r="AQ83" s="449">
        <f t="shared" si="26"/>
        <v>0</v>
      </c>
      <c r="AR83" s="449"/>
      <c r="AS83" s="449"/>
      <c r="AT83" s="449"/>
      <c r="AU83" s="449"/>
      <c r="AV83" s="449"/>
      <c r="AW83" s="449">
        <f t="shared" si="28"/>
        <v>0</v>
      </c>
      <c r="AX83" s="449"/>
      <c r="AY83" s="449"/>
      <c r="AZ83" s="449"/>
      <c r="BA83" s="449"/>
    </row>
    <row r="84" spans="1:53" s="842" customFormat="1" ht="30" customHeight="1">
      <c r="A84" s="448">
        <f t="shared" si="24"/>
        <v>79</v>
      </c>
      <c r="B84" s="455">
        <v>20026</v>
      </c>
      <c r="C84" s="448" t="s">
        <v>1075</v>
      </c>
      <c r="D84" s="449">
        <v>50000</v>
      </c>
      <c r="E84" s="449">
        <v>50000</v>
      </c>
      <c r="F84" s="449">
        <f t="shared" si="15"/>
        <v>0</v>
      </c>
      <c r="G84" s="449">
        <v>50000</v>
      </c>
      <c r="H84" s="449">
        <v>49953</v>
      </c>
      <c r="I84" s="449">
        <v>0</v>
      </c>
      <c r="J84" s="449">
        <v>0</v>
      </c>
      <c r="K84" s="449">
        <f t="shared" si="16"/>
        <v>0</v>
      </c>
      <c r="L84" s="449">
        <f t="shared" si="17"/>
        <v>49953</v>
      </c>
      <c r="M84" s="449">
        <f t="shared" si="18"/>
        <v>47</v>
      </c>
      <c r="N84" s="449"/>
      <c r="O84" s="449">
        <f t="shared" si="19"/>
        <v>0</v>
      </c>
      <c r="P84" s="449">
        <f t="shared" si="20"/>
        <v>47</v>
      </c>
      <c r="Q84" s="449"/>
      <c r="R84" s="449"/>
      <c r="S84" s="449">
        <f t="shared" si="29"/>
        <v>0</v>
      </c>
      <c r="T84" s="449">
        <f t="shared" si="30"/>
        <v>0</v>
      </c>
      <c r="U84" s="449">
        <f t="shared" si="22"/>
        <v>0</v>
      </c>
      <c r="V84" s="449"/>
      <c r="W84" s="449">
        <f t="shared" si="31"/>
        <v>0</v>
      </c>
      <c r="X84" s="449"/>
      <c r="Y84" s="449"/>
      <c r="Z84" s="449"/>
      <c r="AA84" s="449"/>
      <c r="AB84" s="448" t="s">
        <v>461</v>
      </c>
      <c r="AC84" s="448">
        <v>747000</v>
      </c>
      <c r="AD84" s="449"/>
      <c r="AE84" s="449"/>
      <c r="AF84" s="449"/>
      <c r="AG84" s="449"/>
      <c r="AH84" s="449"/>
      <c r="AI84" s="449"/>
      <c r="AJ84" s="449"/>
      <c r="AK84" s="449"/>
      <c r="AL84" s="449"/>
      <c r="AM84" s="449"/>
      <c r="AN84" s="449">
        <f t="shared" si="27"/>
        <v>0</v>
      </c>
      <c r="AO84" s="449">
        <f t="shared" si="23"/>
        <v>0</v>
      </c>
      <c r="AP84" s="449"/>
      <c r="AQ84" s="449">
        <f t="shared" si="26"/>
        <v>0</v>
      </c>
      <c r="AR84" s="449"/>
      <c r="AS84" s="449"/>
      <c r="AT84" s="449"/>
      <c r="AU84" s="449"/>
      <c r="AV84" s="449"/>
      <c r="AW84" s="449">
        <f t="shared" si="28"/>
        <v>0</v>
      </c>
      <c r="AX84" s="449"/>
      <c r="AY84" s="449"/>
      <c r="AZ84" s="449"/>
      <c r="BA84" s="449"/>
    </row>
    <row r="85" spans="1:53" s="842" customFormat="1" ht="30" customHeight="1">
      <c r="A85" s="448">
        <f t="shared" si="24"/>
        <v>80</v>
      </c>
      <c r="B85" s="455">
        <v>20027</v>
      </c>
      <c r="C85" s="448" t="s">
        <v>615</v>
      </c>
      <c r="D85" s="449">
        <v>82800</v>
      </c>
      <c r="E85" s="449">
        <v>82800</v>
      </c>
      <c r="F85" s="449">
        <f t="shared" si="15"/>
        <v>0</v>
      </c>
      <c r="G85" s="449">
        <v>82800</v>
      </c>
      <c r="H85" s="449">
        <v>0</v>
      </c>
      <c r="I85" s="449">
        <v>0</v>
      </c>
      <c r="J85" s="449">
        <v>62950</v>
      </c>
      <c r="K85" s="449">
        <f t="shared" si="16"/>
        <v>62950</v>
      </c>
      <c r="L85" s="449">
        <f t="shared" si="17"/>
        <v>62950</v>
      </c>
      <c r="M85" s="449">
        <f t="shared" si="18"/>
        <v>19850</v>
      </c>
      <c r="N85" s="449"/>
      <c r="O85" s="449">
        <f t="shared" si="19"/>
        <v>0</v>
      </c>
      <c r="P85" s="449">
        <f t="shared" si="20"/>
        <v>19850</v>
      </c>
      <c r="Q85" s="449"/>
      <c r="R85" s="449"/>
      <c r="S85" s="449">
        <f t="shared" si="29"/>
        <v>0</v>
      </c>
      <c r="T85" s="449">
        <f t="shared" si="30"/>
        <v>0</v>
      </c>
      <c r="U85" s="449">
        <f t="shared" si="22"/>
        <v>0</v>
      </c>
      <c r="V85" s="449"/>
      <c r="W85" s="449">
        <f t="shared" si="31"/>
        <v>0</v>
      </c>
      <c r="X85" s="449"/>
      <c r="Y85" s="449"/>
      <c r="Z85" s="449"/>
      <c r="AA85" s="449"/>
      <c r="AB85" s="448" t="s">
        <v>461</v>
      </c>
      <c r="AC85" s="448">
        <v>747000</v>
      </c>
      <c r="AD85" s="449"/>
      <c r="AE85" s="449"/>
      <c r="AF85" s="449"/>
      <c r="AG85" s="449"/>
      <c r="AH85" s="449"/>
      <c r="AI85" s="449"/>
      <c r="AJ85" s="449"/>
      <c r="AK85" s="449"/>
      <c r="AL85" s="449"/>
      <c r="AM85" s="449"/>
      <c r="AN85" s="449">
        <f t="shared" si="27"/>
        <v>0</v>
      </c>
      <c r="AO85" s="449">
        <f t="shared" si="23"/>
        <v>0</v>
      </c>
      <c r="AP85" s="449"/>
      <c r="AQ85" s="449">
        <f t="shared" si="26"/>
        <v>0</v>
      </c>
      <c r="AR85" s="449"/>
      <c r="AS85" s="449"/>
      <c r="AT85" s="449"/>
      <c r="AU85" s="449"/>
      <c r="AV85" s="449"/>
      <c r="AW85" s="449">
        <f t="shared" si="28"/>
        <v>0</v>
      </c>
      <c r="AX85" s="449"/>
      <c r="AY85" s="449"/>
      <c r="AZ85" s="449"/>
      <c r="BA85" s="449"/>
    </row>
    <row r="86" spans="1:53" s="842" customFormat="1" ht="30" customHeight="1">
      <c r="A86" s="448">
        <f t="shared" si="24"/>
        <v>81</v>
      </c>
      <c r="B86" s="455">
        <v>20029</v>
      </c>
      <c r="C86" s="448" t="s">
        <v>616</v>
      </c>
      <c r="D86" s="449">
        <v>2000000</v>
      </c>
      <c r="E86" s="449">
        <v>2000000</v>
      </c>
      <c r="F86" s="449">
        <f t="shared" si="15"/>
        <v>0</v>
      </c>
      <c r="G86" s="449">
        <v>1000000</v>
      </c>
      <c r="H86" s="449">
        <v>3634</v>
      </c>
      <c r="I86" s="449">
        <v>0</v>
      </c>
      <c r="J86" s="449">
        <v>622364</v>
      </c>
      <c r="K86" s="449">
        <f t="shared" si="16"/>
        <v>622364</v>
      </c>
      <c r="L86" s="449">
        <f t="shared" si="17"/>
        <v>625998</v>
      </c>
      <c r="M86" s="449">
        <f t="shared" si="18"/>
        <v>374002</v>
      </c>
      <c r="N86" s="449">
        <v>500000</v>
      </c>
      <c r="O86" s="449">
        <f t="shared" si="19"/>
        <v>500000</v>
      </c>
      <c r="P86" s="449">
        <f t="shared" si="20"/>
        <v>374002</v>
      </c>
      <c r="Q86" s="449"/>
      <c r="R86" s="449"/>
      <c r="S86" s="449">
        <f t="shared" si="29"/>
        <v>0</v>
      </c>
      <c r="T86" s="449">
        <f t="shared" si="30"/>
        <v>0</v>
      </c>
      <c r="U86" s="449">
        <f t="shared" si="22"/>
        <v>500000</v>
      </c>
      <c r="V86" s="449"/>
      <c r="W86" s="449">
        <f t="shared" si="31"/>
        <v>500000</v>
      </c>
      <c r="X86" s="449"/>
      <c r="Y86" s="449"/>
      <c r="Z86" s="449"/>
      <c r="AA86" s="449"/>
      <c r="AB86" s="455" t="s">
        <v>895</v>
      </c>
      <c r="AC86" s="448">
        <v>848000</v>
      </c>
      <c r="AD86" s="449"/>
      <c r="AE86" s="449"/>
      <c r="AF86" s="449"/>
      <c r="AG86" s="449"/>
      <c r="AH86" s="449">
        <v>250000</v>
      </c>
      <c r="AI86" s="449"/>
      <c r="AJ86" s="449">
        <v>100000</v>
      </c>
      <c r="AK86" s="449"/>
      <c r="AL86" s="449"/>
      <c r="AM86" s="449">
        <v>150000</v>
      </c>
      <c r="AN86" s="449">
        <f t="shared" si="27"/>
        <v>500000</v>
      </c>
      <c r="AO86" s="482">
        <f t="shared" si="23"/>
        <v>0</v>
      </c>
      <c r="AP86" s="449"/>
      <c r="AQ86" s="449">
        <f t="shared" si="26"/>
        <v>500000</v>
      </c>
      <c r="AR86" s="449"/>
      <c r="AS86" s="449"/>
      <c r="AT86" s="449"/>
      <c r="AU86" s="449"/>
      <c r="AV86" s="449"/>
      <c r="AW86" s="449">
        <f t="shared" si="28"/>
        <v>150000</v>
      </c>
      <c r="AX86" s="449"/>
      <c r="AY86" s="449"/>
      <c r="AZ86" s="449"/>
      <c r="BA86" s="449"/>
    </row>
    <row r="87" spans="1:53" s="842" customFormat="1" ht="30" customHeight="1">
      <c r="A87" s="448">
        <f t="shared" si="24"/>
        <v>82</v>
      </c>
      <c r="B87" s="455">
        <v>20030</v>
      </c>
      <c r="C87" s="448" t="s">
        <v>617</v>
      </c>
      <c r="D87" s="449">
        <f>31700000+2450000+500000-10000000</f>
        <v>24650000</v>
      </c>
      <c r="E87" s="449">
        <v>18150000</v>
      </c>
      <c r="F87" s="449">
        <f t="shared" si="15"/>
        <v>6500000</v>
      </c>
      <c r="G87" s="449">
        <f>17850000-1800000-850000</f>
        <v>15200000</v>
      </c>
      <c r="H87" s="449">
        <v>4582658</v>
      </c>
      <c r="I87" s="449">
        <v>0</v>
      </c>
      <c r="J87" s="449">
        <f>13104972-74832-41659-163-11520-45-802529-150437-100029-77000-130155-209925-363119-137393-1660-6-9431-37-13772-474784</f>
        <v>10506476</v>
      </c>
      <c r="K87" s="449">
        <f t="shared" si="16"/>
        <v>10506476</v>
      </c>
      <c r="L87" s="449">
        <f t="shared" si="17"/>
        <v>15089134</v>
      </c>
      <c r="M87" s="449">
        <f t="shared" si="18"/>
        <v>3060866</v>
      </c>
      <c r="N87" s="449">
        <f>16000000+500000-10000000</f>
        <v>6500000</v>
      </c>
      <c r="O87" s="449">
        <f t="shared" si="19"/>
        <v>0</v>
      </c>
      <c r="P87" s="449">
        <f t="shared" si="20"/>
        <v>110866</v>
      </c>
      <c r="Q87" s="449"/>
      <c r="R87" s="482">
        <f>300000+850000+1800000</f>
        <v>2950000</v>
      </c>
      <c r="S87" s="449">
        <f t="shared" si="29"/>
        <v>2950000</v>
      </c>
      <c r="T87" s="449">
        <f t="shared" si="30"/>
        <v>0</v>
      </c>
      <c r="U87" s="449">
        <f t="shared" si="22"/>
        <v>6500000</v>
      </c>
      <c r="V87" s="449">
        <f>U87-AA87-W87-Z87</f>
        <v>0</v>
      </c>
      <c r="W87" s="449">
        <v>6500000</v>
      </c>
      <c r="X87" s="449"/>
      <c r="Y87" s="449"/>
      <c r="Z87" s="449"/>
      <c r="AA87" s="449"/>
      <c r="AB87" s="448" t="s">
        <v>851</v>
      </c>
      <c r="AC87" s="448">
        <v>810000</v>
      </c>
      <c r="AD87" s="449"/>
      <c r="AE87" s="449">
        <v>2000000</v>
      </c>
      <c r="AF87" s="449">
        <v>3000000</v>
      </c>
      <c r="AG87" s="449"/>
      <c r="AH87" s="449">
        <v>1500000</v>
      </c>
      <c r="AI87" s="449"/>
      <c r="AJ87" s="449"/>
      <c r="AK87" s="449"/>
      <c r="AL87" s="449"/>
      <c r="AM87" s="449"/>
      <c r="AN87" s="449">
        <f t="shared" si="27"/>
        <v>6500000</v>
      </c>
      <c r="AO87" s="449">
        <f t="shared" si="23"/>
        <v>0</v>
      </c>
      <c r="AP87" s="449"/>
      <c r="AQ87" s="449">
        <f t="shared" si="26"/>
        <v>6500000</v>
      </c>
      <c r="AR87" s="449"/>
      <c r="AS87" s="449"/>
      <c r="AT87" s="449"/>
      <c r="AU87" s="449"/>
      <c r="AV87" s="449"/>
      <c r="AW87" s="449">
        <f t="shared" si="28"/>
        <v>0</v>
      </c>
      <c r="AX87" s="449"/>
      <c r="AY87" s="449"/>
      <c r="AZ87" s="449"/>
      <c r="BA87" s="449"/>
    </row>
    <row r="88" spans="1:53" s="842" customFormat="1" ht="30" customHeight="1">
      <c r="A88" s="448">
        <f t="shared" si="24"/>
        <v>83</v>
      </c>
      <c r="B88" s="455">
        <v>20032</v>
      </c>
      <c r="C88" s="448" t="s">
        <v>618</v>
      </c>
      <c r="D88" s="449">
        <v>4850000</v>
      </c>
      <c r="E88" s="449">
        <v>4850000</v>
      </c>
      <c r="F88" s="449">
        <f t="shared" si="15"/>
        <v>0</v>
      </c>
      <c r="G88" s="449">
        <v>60000</v>
      </c>
      <c r="H88" s="449">
        <v>0</v>
      </c>
      <c r="I88" s="449">
        <v>0</v>
      </c>
      <c r="J88" s="449">
        <v>50415</v>
      </c>
      <c r="K88" s="449">
        <f t="shared" si="16"/>
        <v>50415</v>
      </c>
      <c r="L88" s="449">
        <f t="shared" si="17"/>
        <v>50415</v>
      </c>
      <c r="M88" s="449">
        <f t="shared" si="18"/>
        <v>9585</v>
      </c>
      <c r="N88" s="449">
        <f>4790000-490000-800000</f>
        <v>3500000</v>
      </c>
      <c r="O88" s="449">
        <f t="shared" si="19"/>
        <v>1290000</v>
      </c>
      <c r="P88" s="449">
        <f t="shared" si="20"/>
        <v>9585</v>
      </c>
      <c r="Q88" s="449"/>
      <c r="R88" s="449"/>
      <c r="S88" s="449">
        <f t="shared" si="29"/>
        <v>0</v>
      </c>
      <c r="T88" s="449">
        <f t="shared" si="30"/>
        <v>0</v>
      </c>
      <c r="U88" s="449">
        <f t="shared" si="22"/>
        <v>3500000</v>
      </c>
      <c r="V88" s="449">
        <f>U88-AA88-W88-Z88</f>
        <v>0</v>
      </c>
      <c r="W88" s="449">
        <v>1700000</v>
      </c>
      <c r="X88" s="449"/>
      <c r="Y88" s="449"/>
      <c r="Z88" s="449"/>
      <c r="AA88" s="449">
        <f>2*900000</f>
        <v>1800000</v>
      </c>
      <c r="AB88" s="448" t="s">
        <v>765</v>
      </c>
      <c r="AC88" s="448">
        <v>829000</v>
      </c>
      <c r="AD88" s="449">
        <v>130000</v>
      </c>
      <c r="AE88" s="449"/>
      <c r="AF88" s="449">
        <v>3370000</v>
      </c>
      <c r="AG88" s="449"/>
      <c r="AH88" s="449"/>
      <c r="AI88" s="449"/>
      <c r="AJ88" s="449"/>
      <c r="AK88" s="449"/>
      <c r="AL88" s="449"/>
      <c r="AM88" s="449"/>
      <c r="AN88" s="449">
        <f t="shared" si="27"/>
        <v>3500000</v>
      </c>
      <c r="AO88" s="449">
        <f t="shared" si="23"/>
        <v>0</v>
      </c>
      <c r="AP88" s="449"/>
      <c r="AQ88" s="449">
        <f t="shared" si="26"/>
        <v>1700000</v>
      </c>
      <c r="AR88" s="449"/>
      <c r="AS88" s="449"/>
      <c r="AT88" s="449"/>
      <c r="AU88" s="449">
        <f>2*900000</f>
        <v>1800000</v>
      </c>
      <c r="AV88" s="449"/>
      <c r="AW88" s="449">
        <f t="shared" si="28"/>
        <v>0</v>
      </c>
      <c r="AX88" s="449"/>
      <c r="AY88" s="449"/>
      <c r="AZ88" s="449"/>
      <c r="BA88" s="449"/>
    </row>
    <row r="89" spans="1:53" s="842" customFormat="1" ht="30" customHeight="1">
      <c r="A89" s="448">
        <f t="shared" si="24"/>
        <v>84</v>
      </c>
      <c r="B89" s="455">
        <v>20034</v>
      </c>
      <c r="C89" s="448" t="s">
        <v>619</v>
      </c>
      <c r="D89" s="449">
        <f>2000000+500000+1500000</f>
        <v>4000000</v>
      </c>
      <c r="E89" s="449">
        <v>2000000</v>
      </c>
      <c r="F89" s="449">
        <f t="shared" si="15"/>
        <v>2000000</v>
      </c>
      <c r="G89" s="449">
        <v>900000</v>
      </c>
      <c r="H89" s="449">
        <v>0</v>
      </c>
      <c r="I89" s="449">
        <v>0</v>
      </c>
      <c r="J89" s="449">
        <v>500047</v>
      </c>
      <c r="K89" s="449">
        <f t="shared" si="16"/>
        <v>500047</v>
      </c>
      <c r="L89" s="449">
        <f t="shared" si="17"/>
        <v>500047</v>
      </c>
      <c r="M89" s="449">
        <f t="shared" si="18"/>
        <v>499953</v>
      </c>
      <c r="N89" s="449">
        <f>1500000+1500000-1000000</f>
        <v>2000000</v>
      </c>
      <c r="O89" s="449">
        <f t="shared" si="19"/>
        <v>1000000</v>
      </c>
      <c r="P89" s="449">
        <f t="shared" si="20"/>
        <v>399953</v>
      </c>
      <c r="Q89" s="482">
        <v>100000</v>
      </c>
      <c r="R89" s="449"/>
      <c r="S89" s="449">
        <f t="shared" si="29"/>
        <v>100000</v>
      </c>
      <c r="T89" s="449"/>
      <c r="U89" s="449">
        <f t="shared" si="22"/>
        <v>2000000</v>
      </c>
      <c r="V89" s="449"/>
      <c r="W89" s="449">
        <f>U89-V89-AA89</f>
        <v>1000000</v>
      </c>
      <c r="X89" s="449"/>
      <c r="Y89" s="449"/>
      <c r="Z89" s="449"/>
      <c r="AA89" s="449">
        <v>1000000</v>
      </c>
      <c r="AB89" s="448" t="s">
        <v>767</v>
      </c>
      <c r="AC89" s="448">
        <v>828000</v>
      </c>
      <c r="AD89" s="449"/>
      <c r="AE89" s="449">
        <v>300000</v>
      </c>
      <c r="AF89" s="449">
        <v>1000000</v>
      </c>
      <c r="AG89" s="449"/>
      <c r="AH89" s="449">
        <v>700000</v>
      </c>
      <c r="AI89" s="449"/>
      <c r="AJ89" s="449"/>
      <c r="AK89" s="449"/>
      <c r="AL89" s="449"/>
      <c r="AM89" s="449"/>
      <c r="AN89" s="449">
        <f t="shared" si="27"/>
        <v>2000000</v>
      </c>
      <c r="AO89" s="449">
        <f t="shared" si="23"/>
        <v>0</v>
      </c>
      <c r="AP89" s="449"/>
      <c r="AQ89" s="449">
        <f t="shared" si="26"/>
        <v>1000000</v>
      </c>
      <c r="AR89" s="449"/>
      <c r="AS89" s="449"/>
      <c r="AT89" s="449"/>
      <c r="AU89" s="449">
        <v>1000000</v>
      </c>
      <c r="AV89" s="449"/>
      <c r="AW89" s="449">
        <f t="shared" si="28"/>
        <v>0</v>
      </c>
      <c r="AX89" s="449"/>
      <c r="AY89" s="449"/>
      <c r="AZ89" s="449"/>
      <c r="BA89" s="449"/>
    </row>
    <row r="90" spans="1:53" s="842" customFormat="1" ht="30" customHeight="1">
      <c r="A90" s="448">
        <f t="shared" si="24"/>
        <v>85</v>
      </c>
      <c r="B90" s="455">
        <v>20036</v>
      </c>
      <c r="C90" s="448" t="s">
        <v>620</v>
      </c>
      <c r="D90" s="449">
        <f>7800000-2600000</f>
        <v>5200000</v>
      </c>
      <c r="E90" s="449">
        <v>7800000</v>
      </c>
      <c r="F90" s="449">
        <f t="shared" si="15"/>
        <v>-2600000</v>
      </c>
      <c r="G90" s="449">
        <v>200000</v>
      </c>
      <c r="H90" s="449">
        <v>0</v>
      </c>
      <c r="I90" s="449">
        <v>0</v>
      </c>
      <c r="J90" s="449">
        <v>132595</v>
      </c>
      <c r="K90" s="449">
        <f t="shared" si="16"/>
        <v>132595</v>
      </c>
      <c r="L90" s="449">
        <f t="shared" si="17"/>
        <v>132595</v>
      </c>
      <c r="M90" s="449">
        <f t="shared" si="18"/>
        <v>67405</v>
      </c>
      <c r="N90" s="449">
        <f>7600000-2600000</f>
        <v>5000000</v>
      </c>
      <c r="O90" s="449">
        <f t="shared" si="19"/>
        <v>0</v>
      </c>
      <c r="P90" s="449">
        <f t="shared" si="20"/>
        <v>67405</v>
      </c>
      <c r="Q90" s="449"/>
      <c r="R90" s="449"/>
      <c r="S90" s="449">
        <f t="shared" si="29"/>
        <v>0</v>
      </c>
      <c r="T90" s="449"/>
      <c r="U90" s="449">
        <f t="shared" si="22"/>
        <v>5000000</v>
      </c>
      <c r="V90" s="449">
        <f t="shared" ref="V90:V100" si="32">U90-AA90-W90-Z90</f>
        <v>0</v>
      </c>
      <c r="W90" s="449">
        <v>5000000</v>
      </c>
      <c r="X90" s="449"/>
      <c r="Y90" s="449"/>
      <c r="Z90" s="449"/>
      <c r="AA90" s="449"/>
      <c r="AB90" s="448" t="s">
        <v>852</v>
      </c>
      <c r="AC90" s="448">
        <v>810000</v>
      </c>
      <c r="AD90" s="449"/>
      <c r="AE90" s="449"/>
      <c r="AF90" s="449"/>
      <c r="AG90" s="449"/>
      <c r="AH90" s="449">
        <v>5000000</v>
      </c>
      <c r="AI90" s="449"/>
      <c r="AJ90" s="449"/>
      <c r="AK90" s="449"/>
      <c r="AL90" s="449"/>
      <c r="AM90" s="449"/>
      <c r="AN90" s="449">
        <f t="shared" si="27"/>
        <v>5000000</v>
      </c>
      <c r="AO90" s="449">
        <f t="shared" si="23"/>
        <v>0</v>
      </c>
      <c r="AP90" s="449"/>
      <c r="AQ90" s="449">
        <f t="shared" si="26"/>
        <v>5000000</v>
      </c>
      <c r="AR90" s="449"/>
      <c r="AS90" s="449"/>
      <c r="AT90" s="449"/>
      <c r="AU90" s="449"/>
      <c r="AV90" s="449"/>
      <c r="AW90" s="449">
        <f t="shared" si="28"/>
        <v>0</v>
      </c>
      <c r="AX90" s="449"/>
      <c r="AY90" s="449"/>
      <c r="AZ90" s="449"/>
      <c r="BA90" s="449"/>
    </row>
    <row r="91" spans="1:53" s="842" customFormat="1" ht="30" customHeight="1">
      <c r="A91" s="448">
        <f t="shared" si="24"/>
        <v>86</v>
      </c>
      <c r="B91" s="455">
        <v>20037</v>
      </c>
      <c r="C91" s="448" t="s">
        <v>621</v>
      </c>
      <c r="D91" s="488">
        <v>2200000</v>
      </c>
      <c r="E91" s="449">
        <v>2200000</v>
      </c>
      <c r="F91" s="449">
        <f t="shared" si="15"/>
        <v>0</v>
      </c>
      <c r="G91" s="449">
        <v>1500000</v>
      </c>
      <c r="H91" s="449">
        <v>55780</v>
      </c>
      <c r="I91" s="449">
        <v>0</v>
      </c>
      <c r="J91" s="449">
        <v>443580</v>
      </c>
      <c r="K91" s="449">
        <f t="shared" si="16"/>
        <v>443580</v>
      </c>
      <c r="L91" s="449">
        <f t="shared" si="17"/>
        <v>499360</v>
      </c>
      <c r="M91" s="449">
        <f t="shared" si="18"/>
        <v>1700640</v>
      </c>
      <c r="N91" s="449"/>
      <c r="O91" s="449">
        <f t="shared" si="19"/>
        <v>0</v>
      </c>
      <c r="P91" s="449">
        <f t="shared" si="20"/>
        <v>1000640</v>
      </c>
      <c r="Q91" s="449"/>
      <c r="R91" s="482">
        <v>700000</v>
      </c>
      <c r="S91" s="449">
        <f t="shared" si="29"/>
        <v>700000</v>
      </c>
      <c r="T91" s="449"/>
      <c r="U91" s="449">
        <f t="shared" si="22"/>
        <v>0</v>
      </c>
      <c r="V91" s="449">
        <f t="shared" si="32"/>
        <v>0</v>
      </c>
      <c r="W91" s="449"/>
      <c r="X91" s="449"/>
      <c r="Y91" s="449"/>
      <c r="Z91" s="449"/>
      <c r="AA91" s="449"/>
      <c r="AB91" s="448" t="s">
        <v>853</v>
      </c>
      <c r="AC91" s="448">
        <v>826000</v>
      </c>
      <c r="AD91" s="449"/>
      <c r="AE91" s="449"/>
      <c r="AF91" s="449"/>
      <c r="AG91" s="449"/>
      <c r="AH91" s="449"/>
      <c r="AI91" s="449"/>
      <c r="AJ91" s="449"/>
      <c r="AK91" s="449"/>
      <c r="AL91" s="449"/>
      <c r="AM91" s="449"/>
      <c r="AN91" s="449">
        <f t="shared" si="27"/>
        <v>0</v>
      </c>
      <c r="AO91" s="449">
        <f t="shared" si="23"/>
        <v>0</v>
      </c>
      <c r="AP91" s="449"/>
      <c r="AQ91" s="449">
        <f t="shared" si="26"/>
        <v>0</v>
      </c>
      <c r="AR91" s="449"/>
      <c r="AS91" s="449"/>
      <c r="AT91" s="449"/>
      <c r="AU91" s="449"/>
      <c r="AV91" s="449"/>
      <c r="AW91" s="449">
        <f t="shared" si="28"/>
        <v>0</v>
      </c>
      <c r="AX91" s="449"/>
      <c r="AY91" s="449"/>
      <c r="AZ91" s="449"/>
      <c r="BA91" s="449"/>
    </row>
    <row r="92" spans="1:53" s="842" customFormat="1" ht="30" customHeight="1">
      <c r="A92" s="448">
        <f t="shared" si="24"/>
        <v>87</v>
      </c>
      <c r="B92" s="455">
        <v>20038</v>
      </c>
      <c r="C92" s="448" t="s">
        <v>1076</v>
      </c>
      <c r="D92" s="449">
        <v>550000</v>
      </c>
      <c r="E92" s="449">
        <v>550000</v>
      </c>
      <c r="F92" s="449">
        <f t="shared" si="15"/>
        <v>0</v>
      </c>
      <c r="G92" s="449">
        <v>550000</v>
      </c>
      <c r="H92" s="449">
        <v>0</v>
      </c>
      <c r="I92" s="449">
        <v>0</v>
      </c>
      <c r="J92" s="449">
        <v>525587</v>
      </c>
      <c r="K92" s="449">
        <f t="shared" si="16"/>
        <v>525587</v>
      </c>
      <c r="L92" s="449">
        <f t="shared" si="17"/>
        <v>525587</v>
      </c>
      <c r="M92" s="449">
        <f t="shared" si="18"/>
        <v>24413</v>
      </c>
      <c r="N92" s="449"/>
      <c r="O92" s="449">
        <f t="shared" si="19"/>
        <v>0</v>
      </c>
      <c r="P92" s="449">
        <f t="shared" si="20"/>
        <v>24413</v>
      </c>
      <c r="Q92" s="449"/>
      <c r="R92" s="449"/>
      <c r="S92" s="449">
        <f t="shared" si="29"/>
        <v>0</v>
      </c>
      <c r="T92" s="449"/>
      <c r="U92" s="449">
        <f t="shared" si="22"/>
        <v>0</v>
      </c>
      <c r="V92" s="449">
        <f t="shared" si="32"/>
        <v>0</v>
      </c>
      <c r="W92" s="449"/>
      <c r="X92" s="449"/>
      <c r="Y92" s="449"/>
      <c r="Z92" s="449"/>
      <c r="AA92" s="449"/>
      <c r="AB92" s="448" t="s">
        <v>622</v>
      </c>
      <c r="AC92" s="448">
        <v>829000</v>
      </c>
      <c r="AD92" s="449"/>
      <c r="AE92" s="449"/>
      <c r="AF92" s="449"/>
      <c r="AG92" s="449"/>
      <c r="AH92" s="449"/>
      <c r="AI92" s="449"/>
      <c r="AJ92" s="449"/>
      <c r="AK92" s="449"/>
      <c r="AL92" s="449"/>
      <c r="AM92" s="449"/>
      <c r="AN92" s="449">
        <f t="shared" si="27"/>
        <v>0</v>
      </c>
      <c r="AO92" s="449">
        <f t="shared" si="23"/>
        <v>0</v>
      </c>
      <c r="AP92" s="449"/>
      <c r="AQ92" s="449">
        <f t="shared" si="26"/>
        <v>0</v>
      </c>
      <c r="AR92" s="449"/>
      <c r="AS92" s="449"/>
      <c r="AT92" s="449"/>
      <c r="AU92" s="449"/>
      <c r="AV92" s="449"/>
      <c r="AW92" s="449">
        <f t="shared" si="28"/>
        <v>0</v>
      </c>
      <c r="AX92" s="449"/>
      <c r="AY92" s="449"/>
      <c r="AZ92" s="449"/>
      <c r="BA92" s="449"/>
    </row>
    <row r="93" spans="1:53" s="842" customFormat="1" ht="41.4">
      <c r="A93" s="448">
        <f t="shared" si="24"/>
        <v>88</v>
      </c>
      <c r="B93" s="455">
        <v>20039</v>
      </c>
      <c r="C93" s="448" t="s">
        <v>1260</v>
      </c>
      <c r="D93" s="449">
        <v>3200000</v>
      </c>
      <c r="E93" s="449">
        <v>3200000</v>
      </c>
      <c r="F93" s="449">
        <f t="shared" si="15"/>
        <v>0</v>
      </c>
      <c r="G93" s="449">
        <v>3200000</v>
      </c>
      <c r="H93" s="449">
        <v>3179346</v>
      </c>
      <c r="I93" s="449">
        <v>0</v>
      </c>
      <c r="J93" s="449">
        <v>15890</v>
      </c>
      <c r="K93" s="449">
        <f t="shared" si="16"/>
        <v>15890</v>
      </c>
      <c r="L93" s="449">
        <f t="shared" si="17"/>
        <v>3195236</v>
      </c>
      <c r="M93" s="449">
        <f t="shared" si="18"/>
        <v>4764</v>
      </c>
      <c r="N93" s="449"/>
      <c r="O93" s="449">
        <f t="shared" si="19"/>
        <v>0</v>
      </c>
      <c r="P93" s="449">
        <f t="shared" si="20"/>
        <v>4764</v>
      </c>
      <c r="Q93" s="449"/>
      <c r="R93" s="449"/>
      <c r="S93" s="449">
        <f t="shared" si="29"/>
        <v>0</v>
      </c>
      <c r="T93" s="449"/>
      <c r="U93" s="449">
        <f t="shared" si="22"/>
        <v>0</v>
      </c>
      <c r="V93" s="449">
        <f t="shared" si="32"/>
        <v>0</v>
      </c>
      <c r="W93" s="449"/>
      <c r="X93" s="449"/>
      <c r="Y93" s="449"/>
      <c r="Z93" s="449"/>
      <c r="AA93" s="449"/>
      <c r="AB93" s="448" t="s">
        <v>705</v>
      </c>
      <c r="AC93" s="448">
        <v>720000</v>
      </c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>
        <f t="shared" si="27"/>
        <v>0</v>
      </c>
      <c r="AO93" s="449">
        <f t="shared" si="23"/>
        <v>0</v>
      </c>
      <c r="AP93" s="449"/>
      <c r="AQ93" s="449">
        <f t="shared" si="26"/>
        <v>0</v>
      </c>
      <c r="AR93" s="449"/>
      <c r="AS93" s="449"/>
      <c r="AT93" s="449"/>
      <c r="AU93" s="449"/>
      <c r="AV93" s="449"/>
      <c r="AW93" s="449">
        <f t="shared" si="28"/>
        <v>0</v>
      </c>
      <c r="AX93" s="449"/>
      <c r="AY93" s="449"/>
      <c r="AZ93" s="449"/>
      <c r="BA93" s="449"/>
    </row>
    <row r="94" spans="1:53" s="842" customFormat="1" ht="30" customHeight="1">
      <c r="A94" s="448">
        <f t="shared" si="24"/>
        <v>89</v>
      </c>
      <c r="B94" s="455">
        <v>20048</v>
      </c>
      <c r="C94" s="448" t="s">
        <v>1077</v>
      </c>
      <c r="D94" s="449">
        <v>3730000</v>
      </c>
      <c r="E94" s="449">
        <v>3730000</v>
      </c>
      <c r="F94" s="449">
        <f t="shared" si="15"/>
        <v>0</v>
      </c>
      <c r="G94" s="449">
        <v>3730000</v>
      </c>
      <c r="H94" s="449">
        <v>3378183</v>
      </c>
      <c r="I94" s="449">
        <v>0</v>
      </c>
      <c r="J94" s="449">
        <v>155540</v>
      </c>
      <c r="K94" s="449">
        <f t="shared" si="16"/>
        <v>155540</v>
      </c>
      <c r="L94" s="449">
        <f t="shared" si="17"/>
        <v>3533723</v>
      </c>
      <c r="M94" s="449">
        <f t="shared" si="18"/>
        <v>196277</v>
      </c>
      <c r="N94" s="449"/>
      <c r="O94" s="449">
        <f t="shared" si="19"/>
        <v>0</v>
      </c>
      <c r="P94" s="449">
        <f t="shared" si="20"/>
        <v>196277</v>
      </c>
      <c r="Q94" s="449"/>
      <c r="R94" s="449"/>
      <c r="S94" s="449">
        <f t="shared" si="29"/>
        <v>0</v>
      </c>
      <c r="T94" s="449"/>
      <c r="U94" s="449">
        <f t="shared" si="22"/>
        <v>0</v>
      </c>
      <c r="V94" s="449">
        <f t="shared" si="32"/>
        <v>0</v>
      </c>
      <c r="W94" s="449"/>
      <c r="X94" s="449"/>
      <c r="Y94" s="449"/>
      <c r="Z94" s="449"/>
      <c r="AA94" s="449"/>
      <c r="AB94" s="448" t="s">
        <v>1078</v>
      </c>
      <c r="AC94" s="448">
        <v>826000</v>
      </c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>
        <f t="shared" si="27"/>
        <v>0</v>
      </c>
      <c r="AO94" s="449">
        <f t="shared" si="23"/>
        <v>0</v>
      </c>
      <c r="AP94" s="449"/>
      <c r="AQ94" s="449">
        <f t="shared" si="26"/>
        <v>0</v>
      </c>
      <c r="AR94" s="449"/>
      <c r="AS94" s="449"/>
      <c r="AT94" s="449"/>
      <c r="AU94" s="449"/>
      <c r="AV94" s="449"/>
      <c r="AW94" s="449">
        <f t="shared" si="28"/>
        <v>0</v>
      </c>
      <c r="AX94" s="449"/>
      <c r="AY94" s="449"/>
      <c r="AZ94" s="449"/>
      <c r="BA94" s="449"/>
    </row>
    <row r="95" spans="1:53" s="842" customFormat="1" ht="30" customHeight="1">
      <c r="A95" s="448">
        <f t="shared" si="24"/>
        <v>90</v>
      </c>
      <c r="B95" s="455">
        <v>20050</v>
      </c>
      <c r="C95" s="448" t="s">
        <v>1261</v>
      </c>
      <c r="D95" s="449">
        <f>4200000-2000000</f>
        <v>2200000</v>
      </c>
      <c r="E95" s="449">
        <v>2200000</v>
      </c>
      <c r="F95" s="449">
        <f t="shared" si="15"/>
        <v>0</v>
      </c>
      <c r="G95" s="449">
        <v>2200000</v>
      </c>
      <c r="H95" s="449">
        <v>0</v>
      </c>
      <c r="I95" s="449">
        <v>0</v>
      </c>
      <c r="J95" s="449">
        <v>2196578</v>
      </c>
      <c r="K95" s="449">
        <f t="shared" si="16"/>
        <v>2196578</v>
      </c>
      <c r="L95" s="449">
        <f t="shared" si="17"/>
        <v>2196578</v>
      </c>
      <c r="M95" s="449">
        <f t="shared" si="18"/>
        <v>3422</v>
      </c>
      <c r="N95" s="449">
        <f>2000000-2000000</f>
        <v>0</v>
      </c>
      <c r="O95" s="449">
        <f t="shared" si="19"/>
        <v>0</v>
      </c>
      <c r="P95" s="449">
        <f t="shared" si="20"/>
        <v>3422</v>
      </c>
      <c r="Q95" s="449"/>
      <c r="R95" s="449"/>
      <c r="S95" s="449">
        <f t="shared" si="29"/>
        <v>0</v>
      </c>
      <c r="T95" s="449"/>
      <c r="U95" s="449">
        <f t="shared" si="22"/>
        <v>0</v>
      </c>
      <c r="V95" s="449">
        <f t="shared" si="32"/>
        <v>0</v>
      </c>
      <c r="W95" s="449"/>
      <c r="X95" s="449"/>
      <c r="Y95" s="449"/>
      <c r="Z95" s="449"/>
      <c r="AA95" s="449"/>
      <c r="AB95" s="448" t="s">
        <v>854</v>
      </c>
      <c r="AC95" s="448">
        <v>742000</v>
      </c>
      <c r="AD95" s="449"/>
      <c r="AE95" s="449"/>
      <c r="AF95" s="449"/>
      <c r="AG95" s="449"/>
      <c r="AH95" s="449"/>
      <c r="AI95" s="449"/>
      <c r="AJ95" s="449"/>
      <c r="AK95" s="449"/>
      <c r="AL95" s="449"/>
      <c r="AM95" s="449"/>
      <c r="AN95" s="449">
        <f t="shared" si="27"/>
        <v>0</v>
      </c>
      <c r="AO95" s="449">
        <f t="shared" si="23"/>
        <v>0</v>
      </c>
      <c r="AP95" s="449"/>
      <c r="AQ95" s="449">
        <f t="shared" si="26"/>
        <v>0</v>
      </c>
      <c r="AR95" s="449"/>
      <c r="AS95" s="449"/>
      <c r="AT95" s="449"/>
      <c r="AU95" s="449"/>
      <c r="AV95" s="449"/>
      <c r="AW95" s="449">
        <f t="shared" si="28"/>
        <v>0</v>
      </c>
      <c r="AX95" s="449"/>
      <c r="AY95" s="449"/>
      <c r="AZ95" s="449"/>
      <c r="BA95" s="449"/>
    </row>
    <row r="96" spans="1:53" s="842" customFormat="1" ht="30" customHeight="1">
      <c r="A96" s="448">
        <f t="shared" si="24"/>
        <v>91</v>
      </c>
      <c r="B96" s="455">
        <v>20051</v>
      </c>
      <c r="C96" s="448" t="s">
        <v>716</v>
      </c>
      <c r="D96" s="449">
        <f>2300000-800000</f>
        <v>1500000</v>
      </c>
      <c r="E96" s="449">
        <v>2300000</v>
      </c>
      <c r="F96" s="449">
        <f t="shared" si="15"/>
        <v>-800000</v>
      </c>
      <c r="G96" s="449">
        <v>1500000</v>
      </c>
      <c r="H96" s="449">
        <v>0</v>
      </c>
      <c r="I96" s="449"/>
      <c r="J96" s="449">
        <v>1499129.51</v>
      </c>
      <c r="K96" s="449">
        <f t="shared" si="16"/>
        <v>1499129.51</v>
      </c>
      <c r="L96" s="449">
        <f t="shared" si="17"/>
        <v>1499129.51</v>
      </c>
      <c r="M96" s="449">
        <f t="shared" si="18"/>
        <v>870.48999999999069</v>
      </c>
      <c r="N96" s="449">
        <f>800000-800000</f>
        <v>0</v>
      </c>
      <c r="O96" s="449">
        <f t="shared" si="19"/>
        <v>0</v>
      </c>
      <c r="P96" s="449">
        <f t="shared" si="20"/>
        <v>870.48999999999069</v>
      </c>
      <c r="Q96" s="449"/>
      <c r="R96" s="449"/>
      <c r="S96" s="449">
        <f t="shared" si="29"/>
        <v>0</v>
      </c>
      <c r="T96" s="449"/>
      <c r="U96" s="449">
        <f t="shared" si="22"/>
        <v>0</v>
      </c>
      <c r="V96" s="449">
        <f t="shared" si="32"/>
        <v>0</v>
      </c>
      <c r="W96" s="449"/>
      <c r="X96" s="449"/>
      <c r="Y96" s="449"/>
      <c r="Z96" s="449"/>
      <c r="AA96" s="449"/>
      <c r="AB96" s="448" t="s">
        <v>855</v>
      </c>
      <c r="AC96" s="448">
        <v>742000</v>
      </c>
      <c r="AD96" s="449"/>
      <c r="AE96" s="449"/>
      <c r="AF96" s="449"/>
      <c r="AG96" s="449"/>
      <c r="AH96" s="449"/>
      <c r="AI96" s="449"/>
      <c r="AJ96" s="449"/>
      <c r="AK96" s="449"/>
      <c r="AL96" s="449"/>
      <c r="AM96" s="449"/>
      <c r="AN96" s="449">
        <f t="shared" si="27"/>
        <v>0</v>
      </c>
      <c r="AO96" s="449">
        <f t="shared" si="23"/>
        <v>0</v>
      </c>
      <c r="AP96" s="449"/>
      <c r="AQ96" s="449">
        <f t="shared" si="26"/>
        <v>0</v>
      </c>
      <c r="AR96" s="449"/>
      <c r="AS96" s="449"/>
      <c r="AT96" s="449"/>
      <c r="AU96" s="449"/>
      <c r="AV96" s="449"/>
      <c r="AW96" s="449">
        <f t="shared" si="28"/>
        <v>0</v>
      </c>
      <c r="AX96" s="449"/>
      <c r="AY96" s="449"/>
      <c r="AZ96" s="449"/>
      <c r="BA96" s="449"/>
    </row>
    <row r="97" spans="1:54" s="842" customFormat="1" ht="30" customHeight="1">
      <c r="A97" s="448">
        <f t="shared" si="24"/>
        <v>92</v>
      </c>
      <c r="B97" s="455">
        <v>20052</v>
      </c>
      <c r="C97" s="448" t="s">
        <v>739</v>
      </c>
      <c r="D97" s="449">
        <v>2820553</v>
      </c>
      <c r="E97" s="449">
        <v>2820553</v>
      </c>
      <c r="F97" s="449">
        <f t="shared" si="15"/>
        <v>0</v>
      </c>
      <c r="G97" s="449">
        <v>2270000</v>
      </c>
      <c r="H97" s="449">
        <v>117075</v>
      </c>
      <c r="I97" s="449">
        <v>0</v>
      </c>
      <c r="J97" s="449">
        <v>2152343</v>
      </c>
      <c r="K97" s="449">
        <f t="shared" si="16"/>
        <v>2152343</v>
      </c>
      <c r="L97" s="449">
        <f t="shared" si="17"/>
        <v>2269418</v>
      </c>
      <c r="M97" s="449">
        <f t="shared" si="18"/>
        <v>551135</v>
      </c>
      <c r="N97" s="449"/>
      <c r="O97" s="449">
        <f t="shared" si="19"/>
        <v>0</v>
      </c>
      <c r="P97" s="449">
        <f t="shared" si="20"/>
        <v>582</v>
      </c>
      <c r="Q97" s="449"/>
      <c r="R97" s="482">
        <f>200553+350000</f>
        <v>550553</v>
      </c>
      <c r="S97" s="449">
        <f t="shared" si="29"/>
        <v>550553</v>
      </c>
      <c r="T97" s="449"/>
      <c r="U97" s="449">
        <f t="shared" si="22"/>
        <v>0</v>
      </c>
      <c r="V97" s="449">
        <f t="shared" si="32"/>
        <v>0</v>
      </c>
      <c r="W97" s="449"/>
      <c r="X97" s="449"/>
      <c r="Y97" s="449"/>
      <c r="Z97" s="449"/>
      <c r="AA97" s="449"/>
      <c r="AB97" s="448" t="s">
        <v>856</v>
      </c>
      <c r="AC97" s="448">
        <v>930000</v>
      </c>
      <c r="AD97" s="449"/>
      <c r="AE97" s="449"/>
      <c r="AF97" s="449"/>
      <c r="AG97" s="449"/>
      <c r="AH97" s="449"/>
      <c r="AI97" s="449"/>
      <c r="AJ97" s="449"/>
      <c r="AK97" s="449"/>
      <c r="AL97" s="449"/>
      <c r="AM97" s="449"/>
      <c r="AN97" s="449">
        <f t="shared" si="27"/>
        <v>0</v>
      </c>
      <c r="AO97" s="449">
        <f t="shared" si="23"/>
        <v>0</v>
      </c>
      <c r="AP97" s="449"/>
      <c r="AQ97" s="449">
        <f t="shared" si="26"/>
        <v>0</v>
      </c>
      <c r="AR97" s="449"/>
      <c r="AS97" s="449"/>
      <c r="AT97" s="449"/>
      <c r="AU97" s="449"/>
      <c r="AV97" s="449"/>
      <c r="AW97" s="449">
        <f t="shared" si="28"/>
        <v>0</v>
      </c>
      <c r="AX97" s="449"/>
      <c r="AY97" s="449"/>
      <c r="AZ97" s="449"/>
      <c r="BA97" s="449"/>
    </row>
    <row r="98" spans="1:54" s="842" customFormat="1" ht="30" customHeight="1">
      <c r="A98" s="448">
        <f t="shared" si="24"/>
        <v>93</v>
      </c>
      <c r="B98" s="455">
        <v>20053</v>
      </c>
      <c r="C98" s="448" t="s">
        <v>1079</v>
      </c>
      <c r="D98" s="449">
        <v>600000</v>
      </c>
      <c r="E98" s="449">
        <v>600000</v>
      </c>
      <c r="F98" s="449">
        <f t="shared" si="15"/>
        <v>0</v>
      </c>
      <c r="G98" s="449">
        <v>600000</v>
      </c>
      <c r="H98" s="449">
        <v>0</v>
      </c>
      <c r="I98" s="449">
        <v>0</v>
      </c>
      <c r="J98" s="449">
        <v>145547</v>
      </c>
      <c r="K98" s="449">
        <f t="shared" si="16"/>
        <v>145547</v>
      </c>
      <c r="L98" s="449">
        <f t="shared" si="17"/>
        <v>145547</v>
      </c>
      <c r="M98" s="449">
        <f t="shared" si="18"/>
        <v>454453</v>
      </c>
      <c r="N98" s="449"/>
      <c r="O98" s="449">
        <f t="shared" si="19"/>
        <v>0</v>
      </c>
      <c r="P98" s="449">
        <f t="shared" si="20"/>
        <v>454453</v>
      </c>
      <c r="Q98" s="449"/>
      <c r="R98" s="449"/>
      <c r="S98" s="449">
        <f t="shared" si="29"/>
        <v>0</v>
      </c>
      <c r="T98" s="449"/>
      <c r="U98" s="449">
        <f t="shared" si="22"/>
        <v>0</v>
      </c>
      <c r="V98" s="449">
        <f t="shared" si="32"/>
        <v>0</v>
      </c>
      <c r="W98" s="449"/>
      <c r="X98" s="449"/>
      <c r="Y98" s="449"/>
      <c r="Z98" s="449"/>
      <c r="AA98" s="449"/>
      <c r="AB98" s="448" t="s">
        <v>1080</v>
      </c>
      <c r="AC98" s="448">
        <v>930000</v>
      </c>
      <c r="AD98" s="449"/>
      <c r="AE98" s="449"/>
      <c r="AF98" s="449"/>
      <c r="AG98" s="449"/>
      <c r="AH98" s="449"/>
      <c r="AI98" s="449"/>
      <c r="AJ98" s="449"/>
      <c r="AK98" s="449"/>
      <c r="AL98" s="449"/>
      <c r="AM98" s="449"/>
      <c r="AN98" s="449">
        <f t="shared" si="27"/>
        <v>0</v>
      </c>
      <c r="AO98" s="449">
        <f t="shared" si="23"/>
        <v>0</v>
      </c>
      <c r="AP98" s="449"/>
      <c r="AQ98" s="449">
        <f t="shared" si="26"/>
        <v>0</v>
      </c>
      <c r="AR98" s="449"/>
      <c r="AS98" s="449"/>
      <c r="AT98" s="449"/>
      <c r="AU98" s="449"/>
      <c r="AV98" s="449"/>
      <c r="AW98" s="449">
        <f t="shared" si="28"/>
        <v>0</v>
      </c>
      <c r="AX98" s="449"/>
      <c r="AY98" s="449"/>
      <c r="AZ98" s="449"/>
      <c r="BA98" s="449"/>
    </row>
    <row r="99" spans="1:54" s="842" customFormat="1" ht="30" customHeight="1">
      <c r="A99" s="448">
        <f t="shared" si="24"/>
        <v>94</v>
      </c>
      <c r="B99" s="455">
        <v>20054</v>
      </c>
      <c r="C99" s="448" t="s">
        <v>717</v>
      </c>
      <c r="D99" s="449">
        <v>1400000</v>
      </c>
      <c r="E99" s="449">
        <v>1400000</v>
      </c>
      <c r="F99" s="449">
        <f t="shared" si="15"/>
        <v>0</v>
      </c>
      <c r="G99" s="449">
        <v>0</v>
      </c>
      <c r="H99" s="449">
        <v>0</v>
      </c>
      <c r="I99" s="449">
        <v>0</v>
      </c>
      <c r="J99" s="449">
        <v>0</v>
      </c>
      <c r="K99" s="449">
        <f t="shared" si="16"/>
        <v>0</v>
      </c>
      <c r="L99" s="449">
        <f t="shared" si="17"/>
        <v>0</v>
      </c>
      <c r="M99" s="449">
        <f t="shared" si="18"/>
        <v>1400000</v>
      </c>
      <c r="N99" s="449"/>
      <c r="O99" s="449">
        <f t="shared" si="19"/>
        <v>0</v>
      </c>
      <c r="P99" s="449">
        <f t="shared" si="20"/>
        <v>0</v>
      </c>
      <c r="Q99" s="449"/>
      <c r="R99" s="482">
        <f>3900000-2500000</f>
        <v>1400000</v>
      </c>
      <c r="S99" s="449">
        <f t="shared" si="29"/>
        <v>1400000</v>
      </c>
      <c r="T99" s="449"/>
      <c r="U99" s="449">
        <f t="shared" si="22"/>
        <v>0</v>
      </c>
      <c r="V99" s="449">
        <f t="shared" si="32"/>
        <v>0</v>
      </c>
      <c r="W99" s="449"/>
      <c r="X99" s="449"/>
      <c r="Y99" s="449"/>
      <c r="Z99" s="449"/>
      <c r="AA99" s="449"/>
      <c r="AB99" s="448" t="s">
        <v>857</v>
      </c>
      <c r="AC99" s="448">
        <v>810000</v>
      </c>
      <c r="AD99" s="449"/>
      <c r="AE99" s="449"/>
      <c r="AF99" s="449"/>
      <c r="AG99" s="449"/>
      <c r="AH99" s="449"/>
      <c r="AI99" s="449"/>
      <c r="AJ99" s="449"/>
      <c r="AK99" s="449"/>
      <c r="AL99" s="449"/>
      <c r="AM99" s="449"/>
      <c r="AN99" s="449">
        <f t="shared" si="27"/>
        <v>0</v>
      </c>
      <c r="AO99" s="449">
        <f t="shared" si="23"/>
        <v>0</v>
      </c>
      <c r="AP99" s="449"/>
      <c r="AQ99" s="449">
        <f t="shared" si="26"/>
        <v>0</v>
      </c>
      <c r="AR99" s="449"/>
      <c r="AS99" s="449"/>
      <c r="AT99" s="449"/>
      <c r="AU99" s="449"/>
      <c r="AV99" s="449"/>
      <c r="AW99" s="449">
        <f t="shared" si="28"/>
        <v>0</v>
      </c>
      <c r="AX99" s="449"/>
      <c r="AY99" s="449"/>
      <c r="AZ99" s="449"/>
      <c r="BA99" s="449"/>
    </row>
    <row r="100" spans="1:54" s="842" customFormat="1" ht="30" customHeight="1">
      <c r="A100" s="448">
        <f t="shared" si="24"/>
        <v>95</v>
      </c>
      <c r="B100" s="455">
        <v>20055</v>
      </c>
      <c r="C100" s="448" t="s">
        <v>1262</v>
      </c>
      <c r="D100" s="449">
        <v>2000000</v>
      </c>
      <c r="E100" s="449">
        <v>2000000</v>
      </c>
      <c r="F100" s="449">
        <f t="shared" si="15"/>
        <v>0</v>
      </c>
      <c r="G100" s="449">
        <v>0</v>
      </c>
      <c r="H100" s="449">
        <v>0</v>
      </c>
      <c r="I100" s="449">
        <v>0</v>
      </c>
      <c r="J100" s="449">
        <v>0</v>
      </c>
      <c r="K100" s="449">
        <f t="shared" si="16"/>
        <v>0</v>
      </c>
      <c r="L100" s="449">
        <f t="shared" si="17"/>
        <v>0</v>
      </c>
      <c r="M100" s="449">
        <f t="shared" si="18"/>
        <v>2000000</v>
      </c>
      <c r="N100" s="449"/>
      <c r="O100" s="449">
        <f t="shared" si="19"/>
        <v>0</v>
      </c>
      <c r="P100" s="449">
        <f t="shared" si="20"/>
        <v>0</v>
      </c>
      <c r="Q100" s="449"/>
      <c r="R100" s="482">
        <v>2000000</v>
      </c>
      <c r="S100" s="449">
        <f t="shared" si="29"/>
        <v>2000000</v>
      </c>
      <c r="T100" s="449"/>
      <c r="U100" s="449">
        <f t="shared" si="22"/>
        <v>0</v>
      </c>
      <c r="V100" s="449">
        <f t="shared" si="32"/>
        <v>0</v>
      </c>
      <c r="W100" s="449"/>
      <c r="X100" s="449"/>
      <c r="Y100" s="449"/>
      <c r="Z100" s="449"/>
      <c r="AA100" s="449"/>
      <c r="AB100" s="448" t="s">
        <v>858</v>
      </c>
      <c r="AC100" s="448">
        <v>810000</v>
      </c>
      <c r="AD100" s="449"/>
      <c r="AE100" s="449"/>
      <c r="AF100" s="449"/>
      <c r="AG100" s="449"/>
      <c r="AH100" s="449"/>
      <c r="AI100" s="449"/>
      <c r="AJ100" s="449"/>
      <c r="AK100" s="449"/>
      <c r="AL100" s="449"/>
      <c r="AM100" s="449"/>
      <c r="AN100" s="449">
        <f t="shared" si="27"/>
        <v>0</v>
      </c>
      <c r="AO100" s="449">
        <f t="shared" si="23"/>
        <v>0</v>
      </c>
      <c r="AP100" s="449"/>
      <c r="AQ100" s="449">
        <f t="shared" si="26"/>
        <v>0</v>
      </c>
      <c r="AR100" s="449"/>
      <c r="AS100" s="449"/>
      <c r="AT100" s="449"/>
      <c r="AU100" s="449"/>
      <c r="AV100" s="449"/>
      <c r="AW100" s="449">
        <f t="shared" si="28"/>
        <v>0</v>
      </c>
      <c r="AX100" s="449"/>
      <c r="AY100" s="449"/>
      <c r="AZ100" s="449"/>
      <c r="BA100" s="449"/>
    </row>
    <row r="101" spans="1:54" s="842" customFormat="1" ht="30" customHeight="1">
      <c r="A101" s="448">
        <f t="shared" si="24"/>
        <v>96</v>
      </c>
      <c r="B101" s="455">
        <v>20065</v>
      </c>
      <c r="C101" s="448" t="s">
        <v>740</v>
      </c>
      <c r="D101" s="449">
        <v>3200000</v>
      </c>
      <c r="E101" s="449"/>
      <c r="F101" s="449">
        <f t="shared" si="15"/>
        <v>3200000</v>
      </c>
      <c r="G101" s="449">
        <v>0</v>
      </c>
      <c r="H101" s="449">
        <v>0</v>
      </c>
      <c r="I101" s="449">
        <v>0</v>
      </c>
      <c r="J101" s="449">
        <v>0</v>
      </c>
      <c r="K101" s="449">
        <f>SUM(I101:J101)</f>
        <v>0</v>
      </c>
      <c r="L101" s="449">
        <f>H101+K101</f>
        <v>0</v>
      </c>
      <c r="M101" s="449">
        <f>P101+S101</f>
        <v>0</v>
      </c>
      <c r="N101" s="449">
        <f>3200000-1200000</f>
        <v>2000000</v>
      </c>
      <c r="O101" s="449">
        <f t="shared" si="19"/>
        <v>1200000</v>
      </c>
      <c r="P101" s="449">
        <f>G101-L101</f>
        <v>0</v>
      </c>
      <c r="Q101" s="449"/>
      <c r="R101" s="449"/>
      <c r="S101" s="449">
        <f>SUM(Q101:R101)</f>
        <v>0</v>
      </c>
      <c r="T101" s="449">
        <f>P101-M101+S101</f>
        <v>0</v>
      </c>
      <c r="U101" s="449">
        <f t="shared" si="22"/>
        <v>2000000</v>
      </c>
      <c r="V101" s="449"/>
      <c r="W101" s="449">
        <f>U101-V101-AA101</f>
        <v>2000000</v>
      </c>
      <c r="X101" s="449"/>
      <c r="Y101" s="449"/>
      <c r="Z101" s="449"/>
      <c r="AA101" s="449"/>
      <c r="AB101" s="448" t="s">
        <v>859</v>
      </c>
      <c r="AC101" s="448">
        <v>824000</v>
      </c>
      <c r="AD101" s="449"/>
      <c r="AE101" s="449"/>
      <c r="AF101" s="449"/>
      <c r="AG101" s="449"/>
      <c r="AH101" s="449">
        <v>2000000</v>
      </c>
      <c r="AI101" s="449"/>
      <c r="AJ101" s="449"/>
      <c r="AK101" s="449"/>
      <c r="AL101" s="449"/>
      <c r="AM101" s="449"/>
      <c r="AN101" s="449">
        <f t="shared" si="27"/>
        <v>2000000</v>
      </c>
      <c r="AO101" s="449">
        <f t="shared" si="23"/>
        <v>0</v>
      </c>
      <c r="AP101" s="449"/>
      <c r="AQ101" s="449">
        <f t="shared" si="26"/>
        <v>2000000</v>
      </c>
      <c r="AR101" s="449"/>
      <c r="AS101" s="449"/>
      <c r="AT101" s="449"/>
      <c r="AU101" s="449"/>
      <c r="AV101" s="449"/>
      <c r="AW101" s="449">
        <f t="shared" si="28"/>
        <v>0</v>
      </c>
      <c r="AX101" s="449"/>
      <c r="AY101" s="449"/>
      <c r="AZ101" s="449"/>
      <c r="BA101" s="449"/>
    </row>
    <row r="102" spans="1:54" s="842" customFormat="1" ht="30" customHeight="1">
      <c r="A102" s="448">
        <f t="shared" si="24"/>
        <v>97</v>
      </c>
      <c r="B102" s="455">
        <v>20066</v>
      </c>
      <c r="C102" s="448" t="s">
        <v>1263</v>
      </c>
      <c r="D102" s="449">
        <v>3540000</v>
      </c>
      <c r="E102" s="449"/>
      <c r="F102" s="449">
        <f t="shared" si="15"/>
        <v>3540000</v>
      </c>
      <c r="G102" s="449">
        <v>0</v>
      </c>
      <c r="H102" s="449">
        <v>0</v>
      </c>
      <c r="I102" s="449">
        <v>0</v>
      </c>
      <c r="J102" s="449">
        <v>0</v>
      </c>
      <c r="K102" s="449"/>
      <c r="L102" s="449"/>
      <c r="M102" s="449">
        <f>P102+S102</f>
        <v>0</v>
      </c>
      <c r="N102" s="449">
        <f>15*30000</f>
        <v>450000</v>
      </c>
      <c r="O102" s="449">
        <f t="shared" si="19"/>
        <v>3090000</v>
      </c>
      <c r="P102" s="449"/>
      <c r="Q102" s="449"/>
      <c r="R102" s="449"/>
      <c r="S102" s="449"/>
      <c r="T102" s="449"/>
      <c r="U102" s="449">
        <f t="shared" si="22"/>
        <v>450000</v>
      </c>
      <c r="V102" s="449"/>
      <c r="W102" s="449">
        <f t="shared" ref="W102:W110" si="33">U102-V102-AA102</f>
        <v>450000</v>
      </c>
      <c r="X102" s="449"/>
      <c r="Y102" s="449"/>
      <c r="Z102" s="449"/>
      <c r="AA102" s="449"/>
      <c r="AB102" s="448" t="s">
        <v>860</v>
      </c>
      <c r="AC102" s="448">
        <v>723000</v>
      </c>
      <c r="AD102" s="449"/>
      <c r="AE102" s="449"/>
      <c r="AF102" s="449"/>
      <c r="AG102" s="449"/>
      <c r="AH102" s="449"/>
      <c r="AI102" s="449"/>
      <c r="AJ102" s="449"/>
      <c r="AK102" s="449"/>
      <c r="AL102" s="449"/>
      <c r="AM102" s="449"/>
      <c r="AN102" s="449">
        <f t="shared" si="27"/>
        <v>0</v>
      </c>
      <c r="AO102" s="449">
        <f t="shared" si="23"/>
        <v>450000</v>
      </c>
      <c r="AP102" s="449"/>
      <c r="AQ102" s="449">
        <f t="shared" si="26"/>
        <v>0</v>
      </c>
      <c r="AR102" s="449"/>
      <c r="AS102" s="449"/>
      <c r="AT102" s="449"/>
      <c r="AU102" s="449"/>
      <c r="AV102" s="449"/>
      <c r="AW102" s="449">
        <f t="shared" si="28"/>
        <v>0</v>
      </c>
      <c r="AX102" s="449"/>
      <c r="AY102" s="449"/>
      <c r="AZ102" s="449"/>
      <c r="BA102" s="449"/>
    </row>
    <row r="103" spans="1:54" s="842" customFormat="1" ht="30" customHeight="1">
      <c r="A103" s="448">
        <f t="shared" si="24"/>
        <v>98</v>
      </c>
      <c r="B103" s="455">
        <v>20067</v>
      </c>
      <c r="C103" s="448" t="s">
        <v>741</v>
      </c>
      <c r="D103" s="488">
        <f>7000*500</f>
        <v>3500000</v>
      </c>
      <c r="E103" s="449"/>
      <c r="F103" s="449">
        <f t="shared" si="15"/>
        <v>3500000</v>
      </c>
      <c r="G103" s="449">
        <v>0</v>
      </c>
      <c r="H103" s="449">
        <v>0</v>
      </c>
      <c r="I103" s="449">
        <v>0</v>
      </c>
      <c r="J103" s="449">
        <v>0</v>
      </c>
      <c r="K103" s="449"/>
      <c r="L103" s="449"/>
      <c r="M103" s="449">
        <f>P103+S103</f>
        <v>0</v>
      </c>
      <c r="N103" s="449">
        <f>3500000-2000000</f>
        <v>1500000</v>
      </c>
      <c r="O103" s="449">
        <f t="shared" si="19"/>
        <v>2000000</v>
      </c>
      <c r="P103" s="449"/>
      <c r="Q103" s="449"/>
      <c r="R103" s="449"/>
      <c r="S103" s="449"/>
      <c r="T103" s="449"/>
      <c r="U103" s="449">
        <f t="shared" si="22"/>
        <v>1500000</v>
      </c>
      <c r="V103" s="449"/>
      <c r="W103" s="449">
        <f t="shared" si="33"/>
        <v>1500000</v>
      </c>
      <c r="X103" s="449"/>
      <c r="Y103" s="449"/>
      <c r="Z103" s="449"/>
      <c r="AA103" s="449"/>
      <c r="AB103" s="448" t="s">
        <v>861</v>
      </c>
      <c r="AC103" s="448">
        <v>743000</v>
      </c>
      <c r="AD103" s="449">
        <v>500000</v>
      </c>
      <c r="AE103" s="449"/>
      <c r="AF103" s="449">
        <v>200000</v>
      </c>
      <c r="AG103" s="449"/>
      <c r="AH103" s="449"/>
      <c r="AI103" s="449"/>
      <c r="AJ103" s="449"/>
      <c r="AK103" s="449">
        <v>800000</v>
      </c>
      <c r="AL103" s="449"/>
      <c r="AM103" s="449"/>
      <c r="AN103" s="449">
        <f t="shared" si="27"/>
        <v>1500000</v>
      </c>
      <c r="AO103" s="449">
        <f t="shared" si="23"/>
        <v>0</v>
      </c>
      <c r="AP103" s="449"/>
      <c r="AQ103" s="449">
        <f t="shared" si="26"/>
        <v>1500000</v>
      </c>
      <c r="AR103" s="449"/>
      <c r="AS103" s="449"/>
      <c r="AT103" s="449"/>
      <c r="AU103" s="449"/>
      <c r="AV103" s="449"/>
      <c r="AW103" s="449">
        <f t="shared" si="28"/>
        <v>0</v>
      </c>
      <c r="AX103" s="449"/>
      <c r="AY103" s="449"/>
      <c r="AZ103" s="449"/>
      <c r="BA103" s="449"/>
    </row>
    <row r="104" spans="1:54" s="842" customFormat="1" ht="30" customHeight="1">
      <c r="A104" s="448">
        <f t="shared" si="24"/>
        <v>99</v>
      </c>
      <c r="B104" s="455">
        <v>20068</v>
      </c>
      <c r="C104" s="448" t="s">
        <v>1081</v>
      </c>
      <c r="D104" s="449">
        <v>158000</v>
      </c>
      <c r="E104" s="449"/>
      <c r="F104" s="449">
        <f t="shared" si="15"/>
        <v>158000</v>
      </c>
      <c r="G104" s="449">
        <v>0</v>
      </c>
      <c r="H104" s="449">
        <v>0</v>
      </c>
      <c r="I104" s="449">
        <v>0</v>
      </c>
      <c r="J104" s="449">
        <v>0</v>
      </c>
      <c r="K104" s="449">
        <f>SUM(I104:J104)</f>
        <v>0</v>
      </c>
      <c r="L104" s="449">
        <f>H104+K104</f>
        <v>0</v>
      </c>
      <c r="M104" s="449">
        <f>P104+S104</f>
        <v>0</v>
      </c>
      <c r="N104" s="449">
        <v>158000</v>
      </c>
      <c r="O104" s="449">
        <f t="shared" si="19"/>
        <v>0</v>
      </c>
      <c r="P104" s="449">
        <f>G104-L104</f>
        <v>0</v>
      </c>
      <c r="Q104" s="449"/>
      <c r="R104" s="449"/>
      <c r="S104" s="449">
        <f>SUM(Q104:R104)</f>
        <v>0</v>
      </c>
      <c r="T104" s="449">
        <f>P104-M104+S104</f>
        <v>0</v>
      </c>
      <c r="U104" s="449">
        <f t="shared" si="22"/>
        <v>158000</v>
      </c>
      <c r="V104" s="449"/>
      <c r="W104" s="449">
        <f t="shared" si="33"/>
        <v>0</v>
      </c>
      <c r="X104" s="449"/>
      <c r="Y104" s="449"/>
      <c r="Z104" s="449"/>
      <c r="AA104" s="449">
        <v>158000</v>
      </c>
      <c r="AB104" s="448" t="s">
        <v>461</v>
      </c>
      <c r="AC104" s="448">
        <v>747000</v>
      </c>
      <c r="AD104" s="449">
        <v>158000</v>
      </c>
      <c r="AE104" s="449"/>
      <c r="AF104" s="449"/>
      <c r="AG104" s="449"/>
      <c r="AH104" s="449"/>
      <c r="AI104" s="449"/>
      <c r="AJ104" s="449"/>
      <c r="AK104" s="449"/>
      <c r="AL104" s="449"/>
      <c r="AM104" s="449"/>
      <c r="AN104" s="449">
        <f t="shared" si="27"/>
        <v>158000</v>
      </c>
      <c r="AO104" s="449">
        <f t="shared" si="23"/>
        <v>0</v>
      </c>
      <c r="AP104" s="449"/>
      <c r="AQ104" s="449">
        <f t="shared" si="26"/>
        <v>0</v>
      </c>
      <c r="AR104" s="449"/>
      <c r="AS104" s="449"/>
      <c r="AT104" s="449"/>
      <c r="AU104" s="449">
        <v>158000</v>
      </c>
      <c r="AV104" s="449"/>
      <c r="AW104" s="449">
        <f t="shared" si="28"/>
        <v>0</v>
      </c>
      <c r="AX104" s="449"/>
      <c r="AY104" s="449"/>
      <c r="AZ104" s="449"/>
      <c r="BA104" s="449"/>
    </row>
    <row r="105" spans="1:54" s="842" customFormat="1" ht="30" customHeight="1">
      <c r="A105" s="448">
        <f t="shared" si="24"/>
        <v>100</v>
      </c>
      <c r="B105" s="455">
        <v>20069</v>
      </c>
      <c r="C105" s="448" t="s">
        <v>742</v>
      </c>
      <c r="D105" s="449">
        <v>33000</v>
      </c>
      <c r="E105" s="449"/>
      <c r="F105" s="449">
        <f t="shared" si="15"/>
        <v>33000</v>
      </c>
      <c r="G105" s="449">
        <v>0</v>
      </c>
      <c r="H105" s="449">
        <v>0</v>
      </c>
      <c r="I105" s="449">
        <v>0</v>
      </c>
      <c r="J105" s="449">
        <v>0</v>
      </c>
      <c r="K105" s="449">
        <f>SUM(I105:J105)</f>
        <v>0</v>
      </c>
      <c r="L105" s="449">
        <f>H105+K105</f>
        <v>0</v>
      </c>
      <c r="M105" s="449">
        <f>P105+S105</f>
        <v>0</v>
      </c>
      <c r="N105" s="449">
        <v>33000</v>
      </c>
      <c r="O105" s="449">
        <f t="shared" si="19"/>
        <v>0</v>
      </c>
      <c r="P105" s="449">
        <f>G105-L105</f>
        <v>0</v>
      </c>
      <c r="Q105" s="449"/>
      <c r="R105" s="449"/>
      <c r="S105" s="449">
        <f>SUM(Q105:R105)</f>
        <v>0</v>
      </c>
      <c r="T105" s="449">
        <f>P105-M105+S105</f>
        <v>0</v>
      </c>
      <c r="U105" s="449">
        <f t="shared" si="22"/>
        <v>33000</v>
      </c>
      <c r="V105" s="449"/>
      <c r="W105" s="449">
        <f t="shared" si="33"/>
        <v>0</v>
      </c>
      <c r="X105" s="449"/>
      <c r="Y105" s="449"/>
      <c r="Z105" s="449"/>
      <c r="AA105" s="449">
        <v>33000</v>
      </c>
      <c r="AB105" s="448" t="s">
        <v>461</v>
      </c>
      <c r="AC105" s="448">
        <v>747000</v>
      </c>
      <c r="AD105" s="449">
        <v>33000</v>
      </c>
      <c r="AE105" s="449"/>
      <c r="AF105" s="449"/>
      <c r="AG105" s="449"/>
      <c r="AH105" s="449"/>
      <c r="AI105" s="449"/>
      <c r="AJ105" s="449"/>
      <c r="AK105" s="449"/>
      <c r="AL105" s="449"/>
      <c r="AM105" s="449"/>
      <c r="AN105" s="449">
        <f t="shared" si="27"/>
        <v>33000</v>
      </c>
      <c r="AO105" s="449">
        <f t="shared" si="23"/>
        <v>0</v>
      </c>
      <c r="AP105" s="449"/>
      <c r="AQ105" s="449">
        <f t="shared" si="26"/>
        <v>0</v>
      </c>
      <c r="AR105" s="449"/>
      <c r="AS105" s="449"/>
      <c r="AT105" s="449"/>
      <c r="AU105" s="449">
        <v>33000</v>
      </c>
      <c r="AV105" s="449"/>
      <c r="AW105" s="449">
        <f t="shared" si="28"/>
        <v>0</v>
      </c>
      <c r="AX105" s="449"/>
      <c r="AY105" s="449"/>
      <c r="AZ105" s="449"/>
      <c r="BA105" s="449"/>
    </row>
    <row r="106" spans="1:54" s="842" customFormat="1" ht="30" customHeight="1">
      <c r="A106" s="448">
        <f t="shared" si="24"/>
        <v>101</v>
      </c>
      <c r="B106" s="455">
        <v>20070</v>
      </c>
      <c r="C106" s="448" t="s">
        <v>743</v>
      </c>
      <c r="D106" s="449">
        <v>450000</v>
      </c>
      <c r="E106" s="449"/>
      <c r="F106" s="449">
        <f t="shared" si="15"/>
        <v>450000</v>
      </c>
      <c r="G106" s="449"/>
      <c r="H106" s="449"/>
      <c r="I106" s="449"/>
      <c r="J106" s="449"/>
      <c r="K106" s="449"/>
      <c r="L106" s="449"/>
      <c r="M106" s="449"/>
      <c r="N106" s="449">
        <v>450000</v>
      </c>
      <c r="O106" s="449">
        <f t="shared" si="19"/>
        <v>0</v>
      </c>
      <c r="P106" s="449"/>
      <c r="Q106" s="449"/>
      <c r="R106" s="449"/>
      <c r="S106" s="449"/>
      <c r="T106" s="449"/>
      <c r="U106" s="449">
        <f t="shared" si="22"/>
        <v>450000</v>
      </c>
      <c r="V106" s="449"/>
      <c r="W106" s="449">
        <f t="shared" si="33"/>
        <v>450000</v>
      </c>
      <c r="X106" s="449"/>
      <c r="Y106" s="449"/>
      <c r="Z106" s="449"/>
      <c r="AA106" s="449"/>
      <c r="AB106" s="448" t="s">
        <v>862</v>
      </c>
      <c r="AC106" s="448">
        <v>829000</v>
      </c>
      <c r="AD106" s="449">
        <v>300000</v>
      </c>
      <c r="AE106" s="449"/>
      <c r="AF106" s="449"/>
      <c r="AG106" s="449"/>
      <c r="AH106" s="449"/>
      <c r="AI106" s="449"/>
      <c r="AJ106" s="449">
        <v>150000</v>
      </c>
      <c r="AK106" s="449"/>
      <c r="AL106" s="449"/>
      <c r="AM106" s="449"/>
      <c r="AN106" s="449">
        <f t="shared" si="27"/>
        <v>450000</v>
      </c>
      <c r="AO106" s="449">
        <f t="shared" si="23"/>
        <v>0</v>
      </c>
      <c r="AP106" s="449"/>
      <c r="AQ106" s="449">
        <f t="shared" si="26"/>
        <v>450000</v>
      </c>
      <c r="AR106" s="449"/>
      <c r="AS106" s="449"/>
      <c r="AT106" s="449"/>
      <c r="AU106" s="449"/>
      <c r="AV106" s="449"/>
      <c r="AW106" s="449">
        <f t="shared" si="28"/>
        <v>0</v>
      </c>
      <c r="AX106" s="449"/>
      <c r="AY106" s="449"/>
      <c r="AZ106" s="449"/>
      <c r="BA106" s="449"/>
    </row>
    <row r="107" spans="1:54" s="842" customFormat="1" ht="30" customHeight="1">
      <c r="A107" s="448">
        <f t="shared" si="24"/>
        <v>102</v>
      </c>
      <c r="B107" s="455">
        <v>20071</v>
      </c>
      <c r="C107" s="448" t="s">
        <v>814</v>
      </c>
      <c r="D107" s="449">
        <f>600000-150000</f>
        <v>450000</v>
      </c>
      <c r="E107" s="449"/>
      <c r="F107" s="449">
        <f t="shared" si="15"/>
        <v>450000</v>
      </c>
      <c r="G107" s="449"/>
      <c r="H107" s="449"/>
      <c r="I107" s="449"/>
      <c r="J107" s="449"/>
      <c r="K107" s="449"/>
      <c r="L107" s="449"/>
      <c r="M107" s="449"/>
      <c r="N107" s="449">
        <f>600000-150000</f>
        <v>450000</v>
      </c>
      <c r="O107" s="449">
        <f t="shared" si="19"/>
        <v>0</v>
      </c>
      <c r="P107" s="449"/>
      <c r="Q107" s="449"/>
      <c r="R107" s="449"/>
      <c r="S107" s="449"/>
      <c r="T107" s="449"/>
      <c r="U107" s="449">
        <f t="shared" si="22"/>
        <v>450000</v>
      </c>
      <c r="V107" s="449"/>
      <c r="W107" s="449">
        <f t="shared" si="33"/>
        <v>450000</v>
      </c>
      <c r="X107" s="449"/>
      <c r="Y107" s="449"/>
      <c r="Z107" s="449"/>
      <c r="AA107" s="449"/>
      <c r="AB107" s="448" t="s">
        <v>896</v>
      </c>
      <c r="AC107" s="448">
        <v>747000</v>
      </c>
      <c r="AD107" s="449"/>
      <c r="AE107" s="449"/>
      <c r="AF107" s="449"/>
      <c r="AG107" s="449"/>
      <c r="AH107" s="449"/>
      <c r="AI107" s="449"/>
      <c r="AJ107" s="449"/>
      <c r="AK107" s="449"/>
      <c r="AL107" s="449"/>
      <c r="AM107" s="449"/>
      <c r="AN107" s="449">
        <f t="shared" si="27"/>
        <v>0</v>
      </c>
      <c r="AO107" s="449">
        <f t="shared" si="23"/>
        <v>450000</v>
      </c>
      <c r="AP107" s="449"/>
      <c r="AQ107" s="449">
        <f t="shared" si="26"/>
        <v>0</v>
      </c>
      <c r="AR107" s="449"/>
      <c r="AS107" s="449"/>
      <c r="AT107" s="449"/>
      <c r="AU107" s="449"/>
      <c r="AV107" s="449"/>
      <c r="AW107" s="449">
        <f t="shared" si="28"/>
        <v>0</v>
      </c>
      <c r="AX107" s="449"/>
      <c r="AY107" s="449"/>
      <c r="AZ107" s="449"/>
      <c r="BA107" s="449"/>
    </row>
    <row r="108" spans="1:54" s="842" customFormat="1" ht="30" customHeight="1">
      <c r="A108" s="448">
        <f t="shared" si="24"/>
        <v>103</v>
      </c>
      <c r="B108" s="455">
        <v>20072</v>
      </c>
      <c r="C108" s="448" t="s">
        <v>792</v>
      </c>
      <c r="D108" s="449">
        <v>2000000</v>
      </c>
      <c r="E108" s="449"/>
      <c r="F108" s="449">
        <f>D108-E108</f>
        <v>2000000</v>
      </c>
      <c r="G108" s="449"/>
      <c r="H108" s="449"/>
      <c r="I108" s="449"/>
      <c r="J108" s="449"/>
      <c r="K108" s="449"/>
      <c r="L108" s="449"/>
      <c r="M108" s="449"/>
      <c r="N108" s="449">
        <f>2000000-1000000</f>
        <v>1000000</v>
      </c>
      <c r="O108" s="449">
        <f>D108-L108-M108-N108</f>
        <v>1000000</v>
      </c>
      <c r="P108" s="449"/>
      <c r="Q108" s="449"/>
      <c r="R108" s="449"/>
      <c r="S108" s="449"/>
      <c r="T108" s="449"/>
      <c r="U108" s="449">
        <f>N108-T108</f>
        <v>1000000</v>
      </c>
      <c r="V108" s="449"/>
      <c r="W108" s="449">
        <f>U108-V108-AA108</f>
        <v>1000000</v>
      </c>
      <c r="X108" s="449"/>
      <c r="Y108" s="449"/>
      <c r="Z108" s="449"/>
      <c r="AA108" s="449"/>
      <c r="AB108" s="448" t="s">
        <v>863</v>
      </c>
      <c r="AC108" s="448">
        <v>743000</v>
      </c>
      <c r="AD108" s="449">
        <v>200000</v>
      </c>
      <c r="AE108" s="449"/>
      <c r="AF108" s="449">
        <v>200000</v>
      </c>
      <c r="AG108" s="449"/>
      <c r="AH108" s="449"/>
      <c r="AI108" s="449"/>
      <c r="AJ108" s="449">
        <v>600000</v>
      </c>
      <c r="AK108" s="449"/>
      <c r="AL108" s="449"/>
      <c r="AM108" s="449"/>
      <c r="AN108" s="449">
        <f t="shared" si="27"/>
        <v>1000000</v>
      </c>
      <c r="AO108" s="449">
        <f t="shared" si="23"/>
        <v>0</v>
      </c>
      <c r="AP108" s="449"/>
      <c r="AQ108" s="449">
        <f t="shared" si="26"/>
        <v>1000000</v>
      </c>
      <c r="AR108" s="449"/>
      <c r="AS108" s="449"/>
      <c r="AT108" s="449"/>
      <c r="AU108" s="449"/>
      <c r="AV108" s="449"/>
      <c r="AW108" s="449">
        <f t="shared" si="28"/>
        <v>0</v>
      </c>
      <c r="AX108" s="449"/>
      <c r="AY108" s="449"/>
      <c r="AZ108" s="449"/>
      <c r="BA108" s="449"/>
    </row>
    <row r="109" spans="1:54" s="842" customFormat="1" ht="30" customHeight="1">
      <c r="A109" s="448">
        <f t="shared" si="24"/>
        <v>104</v>
      </c>
      <c r="B109" s="455">
        <v>20073</v>
      </c>
      <c r="C109" s="448" t="s">
        <v>802</v>
      </c>
      <c r="D109" s="449">
        <v>300000</v>
      </c>
      <c r="E109" s="449"/>
      <c r="F109" s="449">
        <f>D109-E109</f>
        <v>300000</v>
      </c>
      <c r="G109" s="449"/>
      <c r="H109" s="449"/>
      <c r="I109" s="449"/>
      <c r="J109" s="449"/>
      <c r="K109" s="449"/>
      <c r="L109" s="449"/>
      <c r="M109" s="449"/>
      <c r="N109" s="449">
        <v>300000</v>
      </c>
      <c r="O109" s="449">
        <f>D109-L109-M109-N109</f>
        <v>0</v>
      </c>
      <c r="P109" s="449"/>
      <c r="Q109" s="449"/>
      <c r="R109" s="449"/>
      <c r="S109" s="449"/>
      <c r="T109" s="449"/>
      <c r="U109" s="449">
        <f>N109-T109</f>
        <v>300000</v>
      </c>
      <c r="V109" s="449"/>
      <c r="W109" s="449">
        <f>U109-V109-AA109</f>
        <v>0</v>
      </c>
      <c r="X109" s="449"/>
      <c r="Y109" s="449"/>
      <c r="Z109" s="449"/>
      <c r="AA109" s="449">
        <v>300000</v>
      </c>
      <c r="AB109" s="448" t="s">
        <v>463</v>
      </c>
      <c r="AC109" s="448">
        <v>810000</v>
      </c>
      <c r="AD109" s="449">
        <v>300000</v>
      </c>
      <c r="AE109" s="449"/>
      <c r="AF109" s="449"/>
      <c r="AG109" s="449"/>
      <c r="AH109" s="449"/>
      <c r="AI109" s="449"/>
      <c r="AJ109" s="449"/>
      <c r="AK109" s="449"/>
      <c r="AL109" s="449"/>
      <c r="AM109" s="449"/>
      <c r="AN109" s="449">
        <f t="shared" si="27"/>
        <v>300000</v>
      </c>
      <c r="AO109" s="449">
        <f t="shared" si="23"/>
        <v>0</v>
      </c>
      <c r="AP109" s="449"/>
      <c r="AQ109" s="449">
        <f t="shared" si="26"/>
        <v>0</v>
      </c>
      <c r="AR109" s="449"/>
      <c r="AS109" s="449"/>
      <c r="AT109" s="449"/>
      <c r="AU109" s="449">
        <v>300000</v>
      </c>
      <c r="AV109" s="449"/>
      <c r="AW109" s="449">
        <f t="shared" si="28"/>
        <v>0</v>
      </c>
      <c r="AX109" s="449"/>
      <c r="AY109" s="449"/>
      <c r="AZ109" s="449"/>
      <c r="BA109" s="449"/>
    </row>
    <row r="110" spans="1:54" s="842" customFormat="1" ht="30" customHeight="1">
      <c r="A110" s="448">
        <f t="shared" si="24"/>
        <v>105</v>
      </c>
      <c r="B110" s="455">
        <v>20074</v>
      </c>
      <c r="C110" s="448" t="s">
        <v>815</v>
      </c>
      <c r="D110" s="449">
        <v>1500000</v>
      </c>
      <c r="E110" s="449"/>
      <c r="F110" s="449">
        <f t="shared" si="15"/>
        <v>1500000</v>
      </c>
      <c r="G110" s="449"/>
      <c r="H110" s="449"/>
      <c r="I110" s="449"/>
      <c r="J110" s="449"/>
      <c r="K110" s="449"/>
      <c r="L110" s="449"/>
      <c r="M110" s="449"/>
      <c r="N110" s="449">
        <f>1500000-800000</f>
        <v>700000</v>
      </c>
      <c r="O110" s="449">
        <f t="shared" si="19"/>
        <v>800000</v>
      </c>
      <c r="P110" s="449"/>
      <c r="Q110" s="449"/>
      <c r="R110" s="449"/>
      <c r="S110" s="449"/>
      <c r="T110" s="449"/>
      <c r="U110" s="449">
        <f t="shared" si="22"/>
        <v>700000</v>
      </c>
      <c r="V110" s="449"/>
      <c r="W110" s="449">
        <f t="shared" si="33"/>
        <v>700000</v>
      </c>
      <c r="X110" s="449"/>
      <c r="Y110" s="449"/>
      <c r="Z110" s="449"/>
      <c r="AA110" s="449"/>
      <c r="AB110" s="448" t="s">
        <v>864</v>
      </c>
      <c r="AC110" s="448">
        <v>930000</v>
      </c>
      <c r="AD110" s="449">
        <v>700000</v>
      </c>
      <c r="AE110" s="449"/>
      <c r="AF110" s="449"/>
      <c r="AG110" s="449"/>
      <c r="AH110" s="449"/>
      <c r="AI110" s="449"/>
      <c r="AJ110" s="449"/>
      <c r="AK110" s="449"/>
      <c r="AL110" s="449"/>
      <c r="AM110" s="449"/>
      <c r="AN110" s="449">
        <f t="shared" si="27"/>
        <v>700000</v>
      </c>
      <c r="AO110" s="449">
        <f t="shared" si="23"/>
        <v>0</v>
      </c>
      <c r="AP110" s="449"/>
      <c r="AQ110" s="449">
        <f t="shared" si="26"/>
        <v>700000</v>
      </c>
      <c r="AR110" s="449"/>
      <c r="AS110" s="449"/>
      <c r="AT110" s="449"/>
      <c r="AU110" s="449"/>
      <c r="AV110" s="449"/>
      <c r="AW110" s="449">
        <f t="shared" si="28"/>
        <v>0</v>
      </c>
      <c r="AX110" s="449"/>
      <c r="AY110" s="449"/>
      <c r="AZ110" s="449"/>
      <c r="BA110" s="449"/>
    </row>
    <row r="111" spans="1:54" s="842" customFormat="1" ht="30" customHeight="1">
      <c r="A111" s="454">
        <f>A110</f>
        <v>105</v>
      </c>
      <c r="B111" s="454"/>
      <c r="C111" s="454" t="s">
        <v>668</v>
      </c>
      <c r="D111" s="459">
        <f>SUM(D6:D110)</f>
        <v>764460976</v>
      </c>
      <c r="E111" s="459">
        <f t="shared" ref="E111:BB111" si="34">SUM(E6:E110)</f>
        <v>742170430</v>
      </c>
      <c r="F111" s="459">
        <f t="shared" si="34"/>
        <v>22290546</v>
      </c>
      <c r="G111" s="459">
        <f t="shared" si="34"/>
        <v>545765720</v>
      </c>
      <c r="H111" s="459">
        <f t="shared" si="34"/>
        <v>451317336.09000009</v>
      </c>
      <c r="I111" s="459">
        <f t="shared" si="34"/>
        <v>8974344</v>
      </c>
      <c r="J111" s="459">
        <f t="shared" si="34"/>
        <v>58078463.219999999</v>
      </c>
      <c r="K111" s="459">
        <f t="shared" si="34"/>
        <v>67052807.219999991</v>
      </c>
      <c r="L111" s="459">
        <f t="shared" si="34"/>
        <v>518370143.30999988</v>
      </c>
      <c r="M111" s="459">
        <f t="shared" si="34"/>
        <v>42431129.690000005</v>
      </c>
      <c r="N111" s="459">
        <f t="shared" si="34"/>
        <v>78816000</v>
      </c>
      <c r="O111" s="459">
        <f t="shared" si="34"/>
        <v>124843703</v>
      </c>
      <c r="P111" s="459">
        <f t="shared" si="34"/>
        <v>27395576.689999998</v>
      </c>
      <c r="Q111" s="459">
        <f t="shared" si="34"/>
        <v>10450000</v>
      </c>
      <c r="R111" s="459">
        <f t="shared" si="34"/>
        <v>7800553</v>
      </c>
      <c r="S111" s="459">
        <f t="shared" si="34"/>
        <v>18250553</v>
      </c>
      <c r="T111" s="459">
        <f t="shared" si="34"/>
        <v>3215000</v>
      </c>
      <c r="U111" s="459">
        <f t="shared" si="34"/>
        <v>75601000</v>
      </c>
      <c r="V111" s="459">
        <f t="shared" si="34"/>
        <v>-900000</v>
      </c>
      <c r="W111" s="459">
        <f t="shared" si="34"/>
        <v>60879061</v>
      </c>
      <c r="X111" s="459">
        <f t="shared" si="34"/>
        <v>0</v>
      </c>
      <c r="Y111" s="459">
        <f t="shared" si="34"/>
        <v>0</v>
      </c>
      <c r="Z111" s="459">
        <f t="shared" si="34"/>
        <v>0</v>
      </c>
      <c r="AA111" s="459">
        <f t="shared" si="34"/>
        <v>15621939</v>
      </c>
      <c r="AB111" s="459">
        <f t="shared" si="34"/>
        <v>0</v>
      </c>
      <c r="AC111" s="459">
        <f t="shared" si="34"/>
        <v>83024000</v>
      </c>
      <c r="AD111" s="459">
        <f t="shared" si="34"/>
        <v>8671000</v>
      </c>
      <c r="AE111" s="459">
        <f t="shared" si="34"/>
        <v>7150000</v>
      </c>
      <c r="AF111" s="459">
        <f t="shared" si="34"/>
        <v>13890000</v>
      </c>
      <c r="AG111" s="459">
        <f t="shared" si="34"/>
        <v>2000000</v>
      </c>
      <c r="AH111" s="459">
        <f t="shared" si="34"/>
        <v>17130000</v>
      </c>
      <c r="AI111" s="459">
        <f t="shared" si="34"/>
        <v>1900000</v>
      </c>
      <c r="AJ111" s="459">
        <f t="shared" si="34"/>
        <v>5470000</v>
      </c>
      <c r="AK111" s="459">
        <f t="shared" si="34"/>
        <v>4240000</v>
      </c>
      <c r="AL111" s="459">
        <f t="shared" si="34"/>
        <v>500000</v>
      </c>
      <c r="AM111" s="459">
        <f t="shared" si="34"/>
        <v>700000</v>
      </c>
      <c r="AN111" s="459">
        <f t="shared" si="34"/>
        <v>61651000</v>
      </c>
      <c r="AO111" s="459">
        <f t="shared" si="34"/>
        <v>13950000</v>
      </c>
      <c r="AP111" s="459">
        <f t="shared" si="34"/>
        <v>-500000</v>
      </c>
      <c r="AQ111" s="459">
        <f t="shared" si="34"/>
        <v>50320000</v>
      </c>
      <c r="AR111" s="459">
        <f t="shared" si="34"/>
        <v>0</v>
      </c>
      <c r="AS111" s="459">
        <f t="shared" si="34"/>
        <v>0</v>
      </c>
      <c r="AT111" s="459">
        <f t="shared" si="34"/>
        <v>0</v>
      </c>
      <c r="AU111" s="459">
        <f t="shared" si="34"/>
        <v>11831000</v>
      </c>
      <c r="AV111" s="459">
        <f t="shared" si="34"/>
        <v>0</v>
      </c>
      <c r="AW111" s="459">
        <f t="shared" si="34"/>
        <v>700000</v>
      </c>
      <c r="AX111" s="459">
        <f t="shared" si="34"/>
        <v>0</v>
      </c>
      <c r="AY111" s="459">
        <f t="shared" si="34"/>
        <v>0</v>
      </c>
      <c r="AZ111" s="459">
        <f t="shared" si="34"/>
        <v>0</v>
      </c>
      <c r="BA111" s="459">
        <f t="shared" si="34"/>
        <v>0</v>
      </c>
      <c r="BB111" s="842">
        <f t="shared" si="34"/>
        <v>0</v>
      </c>
    </row>
    <row r="112" spans="1:54" ht="13.95" customHeight="1">
      <c r="A112" s="647"/>
      <c r="B112" s="648"/>
      <c r="C112" s="648"/>
      <c r="D112" s="649"/>
      <c r="N112" s="340"/>
      <c r="O112" s="650"/>
      <c r="P112" s="157"/>
      <c r="Q112" s="650"/>
      <c r="R112" s="157"/>
      <c r="S112" s="157"/>
      <c r="T112" s="157"/>
      <c r="U112" s="157"/>
      <c r="V112" s="157"/>
    </row>
    <row r="113" spans="14:40" ht="13.8">
      <c r="N113" s="157"/>
      <c r="O113" s="157"/>
      <c r="P113" s="157"/>
      <c r="Q113" s="157"/>
      <c r="R113" s="157"/>
      <c r="S113" s="157"/>
      <c r="T113" s="157"/>
      <c r="U113" s="157"/>
      <c r="V113" s="157"/>
      <c r="AM113" s="549" t="s">
        <v>1082</v>
      </c>
      <c r="AN113" s="477"/>
    </row>
  </sheetData>
  <mergeCells count="5">
    <mergeCell ref="V4:AA4"/>
    <mergeCell ref="AD4:AO4"/>
    <mergeCell ref="AP4:AU4"/>
    <mergeCell ref="AV4:BA4"/>
    <mergeCell ref="T4:U4"/>
  </mergeCells>
  <conditionalFormatting sqref="AB5">
    <cfRule type="cellIs" dxfId="8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6"/>
  <sheetViews>
    <sheetView showZeros="0" rightToLeft="1" zoomScaleNormal="100" workbookViewId="0">
      <pane xSplit="3" ySplit="5" topLeftCell="D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" defaultRowHeight="13.8"/>
  <cols>
    <col min="1" max="1" width="5.44140625" style="10" customWidth="1"/>
    <col min="2" max="2" width="8" style="10" customWidth="1"/>
    <col min="3" max="3" width="25.33203125" style="14" customWidth="1"/>
    <col min="4" max="5" width="9.6640625" style="11" hidden="1" customWidth="1"/>
    <col min="6" max="6" width="8.6640625" style="11" hidden="1" customWidth="1"/>
    <col min="7" max="7" width="10.44140625" style="11" hidden="1" customWidth="1"/>
    <col min="8" max="8" width="11" style="11" hidden="1" customWidth="1"/>
    <col min="9" max="11" width="9.109375" style="11" hidden="1" customWidth="1"/>
    <col min="12" max="12" width="9.6640625" style="11" hidden="1" customWidth="1"/>
    <col min="13" max="14" width="8.6640625" style="11" hidden="1" customWidth="1"/>
    <col min="15" max="15" width="9.6640625" style="11" hidden="1" customWidth="1"/>
    <col min="16" max="16" width="11.109375" style="11" hidden="1" customWidth="1"/>
    <col min="17" max="17" width="9.6640625" style="11" hidden="1" customWidth="1"/>
    <col min="18" max="19" width="13.5546875" style="11" hidden="1" customWidth="1"/>
    <col min="20" max="20" width="11.33203125" style="11" customWidth="1"/>
    <col min="21" max="23" width="11.6640625" style="10" customWidth="1"/>
    <col min="24" max="26" width="13.5546875" style="10" hidden="1" customWidth="1"/>
    <col min="27" max="27" width="11.6640625" style="10" customWidth="1"/>
    <col min="28" max="28" width="36" style="14" hidden="1" customWidth="1"/>
    <col min="29" max="29" width="7.109375" style="10" hidden="1" customWidth="1"/>
    <col min="30" max="39" width="10.6640625" style="16" hidden="1" customWidth="1"/>
    <col min="40" max="40" width="11.5546875" style="16" customWidth="1"/>
    <col min="41" max="41" width="11.33203125" style="16" customWidth="1"/>
    <col min="42" max="42" width="12.6640625" style="16" customWidth="1"/>
    <col min="43" max="43" width="13.44140625" style="16" customWidth="1"/>
    <col min="44" max="46" width="10.6640625" style="10" hidden="1" customWidth="1"/>
    <col min="47" max="47" width="12.6640625" style="10" customWidth="1"/>
    <col min="48" max="49" width="10.6640625" style="16" hidden="1" customWidth="1"/>
    <col min="50" max="53" width="10.6640625" style="10" hidden="1" customWidth="1"/>
    <col min="54" max="16384" width="8" style="10"/>
  </cols>
  <sheetData>
    <row r="1" spans="1:53" s="664" customFormat="1" ht="13.2" customHeight="1">
      <c r="A1" s="659"/>
      <c r="B1" s="659"/>
      <c r="C1" s="660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61"/>
      <c r="Y1" s="661"/>
      <c r="Z1" s="661"/>
      <c r="AA1" s="662"/>
      <c r="AB1" s="663"/>
      <c r="AC1" s="662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V1" s="16"/>
      <c r="AW1" s="16"/>
    </row>
    <row r="2" spans="1:53" s="664" customFormat="1" ht="18">
      <c r="A2" s="388" t="s">
        <v>1256</v>
      </c>
      <c r="B2" s="659"/>
      <c r="C2" s="660"/>
      <c r="D2" s="659"/>
      <c r="E2" s="665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66"/>
      <c r="Y2" s="666"/>
      <c r="Z2" s="666"/>
      <c r="AA2" s="666"/>
      <c r="AB2" s="666"/>
      <c r="AC2" s="66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V2" s="16"/>
      <c r="AW2" s="16"/>
    </row>
    <row r="3" spans="1:53" s="664" customFormat="1" ht="18">
      <c r="A3" s="388"/>
      <c r="B3" s="659"/>
      <c r="C3" s="660"/>
      <c r="D3" s="659"/>
      <c r="E3" s="665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66"/>
      <c r="Y3" s="666"/>
      <c r="Z3" s="666"/>
      <c r="AA3" s="666"/>
      <c r="AB3" s="666"/>
      <c r="AC3" s="66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V3" s="16"/>
      <c r="AW3" s="16"/>
    </row>
    <row r="4" spans="1:53" ht="16.2" customHeight="1">
      <c r="T4" s="914" t="s">
        <v>1581</v>
      </c>
      <c r="U4" s="915"/>
      <c r="V4" s="925" t="s">
        <v>79</v>
      </c>
      <c r="W4" s="926"/>
      <c r="X4" s="926"/>
      <c r="Y4" s="926"/>
      <c r="Z4" s="926"/>
      <c r="AA4" s="927"/>
      <c r="AB4" s="846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 t="s">
        <v>1096</v>
      </c>
      <c r="AQ4" s="912"/>
      <c r="AR4" s="912"/>
      <c r="AS4" s="912"/>
      <c r="AT4" s="912"/>
      <c r="AU4" s="912"/>
      <c r="AV4" s="878" t="s">
        <v>1097</v>
      </c>
      <c r="AW4" s="878"/>
      <c r="AX4" s="878"/>
      <c r="AY4" s="878"/>
      <c r="AZ4" s="878"/>
      <c r="BA4" s="878"/>
    </row>
    <row r="5" spans="1:53" s="16" customFormat="1" ht="69">
      <c r="A5" s="130" t="s">
        <v>0</v>
      </c>
      <c r="B5" s="13" t="s">
        <v>1</v>
      </c>
      <c r="C5" s="13" t="s">
        <v>2</v>
      </c>
      <c r="D5" s="13" t="s">
        <v>3</v>
      </c>
      <c r="E5" s="13" t="s">
        <v>4</v>
      </c>
      <c r="F5" s="13" t="s">
        <v>5</v>
      </c>
      <c r="G5" s="13" t="s">
        <v>6</v>
      </c>
      <c r="H5" s="13" t="s">
        <v>7</v>
      </c>
      <c r="I5" s="13" t="s">
        <v>9</v>
      </c>
      <c r="J5" s="13" t="s">
        <v>125</v>
      </c>
      <c r="K5" s="13" t="s">
        <v>10</v>
      </c>
      <c r="L5" s="13" t="s">
        <v>11</v>
      </c>
      <c r="M5" s="13" t="s">
        <v>707</v>
      </c>
      <c r="N5" s="13" t="s">
        <v>708</v>
      </c>
      <c r="O5" s="2" t="s">
        <v>709</v>
      </c>
      <c r="P5" s="2" t="s">
        <v>12</v>
      </c>
      <c r="Q5" s="2" t="s">
        <v>710</v>
      </c>
      <c r="R5" s="2" t="s">
        <v>711</v>
      </c>
      <c r="S5" s="2" t="s">
        <v>712</v>
      </c>
      <c r="T5" s="2" t="s">
        <v>713</v>
      </c>
      <c r="U5" s="2" t="s">
        <v>714</v>
      </c>
      <c r="V5" s="13" t="s">
        <v>13</v>
      </c>
      <c r="W5" s="13" t="s">
        <v>14</v>
      </c>
      <c r="X5" s="13" t="s">
        <v>15</v>
      </c>
      <c r="Y5" s="13" t="s">
        <v>214</v>
      </c>
      <c r="Z5" s="13" t="s">
        <v>502</v>
      </c>
      <c r="AA5" s="13" t="s">
        <v>75</v>
      </c>
      <c r="AB5" s="667" t="s">
        <v>242</v>
      </c>
      <c r="AC5" s="13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5" customFormat="1" ht="30" customHeight="1">
      <c r="A6" s="3">
        <v>1</v>
      </c>
      <c r="B6" s="19">
        <v>1776</v>
      </c>
      <c r="C6" s="3" t="s">
        <v>48</v>
      </c>
      <c r="D6" s="4">
        <v>3347000</v>
      </c>
      <c r="E6" s="4">
        <v>2465000</v>
      </c>
      <c r="F6" s="4">
        <f t="shared" ref="F6:F23" si="0">D6-E6</f>
        <v>882000</v>
      </c>
      <c r="G6" s="4">
        <v>2155000</v>
      </c>
      <c r="H6" s="4">
        <v>1433156</v>
      </c>
      <c r="I6" s="4"/>
      <c r="J6" s="4">
        <v>519595</v>
      </c>
      <c r="K6" s="4">
        <f t="shared" ref="K6:K19" si="1">I6+J6</f>
        <v>519595</v>
      </c>
      <c r="L6" s="4">
        <f t="shared" ref="L6:L22" si="2">H6+K6</f>
        <v>1952751</v>
      </c>
      <c r="M6" s="4">
        <f>P6+S6</f>
        <v>412249</v>
      </c>
      <c r="N6" s="4">
        <f>882000-382000</f>
        <v>500000</v>
      </c>
      <c r="O6" s="4">
        <f t="shared" ref="O6:O19" si="3">D6-M6-N6-L6</f>
        <v>482000</v>
      </c>
      <c r="P6" s="4">
        <f t="shared" ref="P6:P22" si="4">G6-L6</f>
        <v>202249</v>
      </c>
      <c r="Q6" s="355">
        <v>210000</v>
      </c>
      <c r="R6" s="4"/>
      <c r="S6" s="4">
        <f>SUM(Q6:R6)</f>
        <v>210000</v>
      </c>
      <c r="T6" s="4">
        <f t="shared" ref="T6:T22" si="5">P6-M6+S6</f>
        <v>0</v>
      </c>
      <c r="U6" s="4">
        <f t="shared" ref="U6:U22" si="6">N6-T6</f>
        <v>500000</v>
      </c>
      <c r="V6" s="4"/>
      <c r="W6" s="4">
        <f t="shared" ref="W6:W19" si="7">U6-V6-Z6-AA6</f>
        <v>500000</v>
      </c>
      <c r="X6" s="4"/>
      <c r="Y6" s="4"/>
      <c r="Z6" s="4"/>
      <c r="AA6" s="274"/>
      <c r="AB6" s="19" t="s">
        <v>507</v>
      </c>
      <c r="AC6" s="3">
        <v>810000</v>
      </c>
      <c r="AD6" s="4"/>
      <c r="AE6" s="4"/>
      <c r="AF6" s="4"/>
      <c r="AG6" s="4"/>
      <c r="AH6" s="4"/>
      <c r="AI6" s="4">
        <v>200000</v>
      </c>
      <c r="AJ6" s="4">
        <v>300000</v>
      </c>
      <c r="AK6" s="4"/>
      <c r="AL6" s="4"/>
      <c r="AM6" s="4"/>
      <c r="AN6" s="449">
        <f>SUM(AD6:AM6)</f>
        <v>500000</v>
      </c>
      <c r="AO6" s="449">
        <f t="shared" ref="AO6:AO23" si="8">U6-AN6</f>
        <v>0</v>
      </c>
      <c r="AP6" s="449"/>
      <c r="AQ6" s="449">
        <f>AN6-AP6-AU6</f>
        <v>500000</v>
      </c>
      <c r="AR6" s="449"/>
      <c r="AS6" s="449"/>
      <c r="AT6" s="449"/>
      <c r="AU6" s="449"/>
      <c r="AV6" s="449"/>
      <c r="AW6" s="449">
        <f>AM6-AV6-BA6</f>
        <v>0</v>
      </c>
      <c r="AX6" s="449"/>
      <c r="AY6" s="449"/>
      <c r="AZ6" s="449"/>
      <c r="BA6" s="449"/>
    </row>
    <row r="7" spans="1:53" s="5" customFormat="1" ht="30" customHeight="1">
      <c r="A7" s="3">
        <f t="shared" ref="A7:A23" si="9">A6+1</f>
        <v>2</v>
      </c>
      <c r="B7" s="19">
        <v>1930</v>
      </c>
      <c r="C7" s="3" t="s">
        <v>110</v>
      </c>
      <c r="D7" s="4">
        <v>1676000</v>
      </c>
      <c r="E7" s="4">
        <v>1676000</v>
      </c>
      <c r="F7" s="4">
        <f t="shared" si="0"/>
        <v>0</v>
      </c>
      <c r="G7" s="4">
        <v>1676000</v>
      </c>
      <c r="H7" s="4">
        <f>1493997+6310</f>
        <v>1500307</v>
      </c>
      <c r="I7" s="4"/>
      <c r="J7" s="4">
        <v>115904.6</v>
      </c>
      <c r="K7" s="4">
        <f t="shared" si="1"/>
        <v>115904.6</v>
      </c>
      <c r="L7" s="4">
        <f>H7+K7</f>
        <v>1616211.6</v>
      </c>
      <c r="M7" s="4">
        <f t="shared" ref="M7:M23" si="10">P7+S7</f>
        <v>59788.399999999907</v>
      </c>
      <c r="N7" s="4">
        <f t="shared" ref="N7:N22" si="11">F7</f>
        <v>0</v>
      </c>
      <c r="O7" s="4">
        <f t="shared" si="3"/>
        <v>0</v>
      </c>
      <c r="P7" s="4">
        <f t="shared" si="4"/>
        <v>59788.399999999907</v>
      </c>
      <c r="Q7" s="4"/>
      <c r="R7" s="4"/>
      <c r="S7" s="4">
        <f t="shared" ref="S7:S22" si="12">SUM(Q7:R7)</f>
        <v>0</v>
      </c>
      <c r="T7" s="4">
        <f t="shared" si="5"/>
        <v>0</v>
      </c>
      <c r="U7" s="4">
        <f t="shared" si="6"/>
        <v>0</v>
      </c>
      <c r="V7" s="4"/>
      <c r="W7" s="4">
        <f t="shared" si="7"/>
        <v>0</v>
      </c>
      <c r="X7" s="4"/>
      <c r="Y7" s="4"/>
      <c r="Z7" s="4"/>
      <c r="AA7" s="4"/>
      <c r="AB7" s="3" t="s">
        <v>897</v>
      </c>
      <c r="AC7" s="3">
        <v>810000</v>
      </c>
      <c r="AD7" s="4"/>
      <c r="AE7" s="4"/>
      <c r="AF7" s="4"/>
      <c r="AG7" s="4"/>
      <c r="AH7" s="4"/>
      <c r="AI7" s="4"/>
      <c r="AJ7" s="4"/>
      <c r="AK7" s="4"/>
      <c r="AL7" s="4"/>
      <c r="AM7" s="4"/>
      <c r="AN7" s="449">
        <f t="shared" ref="AN7:AN23" si="13">SUM(AD7:AM7)</f>
        <v>0</v>
      </c>
      <c r="AO7" s="449">
        <f t="shared" si="8"/>
        <v>0</v>
      </c>
      <c r="AP7" s="449"/>
      <c r="AQ7" s="449">
        <f t="shared" ref="AQ7:AQ23" si="14">AN7-AP7-AU7</f>
        <v>0</v>
      </c>
      <c r="AR7" s="449"/>
      <c r="AS7" s="449"/>
      <c r="AT7" s="449"/>
      <c r="AU7" s="449"/>
      <c r="AV7" s="449"/>
      <c r="AW7" s="449">
        <f t="shared" ref="AW7:AW23" si="15">AM7-AV7-BA7</f>
        <v>0</v>
      </c>
      <c r="AX7" s="449"/>
      <c r="AY7" s="449"/>
      <c r="AZ7" s="449"/>
      <c r="BA7" s="449"/>
    </row>
    <row r="8" spans="1:53" s="5" customFormat="1" ht="30" customHeight="1">
      <c r="A8" s="3">
        <f t="shared" si="9"/>
        <v>3</v>
      </c>
      <c r="B8" s="19">
        <v>2033</v>
      </c>
      <c r="C8" s="3" t="s">
        <v>1083</v>
      </c>
      <c r="D8" s="4">
        <v>700000</v>
      </c>
      <c r="E8" s="4">
        <v>700000</v>
      </c>
      <c r="F8" s="4">
        <f t="shared" si="0"/>
        <v>0</v>
      </c>
      <c r="G8" s="4">
        <v>700000</v>
      </c>
      <c r="H8" s="4">
        <v>655856</v>
      </c>
      <c r="I8" s="4"/>
      <c r="J8" s="4">
        <v>35685</v>
      </c>
      <c r="K8" s="4">
        <f t="shared" si="1"/>
        <v>35685</v>
      </c>
      <c r="L8" s="4">
        <f t="shared" si="2"/>
        <v>691541</v>
      </c>
      <c r="M8" s="4">
        <f t="shared" si="10"/>
        <v>8459</v>
      </c>
      <c r="N8" s="4">
        <f t="shared" si="11"/>
        <v>0</v>
      </c>
      <c r="O8" s="4">
        <f t="shared" si="3"/>
        <v>0</v>
      </c>
      <c r="P8" s="4">
        <f t="shared" si="4"/>
        <v>8459</v>
      </c>
      <c r="Q8" s="4"/>
      <c r="R8" s="4"/>
      <c r="S8" s="4">
        <f t="shared" si="12"/>
        <v>0</v>
      </c>
      <c r="T8" s="4">
        <f t="shared" si="5"/>
        <v>0</v>
      </c>
      <c r="U8" s="4">
        <f t="shared" si="6"/>
        <v>0</v>
      </c>
      <c r="V8" s="4"/>
      <c r="W8" s="4">
        <f t="shared" si="7"/>
        <v>0</v>
      </c>
      <c r="X8" s="4"/>
      <c r="Y8" s="4"/>
      <c r="Z8" s="4"/>
      <c r="AA8" s="274"/>
      <c r="AB8" s="3" t="s">
        <v>796</v>
      </c>
      <c r="AC8" s="3">
        <v>810000</v>
      </c>
      <c r="AD8" s="4"/>
      <c r="AE8" s="4"/>
      <c r="AF8" s="4"/>
      <c r="AG8" s="4"/>
      <c r="AH8" s="4"/>
      <c r="AI8" s="4"/>
      <c r="AJ8" s="4"/>
      <c r="AK8" s="4"/>
      <c r="AL8" s="4"/>
      <c r="AM8" s="4"/>
      <c r="AN8" s="449">
        <f t="shared" si="13"/>
        <v>0</v>
      </c>
      <c r="AO8" s="449">
        <f t="shared" si="8"/>
        <v>0</v>
      </c>
      <c r="AP8" s="449"/>
      <c r="AQ8" s="449">
        <f t="shared" si="14"/>
        <v>0</v>
      </c>
      <c r="AR8" s="449"/>
      <c r="AS8" s="449"/>
      <c r="AT8" s="449"/>
      <c r="AU8" s="449"/>
      <c r="AV8" s="449"/>
      <c r="AW8" s="449">
        <f t="shared" si="15"/>
        <v>0</v>
      </c>
      <c r="AX8" s="449"/>
      <c r="AY8" s="449"/>
      <c r="AZ8" s="449"/>
      <c r="BA8" s="449"/>
    </row>
    <row r="9" spans="1:53" s="5" customFormat="1" ht="30" customHeight="1">
      <c r="A9" s="3">
        <f t="shared" si="9"/>
        <v>4</v>
      </c>
      <c r="B9" s="19">
        <v>2034</v>
      </c>
      <c r="C9" s="3" t="s">
        <v>1265</v>
      </c>
      <c r="D9" s="4">
        <v>2900000</v>
      </c>
      <c r="E9" s="4">
        <v>2900000</v>
      </c>
      <c r="F9" s="4">
        <f t="shared" si="0"/>
        <v>0</v>
      </c>
      <c r="G9" s="4">
        <v>2900000</v>
      </c>
      <c r="H9" s="4">
        <v>2734895</v>
      </c>
      <c r="I9" s="4"/>
      <c r="J9" s="4">
        <v>81311</v>
      </c>
      <c r="K9" s="4">
        <f t="shared" si="1"/>
        <v>81311</v>
      </c>
      <c r="L9" s="4">
        <f t="shared" si="2"/>
        <v>2816206</v>
      </c>
      <c r="M9" s="4">
        <f t="shared" si="10"/>
        <v>83794</v>
      </c>
      <c r="N9" s="4">
        <f t="shared" si="11"/>
        <v>0</v>
      </c>
      <c r="O9" s="4">
        <f t="shared" si="3"/>
        <v>0</v>
      </c>
      <c r="P9" s="4">
        <f t="shared" si="4"/>
        <v>83794</v>
      </c>
      <c r="Q9" s="4"/>
      <c r="R9" s="4"/>
      <c r="S9" s="4">
        <f t="shared" si="12"/>
        <v>0</v>
      </c>
      <c r="T9" s="4">
        <f t="shared" si="5"/>
        <v>0</v>
      </c>
      <c r="U9" s="4">
        <f t="shared" si="6"/>
        <v>0</v>
      </c>
      <c r="V9" s="4"/>
      <c r="W9" s="4">
        <f t="shared" si="7"/>
        <v>0</v>
      </c>
      <c r="X9" s="4"/>
      <c r="Y9" s="4"/>
      <c r="Z9" s="4"/>
      <c r="AA9" s="274"/>
      <c r="AB9" s="3" t="s">
        <v>794</v>
      </c>
      <c r="AC9" s="3">
        <v>810000</v>
      </c>
      <c r="AD9" s="4"/>
      <c r="AE9" s="4"/>
      <c r="AF9" s="4"/>
      <c r="AG9" s="4"/>
      <c r="AH9" s="4"/>
      <c r="AI9" s="4"/>
      <c r="AJ9" s="4"/>
      <c r="AK9" s="4"/>
      <c r="AL9" s="4"/>
      <c r="AM9" s="4"/>
      <c r="AN9" s="449">
        <f t="shared" si="13"/>
        <v>0</v>
      </c>
      <c r="AO9" s="449">
        <f t="shared" si="8"/>
        <v>0</v>
      </c>
      <c r="AP9" s="449"/>
      <c r="AQ9" s="449">
        <f t="shared" si="14"/>
        <v>0</v>
      </c>
      <c r="AR9" s="449"/>
      <c r="AS9" s="449"/>
      <c r="AT9" s="449"/>
      <c r="AU9" s="449"/>
      <c r="AV9" s="449"/>
      <c r="AW9" s="449">
        <f t="shared" si="15"/>
        <v>0</v>
      </c>
      <c r="AX9" s="449"/>
      <c r="AY9" s="449"/>
      <c r="AZ9" s="449"/>
      <c r="BA9" s="449"/>
    </row>
    <row r="10" spans="1:53" s="5" customFormat="1" ht="30" customHeight="1">
      <c r="A10" s="3">
        <f t="shared" si="9"/>
        <v>5</v>
      </c>
      <c r="B10" s="19">
        <v>2090</v>
      </c>
      <c r="C10" s="3" t="s">
        <v>276</v>
      </c>
      <c r="D10" s="4">
        <v>350000</v>
      </c>
      <c r="E10" s="4">
        <v>350000</v>
      </c>
      <c r="F10" s="4">
        <f t="shared" si="0"/>
        <v>0</v>
      </c>
      <c r="G10" s="4">
        <v>350000</v>
      </c>
      <c r="H10" s="4">
        <v>266383</v>
      </c>
      <c r="I10" s="4"/>
      <c r="J10" s="4">
        <v>33792.49</v>
      </c>
      <c r="K10" s="4">
        <f t="shared" si="1"/>
        <v>33792.49</v>
      </c>
      <c r="L10" s="4">
        <f t="shared" si="2"/>
        <v>300175.49</v>
      </c>
      <c r="M10" s="4">
        <f t="shared" si="10"/>
        <v>49824.510000000009</v>
      </c>
      <c r="N10" s="4">
        <f t="shared" si="11"/>
        <v>0</v>
      </c>
      <c r="O10" s="4">
        <f t="shared" si="3"/>
        <v>0</v>
      </c>
      <c r="P10" s="4">
        <f t="shared" si="4"/>
        <v>49824.510000000009</v>
      </c>
      <c r="Q10" s="4"/>
      <c r="R10" s="4"/>
      <c r="S10" s="4">
        <f t="shared" si="12"/>
        <v>0</v>
      </c>
      <c r="T10" s="4">
        <f t="shared" si="5"/>
        <v>0</v>
      </c>
      <c r="U10" s="4">
        <f t="shared" si="6"/>
        <v>0</v>
      </c>
      <c r="V10" s="4"/>
      <c r="W10" s="4">
        <f t="shared" si="7"/>
        <v>0</v>
      </c>
      <c r="X10" s="4"/>
      <c r="Y10" s="4"/>
      <c r="Z10" s="4"/>
      <c r="AA10" s="274"/>
      <c r="AB10" s="3" t="s">
        <v>553</v>
      </c>
      <c r="AC10" s="3">
        <v>810000</v>
      </c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49">
        <f t="shared" si="13"/>
        <v>0</v>
      </c>
      <c r="AO10" s="449">
        <f t="shared" si="8"/>
        <v>0</v>
      </c>
      <c r="AP10" s="449"/>
      <c r="AQ10" s="449">
        <f t="shared" si="14"/>
        <v>0</v>
      </c>
      <c r="AR10" s="449"/>
      <c r="AS10" s="449"/>
      <c r="AT10" s="449"/>
      <c r="AU10" s="449"/>
      <c r="AV10" s="449"/>
      <c r="AW10" s="449">
        <f t="shared" si="15"/>
        <v>0</v>
      </c>
      <c r="AX10" s="449"/>
      <c r="AY10" s="449"/>
      <c r="AZ10" s="449"/>
      <c r="BA10" s="449"/>
    </row>
    <row r="11" spans="1:53" s="5" customFormat="1" ht="30" customHeight="1">
      <c r="A11" s="3">
        <f t="shared" si="9"/>
        <v>6</v>
      </c>
      <c r="B11" s="19">
        <v>2091</v>
      </c>
      <c r="C11" s="3" t="s">
        <v>277</v>
      </c>
      <c r="D11" s="4">
        <v>1360000</v>
      </c>
      <c r="E11" s="4">
        <v>1360000</v>
      </c>
      <c r="F11" s="4">
        <f t="shared" si="0"/>
        <v>0</v>
      </c>
      <c r="G11" s="4">
        <v>400000</v>
      </c>
      <c r="H11" s="4">
        <v>80000</v>
      </c>
      <c r="I11" s="4"/>
      <c r="J11" s="4">
        <v>80057</v>
      </c>
      <c r="K11" s="4">
        <f t="shared" si="1"/>
        <v>80057</v>
      </c>
      <c r="L11" s="4">
        <f t="shared" si="2"/>
        <v>160057</v>
      </c>
      <c r="M11" s="4">
        <f t="shared" si="10"/>
        <v>239943</v>
      </c>
      <c r="N11" s="4">
        <v>960000</v>
      </c>
      <c r="O11" s="4">
        <f t="shared" si="3"/>
        <v>0</v>
      </c>
      <c r="P11" s="4">
        <f t="shared" si="4"/>
        <v>239943</v>
      </c>
      <c r="Q11" s="4">
        <f>960000-960000</f>
        <v>0</v>
      </c>
      <c r="R11" s="4"/>
      <c r="S11" s="4">
        <f t="shared" si="12"/>
        <v>0</v>
      </c>
      <c r="T11" s="4">
        <f t="shared" si="5"/>
        <v>0</v>
      </c>
      <c r="U11" s="4">
        <f t="shared" si="6"/>
        <v>960000</v>
      </c>
      <c r="V11" s="4"/>
      <c r="W11" s="4">
        <f t="shared" si="7"/>
        <v>0</v>
      </c>
      <c r="X11" s="4"/>
      <c r="Y11" s="4"/>
      <c r="Z11" s="4"/>
      <c r="AA11" s="274">
        <v>960000</v>
      </c>
      <c r="AB11" s="3" t="s">
        <v>511</v>
      </c>
      <c r="AC11" s="3">
        <v>810000</v>
      </c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49">
        <f t="shared" si="13"/>
        <v>0</v>
      </c>
      <c r="AO11" s="449">
        <f t="shared" si="8"/>
        <v>960000</v>
      </c>
      <c r="AP11" s="449"/>
      <c r="AQ11" s="449">
        <f t="shared" si="14"/>
        <v>0</v>
      </c>
      <c r="AR11" s="449"/>
      <c r="AS11" s="449"/>
      <c r="AT11" s="449"/>
      <c r="AU11" s="449"/>
      <c r="AV11" s="449"/>
      <c r="AW11" s="449">
        <f t="shared" si="15"/>
        <v>0</v>
      </c>
      <c r="AX11" s="449"/>
      <c r="AY11" s="449"/>
      <c r="AZ11" s="449"/>
      <c r="BA11" s="449"/>
    </row>
    <row r="12" spans="1:53" s="5" customFormat="1" ht="30" customHeight="1">
      <c r="A12" s="3">
        <f t="shared" si="9"/>
        <v>7</v>
      </c>
      <c r="B12" s="19">
        <v>2092</v>
      </c>
      <c r="C12" s="3" t="s">
        <v>333</v>
      </c>
      <c r="D12" s="4">
        <v>4050720</v>
      </c>
      <c r="E12" s="4">
        <v>4050720</v>
      </c>
      <c r="F12" s="4">
        <f t="shared" si="0"/>
        <v>0</v>
      </c>
      <c r="G12" s="4">
        <v>4050720</v>
      </c>
      <c r="H12" s="4">
        <v>3267883</v>
      </c>
      <c r="I12" s="4"/>
      <c r="J12" s="4">
        <v>0</v>
      </c>
      <c r="K12" s="4">
        <f t="shared" si="1"/>
        <v>0</v>
      </c>
      <c r="L12" s="4">
        <f t="shared" si="2"/>
        <v>3267883</v>
      </c>
      <c r="M12" s="4">
        <f>P12+S12-782837</f>
        <v>0</v>
      </c>
      <c r="N12" s="4">
        <f t="shared" si="11"/>
        <v>0</v>
      </c>
      <c r="O12" s="4">
        <f t="shared" si="3"/>
        <v>782837</v>
      </c>
      <c r="P12" s="4">
        <f t="shared" si="4"/>
        <v>782837</v>
      </c>
      <c r="Q12" s="4"/>
      <c r="R12" s="4"/>
      <c r="S12" s="4">
        <f t="shared" si="12"/>
        <v>0</v>
      </c>
      <c r="T12" s="4">
        <f t="shared" si="5"/>
        <v>782837</v>
      </c>
      <c r="U12" s="4">
        <f t="shared" si="6"/>
        <v>-782837</v>
      </c>
      <c r="V12" s="4"/>
      <c r="W12" s="4">
        <f t="shared" si="7"/>
        <v>0</v>
      </c>
      <c r="X12" s="4"/>
      <c r="Y12" s="4"/>
      <c r="Z12" s="4"/>
      <c r="AA12" s="274">
        <v>-782837</v>
      </c>
      <c r="AB12" s="3" t="s">
        <v>745</v>
      </c>
      <c r="AC12" s="3">
        <v>810000</v>
      </c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49">
        <f t="shared" si="13"/>
        <v>0</v>
      </c>
      <c r="AO12" s="449">
        <f t="shared" si="8"/>
        <v>-782837</v>
      </c>
      <c r="AP12" s="449"/>
      <c r="AQ12" s="449">
        <f t="shared" si="14"/>
        <v>0</v>
      </c>
      <c r="AR12" s="449"/>
      <c r="AS12" s="449"/>
      <c r="AT12" s="449"/>
      <c r="AU12" s="449"/>
      <c r="AV12" s="449"/>
      <c r="AW12" s="449">
        <f t="shared" si="15"/>
        <v>0</v>
      </c>
      <c r="AX12" s="449"/>
      <c r="AY12" s="449"/>
      <c r="AZ12" s="449"/>
      <c r="BA12" s="449"/>
    </row>
    <row r="13" spans="1:53" s="5" customFormat="1" ht="30" customHeight="1">
      <c r="A13" s="3">
        <f t="shared" si="9"/>
        <v>8</v>
      </c>
      <c r="B13" s="19">
        <v>2135</v>
      </c>
      <c r="C13" s="3" t="s">
        <v>377</v>
      </c>
      <c r="D13" s="4">
        <v>23000000</v>
      </c>
      <c r="E13" s="4">
        <v>23000000</v>
      </c>
      <c r="F13" s="4">
        <f t="shared" si="0"/>
        <v>0</v>
      </c>
      <c r="G13" s="4"/>
      <c r="H13" s="4">
        <v>0</v>
      </c>
      <c r="I13" s="4"/>
      <c r="J13" s="4">
        <v>0</v>
      </c>
      <c r="K13" s="4">
        <f t="shared" si="1"/>
        <v>0</v>
      </c>
      <c r="L13" s="4">
        <f t="shared" si="2"/>
        <v>0</v>
      </c>
      <c r="M13" s="4">
        <f t="shared" si="10"/>
        <v>0</v>
      </c>
      <c r="N13" s="4">
        <f>5500000-4500000</f>
        <v>1000000</v>
      </c>
      <c r="O13" s="4">
        <f t="shared" si="3"/>
        <v>22000000</v>
      </c>
      <c r="P13" s="4">
        <f>G13-L13</f>
        <v>0</v>
      </c>
      <c r="Q13" s="4">
        <f>1000000-1000000</f>
        <v>0</v>
      </c>
      <c r="R13" s="4"/>
      <c r="S13" s="4">
        <f t="shared" si="12"/>
        <v>0</v>
      </c>
      <c r="T13" s="4">
        <f t="shared" si="5"/>
        <v>0</v>
      </c>
      <c r="U13" s="4">
        <f t="shared" si="6"/>
        <v>1000000</v>
      </c>
      <c r="V13" s="4"/>
      <c r="W13" s="4">
        <f t="shared" si="7"/>
        <v>1000000</v>
      </c>
      <c r="X13" s="4"/>
      <c r="Y13" s="4"/>
      <c r="Z13" s="4"/>
      <c r="AA13" s="274"/>
      <c r="AB13" s="3" t="s">
        <v>681</v>
      </c>
      <c r="AC13" s="3">
        <v>810000</v>
      </c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49">
        <f t="shared" si="13"/>
        <v>0</v>
      </c>
      <c r="AO13" s="449">
        <f t="shared" si="8"/>
        <v>1000000</v>
      </c>
      <c r="AP13" s="449"/>
      <c r="AQ13" s="449">
        <f t="shared" si="14"/>
        <v>0</v>
      </c>
      <c r="AR13" s="449"/>
      <c r="AS13" s="449"/>
      <c r="AT13" s="449"/>
      <c r="AU13" s="449"/>
      <c r="AV13" s="449"/>
      <c r="AW13" s="449">
        <f t="shared" si="15"/>
        <v>0</v>
      </c>
      <c r="AX13" s="449"/>
      <c r="AY13" s="449"/>
      <c r="AZ13" s="449"/>
      <c r="BA13" s="449"/>
    </row>
    <row r="14" spans="1:53" s="5" customFormat="1" ht="30" customHeight="1">
      <c r="A14" s="3">
        <f t="shared" si="9"/>
        <v>9</v>
      </c>
      <c r="B14" s="19">
        <v>2160</v>
      </c>
      <c r="C14" s="3" t="s">
        <v>391</v>
      </c>
      <c r="D14" s="4">
        <v>210000</v>
      </c>
      <c r="E14" s="4">
        <v>210000</v>
      </c>
      <c r="F14" s="4">
        <f t="shared" si="0"/>
        <v>0</v>
      </c>
      <c r="G14" s="4">
        <v>210000</v>
      </c>
      <c r="H14" s="4">
        <v>0</v>
      </c>
      <c r="I14" s="4"/>
      <c r="J14" s="4">
        <v>0</v>
      </c>
      <c r="K14" s="4">
        <f t="shared" si="1"/>
        <v>0</v>
      </c>
      <c r="L14" s="4">
        <f t="shared" si="2"/>
        <v>0</v>
      </c>
      <c r="M14" s="4">
        <f t="shared" si="10"/>
        <v>210000</v>
      </c>
      <c r="N14" s="4">
        <f t="shared" si="11"/>
        <v>0</v>
      </c>
      <c r="O14" s="4">
        <f t="shared" si="3"/>
        <v>0</v>
      </c>
      <c r="P14" s="4">
        <f t="shared" si="4"/>
        <v>210000</v>
      </c>
      <c r="Q14" s="4"/>
      <c r="R14" s="4"/>
      <c r="S14" s="4">
        <f t="shared" si="12"/>
        <v>0</v>
      </c>
      <c r="T14" s="4">
        <f t="shared" si="5"/>
        <v>0</v>
      </c>
      <c r="U14" s="4">
        <f t="shared" si="6"/>
        <v>0</v>
      </c>
      <c r="V14" s="4"/>
      <c r="W14" s="4">
        <f t="shared" si="7"/>
        <v>0</v>
      </c>
      <c r="X14" s="4"/>
      <c r="Y14" s="4"/>
      <c r="Z14" s="4"/>
      <c r="AA14" s="274"/>
      <c r="AB14" s="3" t="s">
        <v>392</v>
      </c>
      <c r="AC14" s="3">
        <v>810000</v>
      </c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49">
        <f t="shared" si="13"/>
        <v>0</v>
      </c>
      <c r="AO14" s="449">
        <f t="shared" si="8"/>
        <v>0</v>
      </c>
      <c r="AP14" s="449"/>
      <c r="AQ14" s="449">
        <f t="shared" si="14"/>
        <v>0</v>
      </c>
      <c r="AR14" s="449"/>
      <c r="AS14" s="449"/>
      <c r="AT14" s="449"/>
      <c r="AU14" s="449"/>
      <c r="AV14" s="449"/>
      <c r="AW14" s="449">
        <f t="shared" si="15"/>
        <v>0</v>
      </c>
      <c r="AX14" s="449"/>
      <c r="AY14" s="449"/>
      <c r="AZ14" s="449"/>
      <c r="BA14" s="449"/>
    </row>
    <row r="15" spans="1:53" s="5" customFormat="1" ht="30" customHeight="1">
      <c r="A15" s="3">
        <f t="shared" si="9"/>
        <v>10</v>
      </c>
      <c r="B15" s="19">
        <v>2179</v>
      </c>
      <c r="C15" s="3" t="s">
        <v>462</v>
      </c>
      <c r="D15" s="4">
        <v>390000</v>
      </c>
      <c r="E15" s="4">
        <v>390000</v>
      </c>
      <c r="F15" s="4">
        <f t="shared" si="0"/>
        <v>0</v>
      </c>
      <c r="G15" s="4">
        <v>390000</v>
      </c>
      <c r="H15" s="4">
        <v>293310</v>
      </c>
      <c r="I15" s="4"/>
      <c r="J15" s="4">
        <v>0</v>
      </c>
      <c r="K15" s="4">
        <f t="shared" si="1"/>
        <v>0</v>
      </c>
      <c r="L15" s="4">
        <f t="shared" si="2"/>
        <v>293310</v>
      </c>
      <c r="M15" s="4">
        <f t="shared" si="10"/>
        <v>96690</v>
      </c>
      <c r="N15" s="4">
        <v>-100000</v>
      </c>
      <c r="O15" s="4">
        <f t="shared" si="3"/>
        <v>100000</v>
      </c>
      <c r="P15" s="4">
        <f t="shared" si="4"/>
        <v>96690</v>
      </c>
      <c r="Q15" s="4"/>
      <c r="R15" s="4"/>
      <c r="S15" s="4">
        <f t="shared" si="12"/>
        <v>0</v>
      </c>
      <c r="T15" s="4">
        <f t="shared" si="5"/>
        <v>0</v>
      </c>
      <c r="U15" s="4">
        <f t="shared" si="6"/>
        <v>-100000</v>
      </c>
      <c r="V15" s="4"/>
      <c r="W15" s="4">
        <f t="shared" si="7"/>
        <v>0</v>
      </c>
      <c r="X15" s="4"/>
      <c r="Y15" s="4"/>
      <c r="Z15" s="4"/>
      <c r="AA15" s="274">
        <v>-100000</v>
      </c>
      <c r="AB15" s="3" t="s">
        <v>793</v>
      </c>
      <c r="AC15" s="3">
        <v>810000</v>
      </c>
      <c r="AD15" s="4"/>
      <c r="AE15" s="4"/>
      <c r="AF15" s="4"/>
      <c r="AG15" s="4"/>
      <c r="AH15" s="4"/>
      <c r="AI15" s="4"/>
      <c r="AJ15" s="4"/>
      <c r="AK15" s="4"/>
      <c r="AL15" s="4"/>
      <c r="AM15" s="4">
        <v>-100000</v>
      </c>
      <c r="AN15" s="449">
        <f t="shared" si="13"/>
        <v>-100000</v>
      </c>
      <c r="AO15" s="449">
        <f t="shared" si="8"/>
        <v>0</v>
      </c>
      <c r="AP15" s="449"/>
      <c r="AQ15" s="449">
        <f t="shared" si="14"/>
        <v>0</v>
      </c>
      <c r="AR15" s="449"/>
      <c r="AS15" s="449"/>
      <c r="AT15" s="449"/>
      <c r="AU15" s="449">
        <v>-100000</v>
      </c>
      <c r="AV15" s="449"/>
      <c r="AW15" s="449">
        <f t="shared" si="15"/>
        <v>0</v>
      </c>
      <c r="AX15" s="449"/>
      <c r="AY15" s="449"/>
      <c r="AZ15" s="449"/>
      <c r="BA15" s="449">
        <v>-100000</v>
      </c>
    </row>
    <row r="16" spans="1:53" s="5" customFormat="1" ht="30" customHeight="1">
      <c r="A16" s="3">
        <f t="shared" si="9"/>
        <v>11</v>
      </c>
      <c r="B16" s="19">
        <v>2217</v>
      </c>
      <c r="C16" s="3" t="s">
        <v>723</v>
      </c>
      <c r="D16" s="4">
        <f>2650000-660000</f>
        <v>1990000</v>
      </c>
      <c r="E16" s="4">
        <v>2650000</v>
      </c>
      <c r="F16" s="4">
        <f t="shared" si="0"/>
        <v>-660000</v>
      </c>
      <c r="G16" s="4">
        <v>1750000</v>
      </c>
      <c r="H16" s="4">
        <v>1087039.78</v>
      </c>
      <c r="I16" s="4"/>
      <c r="J16" s="4">
        <v>566249.4</v>
      </c>
      <c r="K16" s="4">
        <f t="shared" si="1"/>
        <v>566249.4</v>
      </c>
      <c r="L16" s="4">
        <f>H16+K16</f>
        <v>1653289.1800000002</v>
      </c>
      <c r="M16" s="4">
        <f t="shared" si="10"/>
        <v>96710.819999999832</v>
      </c>
      <c r="N16" s="4">
        <f>900000-660000</f>
        <v>240000</v>
      </c>
      <c r="O16" s="4">
        <f t="shared" si="3"/>
        <v>0</v>
      </c>
      <c r="P16" s="4">
        <f t="shared" si="4"/>
        <v>96710.819999999832</v>
      </c>
      <c r="Q16" s="4"/>
      <c r="R16" s="4"/>
      <c r="S16" s="4">
        <f t="shared" si="12"/>
        <v>0</v>
      </c>
      <c r="T16" s="4">
        <f t="shared" si="5"/>
        <v>0</v>
      </c>
      <c r="U16" s="4">
        <f t="shared" si="6"/>
        <v>240000</v>
      </c>
      <c r="V16" s="4"/>
      <c r="W16" s="4">
        <f t="shared" si="7"/>
        <v>240000</v>
      </c>
      <c r="X16" s="4"/>
      <c r="Y16" s="4"/>
      <c r="Z16" s="4"/>
      <c r="AA16" s="4"/>
      <c r="AB16" s="3" t="s">
        <v>758</v>
      </c>
      <c r="AC16" s="3">
        <v>810000</v>
      </c>
      <c r="AD16" s="4"/>
      <c r="AE16" s="4">
        <v>40000</v>
      </c>
      <c r="AF16" s="4"/>
      <c r="AG16" s="4"/>
      <c r="AH16" s="4">
        <v>200000</v>
      </c>
      <c r="AI16" s="4"/>
      <c r="AJ16" s="4"/>
      <c r="AK16" s="4"/>
      <c r="AL16" s="4"/>
      <c r="AM16" s="4"/>
      <c r="AN16" s="449">
        <f t="shared" si="13"/>
        <v>240000</v>
      </c>
      <c r="AO16" s="449">
        <f t="shared" si="8"/>
        <v>0</v>
      </c>
      <c r="AP16" s="449"/>
      <c r="AQ16" s="449">
        <f t="shared" si="14"/>
        <v>240000</v>
      </c>
      <c r="AR16" s="449"/>
      <c r="AS16" s="449"/>
      <c r="AT16" s="449"/>
      <c r="AU16" s="449"/>
      <c r="AV16" s="449"/>
      <c r="AW16" s="449">
        <f t="shared" si="15"/>
        <v>0</v>
      </c>
      <c r="AX16" s="449"/>
      <c r="AY16" s="449"/>
      <c r="AZ16" s="449"/>
      <c r="BA16" s="449"/>
    </row>
    <row r="17" spans="1:64" s="5" customFormat="1" ht="30" customHeight="1">
      <c r="A17" s="3">
        <f t="shared" si="9"/>
        <v>12</v>
      </c>
      <c r="B17" s="19">
        <v>2218</v>
      </c>
      <c r="C17" s="3" t="s">
        <v>1295</v>
      </c>
      <c r="D17" s="4">
        <v>1400000</v>
      </c>
      <c r="E17" s="4">
        <v>1400000</v>
      </c>
      <c r="F17" s="4">
        <f t="shared" si="0"/>
        <v>0</v>
      </c>
      <c r="G17" s="4">
        <v>1400000</v>
      </c>
      <c r="H17" s="4">
        <v>908070</v>
      </c>
      <c r="I17" s="4"/>
      <c r="J17" s="4">
        <v>71842.460000000006</v>
      </c>
      <c r="K17" s="4">
        <f t="shared" si="1"/>
        <v>71842.460000000006</v>
      </c>
      <c r="L17" s="4">
        <f t="shared" si="2"/>
        <v>979912.46</v>
      </c>
      <c r="M17" s="4">
        <f t="shared" si="10"/>
        <v>420087.54000000004</v>
      </c>
      <c r="N17" s="4">
        <f t="shared" si="11"/>
        <v>0</v>
      </c>
      <c r="O17" s="4">
        <f t="shared" si="3"/>
        <v>0</v>
      </c>
      <c r="P17" s="4">
        <f t="shared" si="4"/>
        <v>420087.54000000004</v>
      </c>
      <c r="Q17" s="4"/>
      <c r="R17" s="4"/>
      <c r="S17" s="4">
        <f t="shared" si="12"/>
        <v>0</v>
      </c>
      <c r="T17" s="4">
        <f t="shared" si="5"/>
        <v>0</v>
      </c>
      <c r="U17" s="4">
        <f t="shared" si="6"/>
        <v>0</v>
      </c>
      <c r="V17" s="4"/>
      <c r="W17" s="4">
        <f t="shared" si="7"/>
        <v>0</v>
      </c>
      <c r="X17" s="4"/>
      <c r="Y17" s="4"/>
      <c r="Z17" s="4"/>
      <c r="AA17" s="4"/>
      <c r="AB17" s="3" t="s">
        <v>510</v>
      </c>
      <c r="AC17" s="3">
        <v>810000</v>
      </c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49">
        <f t="shared" si="13"/>
        <v>0</v>
      </c>
      <c r="AO17" s="449">
        <f t="shared" si="8"/>
        <v>0</v>
      </c>
      <c r="AP17" s="449"/>
      <c r="AQ17" s="449">
        <f t="shared" si="14"/>
        <v>0</v>
      </c>
      <c r="AR17" s="449"/>
      <c r="AS17" s="449"/>
      <c r="AT17" s="449"/>
      <c r="AU17" s="449"/>
      <c r="AV17" s="449"/>
      <c r="AW17" s="449">
        <f t="shared" si="15"/>
        <v>0</v>
      </c>
      <c r="AX17" s="449"/>
      <c r="AY17" s="449"/>
      <c r="AZ17" s="449"/>
      <c r="BA17" s="449"/>
    </row>
    <row r="18" spans="1:64" s="5" customFormat="1" ht="30" customHeight="1">
      <c r="A18" s="3">
        <f t="shared" si="9"/>
        <v>13</v>
      </c>
      <c r="B18" s="19">
        <v>2219</v>
      </c>
      <c r="C18" s="3" t="s">
        <v>465</v>
      </c>
      <c r="D18" s="4">
        <f>750000-210000-100000</f>
        <v>440000</v>
      </c>
      <c r="E18" s="4">
        <v>750000</v>
      </c>
      <c r="F18" s="4">
        <f t="shared" si="0"/>
        <v>-310000</v>
      </c>
      <c r="G18" s="4">
        <v>540000</v>
      </c>
      <c r="H18" s="4">
        <v>233915.11</v>
      </c>
      <c r="I18" s="4"/>
      <c r="J18" s="4">
        <v>36828</v>
      </c>
      <c r="K18" s="4">
        <f t="shared" si="1"/>
        <v>36828</v>
      </c>
      <c r="L18" s="4">
        <f t="shared" si="2"/>
        <v>270743.11</v>
      </c>
      <c r="M18" s="4">
        <f>P18+S18-100000</f>
        <v>169256.89</v>
      </c>
      <c r="N18" s="4"/>
      <c r="O18" s="4">
        <f t="shared" si="3"/>
        <v>0</v>
      </c>
      <c r="P18" s="4">
        <f t="shared" si="4"/>
        <v>269256.89</v>
      </c>
      <c r="Q18" s="4"/>
      <c r="R18" s="4"/>
      <c r="S18" s="4">
        <f t="shared" si="12"/>
        <v>0</v>
      </c>
      <c r="T18" s="4">
        <f t="shared" si="5"/>
        <v>100000</v>
      </c>
      <c r="U18" s="4">
        <f t="shared" si="6"/>
        <v>-100000</v>
      </c>
      <c r="V18" s="4"/>
      <c r="W18" s="4">
        <f t="shared" si="7"/>
        <v>-100000</v>
      </c>
      <c r="X18" s="4"/>
      <c r="Y18" s="4"/>
      <c r="Z18" s="4"/>
      <c r="AA18" s="4"/>
      <c r="AB18" s="3" t="s">
        <v>639</v>
      </c>
      <c r="AC18" s="3">
        <v>810000</v>
      </c>
      <c r="AD18" s="4"/>
      <c r="AE18" s="4"/>
      <c r="AF18" s="4"/>
      <c r="AG18" s="4"/>
      <c r="AH18" s="4">
        <v>-100000</v>
      </c>
      <c r="AI18" s="4"/>
      <c r="AJ18" s="4"/>
      <c r="AK18" s="4"/>
      <c r="AL18" s="4"/>
      <c r="AM18" s="4"/>
      <c r="AN18" s="449">
        <f t="shared" si="13"/>
        <v>-100000</v>
      </c>
      <c r="AO18" s="449">
        <f t="shared" si="8"/>
        <v>0</v>
      </c>
      <c r="AP18" s="449"/>
      <c r="AQ18" s="449">
        <f t="shared" si="14"/>
        <v>-100000</v>
      </c>
      <c r="AR18" s="449"/>
      <c r="AS18" s="449"/>
      <c r="AT18" s="449"/>
      <c r="AU18" s="449"/>
      <c r="AV18" s="449"/>
      <c r="AW18" s="449">
        <f t="shared" si="15"/>
        <v>0</v>
      </c>
      <c r="AX18" s="449"/>
      <c r="AY18" s="449"/>
      <c r="AZ18" s="449"/>
      <c r="BA18" s="449"/>
    </row>
    <row r="19" spans="1:64" s="5" customFormat="1" ht="30" customHeight="1">
      <c r="A19" s="3">
        <f t="shared" si="9"/>
        <v>14</v>
      </c>
      <c r="B19" s="19">
        <v>2227</v>
      </c>
      <c r="C19" s="3" t="s">
        <v>569</v>
      </c>
      <c r="D19" s="4">
        <v>100000</v>
      </c>
      <c r="E19" s="4">
        <v>100000</v>
      </c>
      <c r="F19" s="4">
        <f t="shared" si="0"/>
        <v>0</v>
      </c>
      <c r="G19" s="4">
        <v>100000</v>
      </c>
      <c r="H19" s="4">
        <v>0</v>
      </c>
      <c r="I19" s="4"/>
      <c r="J19" s="4">
        <v>0</v>
      </c>
      <c r="K19" s="4">
        <f t="shared" si="1"/>
        <v>0</v>
      </c>
      <c r="L19" s="4">
        <f t="shared" si="2"/>
        <v>0</v>
      </c>
      <c r="M19" s="4">
        <f t="shared" si="10"/>
        <v>100000</v>
      </c>
      <c r="N19" s="4">
        <f t="shared" si="11"/>
        <v>0</v>
      </c>
      <c r="O19" s="4">
        <f t="shared" si="3"/>
        <v>0</v>
      </c>
      <c r="P19" s="4">
        <f t="shared" si="4"/>
        <v>100000</v>
      </c>
      <c r="Q19" s="4"/>
      <c r="R19" s="4"/>
      <c r="S19" s="4">
        <f t="shared" si="12"/>
        <v>0</v>
      </c>
      <c r="T19" s="4">
        <f t="shared" si="5"/>
        <v>0</v>
      </c>
      <c r="U19" s="4">
        <f t="shared" si="6"/>
        <v>0</v>
      </c>
      <c r="V19" s="4"/>
      <c r="W19" s="4">
        <f t="shared" si="7"/>
        <v>0</v>
      </c>
      <c r="X19" s="4"/>
      <c r="Y19" s="4"/>
      <c r="Z19" s="4"/>
      <c r="AA19" s="4"/>
      <c r="AB19" s="3" t="s">
        <v>584</v>
      </c>
      <c r="AC19" s="3">
        <v>810000</v>
      </c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49">
        <f t="shared" si="13"/>
        <v>0</v>
      </c>
      <c r="AO19" s="449">
        <f t="shared" si="8"/>
        <v>0</v>
      </c>
      <c r="AP19" s="449"/>
      <c r="AQ19" s="449">
        <f t="shared" si="14"/>
        <v>0</v>
      </c>
      <c r="AR19" s="449"/>
      <c r="AS19" s="449"/>
      <c r="AT19" s="449"/>
      <c r="AU19" s="449"/>
      <c r="AV19" s="449"/>
      <c r="AW19" s="449">
        <f t="shared" si="15"/>
        <v>0</v>
      </c>
      <c r="AX19" s="449"/>
      <c r="AY19" s="449"/>
      <c r="AZ19" s="449"/>
      <c r="BA19" s="449"/>
    </row>
    <row r="20" spans="1:64" s="5" customFormat="1" ht="30" customHeight="1">
      <c r="A20" s="3">
        <f t="shared" si="9"/>
        <v>15</v>
      </c>
      <c r="B20" s="19">
        <v>20041</v>
      </c>
      <c r="C20" s="3" t="s">
        <v>1084</v>
      </c>
      <c r="D20" s="4">
        <v>100000</v>
      </c>
      <c r="E20" s="4">
        <v>100000</v>
      </c>
      <c r="F20" s="4">
        <f t="shared" si="0"/>
        <v>0</v>
      </c>
      <c r="G20" s="4">
        <v>100000</v>
      </c>
      <c r="H20" s="4">
        <v>0</v>
      </c>
      <c r="I20" s="4"/>
      <c r="J20" s="4">
        <v>0</v>
      </c>
      <c r="K20" s="4">
        <f>SUM(I20:J20)</f>
        <v>0</v>
      </c>
      <c r="L20" s="4">
        <f t="shared" si="2"/>
        <v>0</v>
      </c>
      <c r="M20" s="4">
        <f t="shared" si="10"/>
        <v>100000</v>
      </c>
      <c r="N20" s="4">
        <f t="shared" si="11"/>
        <v>0</v>
      </c>
      <c r="O20" s="4">
        <f>D20-L20-M20-N20</f>
        <v>0</v>
      </c>
      <c r="P20" s="4">
        <f t="shared" si="4"/>
        <v>100000</v>
      </c>
      <c r="Q20" s="4"/>
      <c r="R20" s="4"/>
      <c r="S20" s="4">
        <f t="shared" si="12"/>
        <v>0</v>
      </c>
      <c r="T20" s="4">
        <f t="shared" si="5"/>
        <v>0</v>
      </c>
      <c r="U20" s="4">
        <f t="shared" si="6"/>
        <v>0</v>
      </c>
      <c r="V20" s="4">
        <v>0</v>
      </c>
      <c r="W20" s="4">
        <f>U20-V20-Z20-AA20</f>
        <v>0</v>
      </c>
      <c r="X20" s="4"/>
      <c r="Y20" s="4"/>
      <c r="Z20" s="4"/>
      <c r="AA20" s="4"/>
      <c r="AB20" s="3" t="s">
        <v>641</v>
      </c>
      <c r="AC20" s="3">
        <v>810000</v>
      </c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49">
        <f t="shared" si="13"/>
        <v>0</v>
      </c>
      <c r="AO20" s="449">
        <f t="shared" si="8"/>
        <v>0</v>
      </c>
      <c r="AP20" s="449"/>
      <c r="AQ20" s="449">
        <f t="shared" si="14"/>
        <v>0</v>
      </c>
      <c r="AR20" s="449"/>
      <c r="AS20" s="449"/>
      <c r="AT20" s="449"/>
      <c r="AU20" s="449"/>
      <c r="AV20" s="449"/>
      <c r="AW20" s="449">
        <f t="shared" si="15"/>
        <v>0</v>
      </c>
      <c r="AX20" s="449"/>
      <c r="AY20" s="449"/>
      <c r="AZ20" s="449"/>
      <c r="BA20" s="449"/>
    </row>
    <row r="21" spans="1:64" s="5" customFormat="1" ht="30" customHeight="1">
      <c r="A21" s="3">
        <f t="shared" si="9"/>
        <v>16</v>
      </c>
      <c r="B21" s="19">
        <v>20042</v>
      </c>
      <c r="C21" s="3" t="s">
        <v>642</v>
      </c>
      <c r="D21" s="4">
        <v>1300000</v>
      </c>
      <c r="E21" s="4">
        <v>1300000</v>
      </c>
      <c r="F21" s="4">
        <f t="shared" si="0"/>
        <v>0</v>
      </c>
      <c r="G21" s="4">
        <v>650000</v>
      </c>
      <c r="H21" s="4">
        <v>328</v>
      </c>
      <c r="I21" s="4"/>
      <c r="J21" s="4">
        <v>348398</v>
      </c>
      <c r="K21" s="4">
        <f>SUM(I21:J21)</f>
        <v>348398</v>
      </c>
      <c r="L21" s="4">
        <f t="shared" si="2"/>
        <v>348726</v>
      </c>
      <c r="M21" s="4">
        <f t="shared" si="10"/>
        <v>301274</v>
      </c>
      <c r="N21" s="4">
        <v>300000</v>
      </c>
      <c r="O21" s="4">
        <f>D21-L21-M21-N21</f>
        <v>350000</v>
      </c>
      <c r="P21" s="4">
        <f t="shared" si="4"/>
        <v>301274</v>
      </c>
      <c r="Q21" s="4"/>
      <c r="R21" s="4"/>
      <c r="S21" s="4">
        <f t="shared" si="12"/>
        <v>0</v>
      </c>
      <c r="T21" s="4">
        <f t="shared" si="5"/>
        <v>0</v>
      </c>
      <c r="U21" s="4">
        <f t="shared" si="6"/>
        <v>300000</v>
      </c>
      <c r="V21" s="4">
        <v>0</v>
      </c>
      <c r="W21" s="4">
        <f>U21-V21-Z21-AA21</f>
        <v>300000</v>
      </c>
      <c r="X21" s="4"/>
      <c r="Y21" s="4"/>
      <c r="Z21" s="4"/>
      <c r="AA21" s="4"/>
      <c r="AB21" s="3" t="s">
        <v>898</v>
      </c>
      <c r="AC21" s="3">
        <v>810000</v>
      </c>
      <c r="AD21" s="4"/>
      <c r="AE21" s="4"/>
      <c r="AF21" s="4"/>
      <c r="AG21" s="4"/>
      <c r="AH21" s="4">
        <v>300000</v>
      </c>
      <c r="AI21" s="4"/>
      <c r="AJ21" s="4"/>
      <c r="AK21" s="4"/>
      <c r="AL21" s="4"/>
      <c r="AM21" s="4"/>
      <c r="AN21" s="449">
        <f t="shared" si="13"/>
        <v>300000</v>
      </c>
      <c r="AO21" s="449">
        <f t="shared" si="8"/>
        <v>0</v>
      </c>
      <c r="AP21" s="449"/>
      <c r="AQ21" s="449">
        <f t="shared" si="14"/>
        <v>300000</v>
      </c>
      <c r="AR21" s="449"/>
      <c r="AS21" s="449"/>
      <c r="AT21" s="449"/>
      <c r="AU21" s="449"/>
      <c r="AV21" s="449"/>
      <c r="AW21" s="449">
        <f t="shared" si="15"/>
        <v>0</v>
      </c>
      <c r="AX21" s="449"/>
      <c r="AY21" s="449"/>
      <c r="AZ21" s="449"/>
      <c r="BA21" s="449"/>
    </row>
    <row r="22" spans="1:64" s="5" customFormat="1" ht="30" customHeight="1">
      <c r="A22" s="3">
        <f t="shared" si="9"/>
        <v>17</v>
      </c>
      <c r="B22" s="19">
        <v>20043</v>
      </c>
      <c r="C22" s="3" t="s">
        <v>643</v>
      </c>
      <c r="D22" s="4">
        <v>1300000</v>
      </c>
      <c r="E22" s="4">
        <v>1300000</v>
      </c>
      <c r="F22" s="4">
        <f t="shared" si="0"/>
        <v>0</v>
      </c>
      <c r="G22" s="4">
        <v>800000</v>
      </c>
      <c r="H22" s="4">
        <v>386</v>
      </c>
      <c r="I22" s="4"/>
      <c r="J22" s="4">
        <v>267326</v>
      </c>
      <c r="K22" s="4">
        <f>SUM(I22:J22)</f>
        <v>267326</v>
      </c>
      <c r="L22" s="4">
        <f t="shared" si="2"/>
        <v>267712</v>
      </c>
      <c r="M22" s="4">
        <f t="shared" si="10"/>
        <v>532288</v>
      </c>
      <c r="N22" s="4">
        <f t="shared" si="11"/>
        <v>0</v>
      </c>
      <c r="O22" s="4">
        <f>D22-L22-M22-N22</f>
        <v>500000</v>
      </c>
      <c r="P22" s="4">
        <f t="shared" si="4"/>
        <v>532288</v>
      </c>
      <c r="Q22" s="4"/>
      <c r="R22" s="4"/>
      <c r="S22" s="4">
        <f t="shared" si="12"/>
        <v>0</v>
      </c>
      <c r="T22" s="4">
        <f t="shared" si="5"/>
        <v>0</v>
      </c>
      <c r="U22" s="4">
        <f t="shared" si="6"/>
        <v>0</v>
      </c>
      <c r="V22" s="4">
        <v>0</v>
      </c>
      <c r="W22" s="4">
        <f>U22-V22-Z22-AA22</f>
        <v>0</v>
      </c>
      <c r="X22" s="4"/>
      <c r="Y22" s="4"/>
      <c r="Z22" s="4"/>
      <c r="AA22" s="4"/>
      <c r="AB22" s="3" t="s">
        <v>898</v>
      </c>
      <c r="AC22" s="3">
        <v>810000</v>
      </c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49">
        <f t="shared" si="13"/>
        <v>0</v>
      </c>
      <c r="AO22" s="449">
        <f t="shared" si="8"/>
        <v>0</v>
      </c>
      <c r="AP22" s="449"/>
      <c r="AQ22" s="449">
        <f t="shared" si="14"/>
        <v>0</v>
      </c>
      <c r="AR22" s="449"/>
      <c r="AS22" s="449"/>
      <c r="AT22" s="449"/>
      <c r="AU22" s="449"/>
      <c r="AV22" s="449"/>
      <c r="AW22" s="449">
        <f t="shared" si="15"/>
        <v>0</v>
      </c>
      <c r="AX22" s="449"/>
      <c r="AY22" s="449"/>
      <c r="AZ22" s="449"/>
      <c r="BA22" s="449"/>
    </row>
    <row r="23" spans="1:64" s="5" customFormat="1" ht="30" customHeight="1">
      <c r="A23" s="3">
        <f t="shared" si="9"/>
        <v>18</v>
      </c>
      <c r="B23" s="19">
        <v>20044</v>
      </c>
      <c r="C23" s="3" t="s">
        <v>110</v>
      </c>
      <c r="D23" s="4">
        <f>1784000+166000-474000</f>
        <v>1476000</v>
      </c>
      <c r="E23" s="4">
        <v>776000</v>
      </c>
      <c r="F23" s="4">
        <f t="shared" si="0"/>
        <v>700000</v>
      </c>
      <c r="G23" s="4">
        <v>776000</v>
      </c>
      <c r="H23" s="4">
        <v>2997.3</v>
      </c>
      <c r="I23" s="4"/>
      <c r="J23" s="4">
        <v>662030.69999999995</v>
      </c>
      <c r="K23" s="4">
        <f>SUM(I23:J23)</f>
        <v>662030.69999999995</v>
      </c>
      <c r="L23" s="4">
        <f>H23+K23</f>
        <v>665028</v>
      </c>
      <c r="M23" s="4">
        <f t="shared" si="10"/>
        <v>110972</v>
      </c>
      <c r="N23" s="4">
        <f>1008000+166000-474000</f>
        <v>700000</v>
      </c>
      <c r="O23" s="4">
        <f>D23-L23-M23-N23</f>
        <v>0</v>
      </c>
      <c r="P23" s="4">
        <f>G23-L23</f>
        <v>110972</v>
      </c>
      <c r="Q23" s="4"/>
      <c r="R23" s="4"/>
      <c r="S23" s="4">
        <f>SUM(Q23:R23)</f>
        <v>0</v>
      </c>
      <c r="T23" s="4">
        <f>P23-M23+S23</f>
        <v>0</v>
      </c>
      <c r="U23" s="4">
        <f>N23-T23</f>
        <v>700000</v>
      </c>
      <c r="V23" s="4"/>
      <c r="W23" s="4">
        <f>U23-V23-Z23-AA23</f>
        <v>622000</v>
      </c>
      <c r="X23" s="4"/>
      <c r="Y23" s="4"/>
      <c r="Z23" s="4"/>
      <c r="AA23" s="4">
        <f>26000+52000</f>
        <v>78000</v>
      </c>
      <c r="AB23" s="3" t="s">
        <v>797</v>
      </c>
      <c r="AC23" s="3">
        <v>810000</v>
      </c>
      <c r="AD23" s="4"/>
      <c r="AE23" s="4"/>
      <c r="AF23" s="4"/>
      <c r="AG23" s="4"/>
      <c r="AH23" s="4"/>
      <c r="AI23" s="4">
        <v>622000</v>
      </c>
      <c r="AJ23" s="4"/>
      <c r="AK23" s="4"/>
      <c r="AL23" s="4"/>
      <c r="AM23" s="4"/>
      <c r="AN23" s="449">
        <f t="shared" si="13"/>
        <v>622000</v>
      </c>
      <c r="AO23" s="449">
        <f t="shared" si="8"/>
        <v>78000</v>
      </c>
      <c r="AP23" s="449"/>
      <c r="AQ23" s="449">
        <f t="shared" si="14"/>
        <v>622000</v>
      </c>
      <c r="AR23" s="449"/>
      <c r="AS23" s="449"/>
      <c r="AT23" s="449"/>
      <c r="AU23" s="449"/>
      <c r="AV23" s="449"/>
      <c r="AW23" s="449">
        <f t="shared" si="15"/>
        <v>0</v>
      </c>
      <c r="AX23" s="449"/>
      <c r="AY23" s="449"/>
      <c r="AZ23" s="449"/>
      <c r="BA23" s="449"/>
    </row>
    <row r="24" spans="1:64" s="48" customFormat="1" ht="30" customHeight="1">
      <c r="A24" s="20">
        <f>A23</f>
        <v>18</v>
      </c>
      <c r="B24" s="20"/>
      <c r="C24" s="20" t="s">
        <v>747</v>
      </c>
      <c r="D24" s="50">
        <f>SUM(D6:D23)</f>
        <v>46089720</v>
      </c>
      <c r="E24" s="50">
        <f t="shared" ref="E24:BA24" si="16">SUM(E6:E23)</f>
        <v>45477720</v>
      </c>
      <c r="F24" s="50">
        <f t="shared" si="16"/>
        <v>612000</v>
      </c>
      <c r="G24" s="50">
        <f t="shared" si="16"/>
        <v>18947720</v>
      </c>
      <c r="H24" s="50">
        <f t="shared" si="16"/>
        <v>12464526.189999999</v>
      </c>
      <c r="I24" s="50">
        <f t="shared" si="16"/>
        <v>0</v>
      </c>
      <c r="J24" s="50">
        <f t="shared" si="16"/>
        <v>2819019.6500000004</v>
      </c>
      <c r="K24" s="50">
        <f t="shared" si="16"/>
        <v>2819019.6500000004</v>
      </c>
      <c r="L24" s="50">
        <f t="shared" si="16"/>
        <v>15283545.84</v>
      </c>
      <c r="M24" s="50">
        <f t="shared" si="16"/>
        <v>2991337.1599999997</v>
      </c>
      <c r="N24" s="50">
        <f t="shared" si="16"/>
        <v>3600000</v>
      </c>
      <c r="O24" s="50">
        <f t="shared" si="16"/>
        <v>24214837</v>
      </c>
      <c r="P24" s="50">
        <f t="shared" si="16"/>
        <v>3664174.1599999997</v>
      </c>
      <c r="Q24" s="50">
        <f t="shared" si="16"/>
        <v>210000</v>
      </c>
      <c r="R24" s="50">
        <f t="shared" si="16"/>
        <v>0</v>
      </c>
      <c r="S24" s="50">
        <f t="shared" si="16"/>
        <v>210000</v>
      </c>
      <c r="T24" s="50">
        <f t="shared" si="16"/>
        <v>882837</v>
      </c>
      <c r="U24" s="50">
        <f t="shared" si="16"/>
        <v>2717163</v>
      </c>
      <c r="V24" s="50">
        <f t="shared" si="16"/>
        <v>0</v>
      </c>
      <c r="W24" s="50">
        <f t="shared" si="16"/>
        <v>2562000</v>
      </c>
      <c r="X24" s="50">
        <f t="shared" si="16"/>
        <v>0</v>
      </c>
      <c r="Y24" s="50">
        <f t="shared" si="16"/>
        <v>0</v>
      </c>
      <c r="Z24" s="50">
        <f t="shared" si="16"/>
        <v>0</v>
      </c>
      <c r="AA24" s="50">
        <f t="shared" si="16"/>
        <v>155163</v>
      </c>
      <c r="AB24" s="50">
        <f t="shared" si="16"/>
        <v>0</v>
      </c>
      <c r="AC24" s="50">
        <f t="shared" si="16"/>
        <v>14580000</v>
      </c>
      <c r="AD24" s="50">
        <f t="shared" si="16"/>
        <v>0</v>
      </c>
      <c r="AE24" s="50">
        <f t="shared" si="16"/>
        <v>40000</v>
      </c>
      <c r="AF24" s="50">
        <f t="shared" si="16"/>
        <v>0</v>
      </c>
      <c r="AG24" s="50">
        <f t="shared" si="16"/>
        <v>0</v>
      </c>
      <c r="AH24" s="50">
        <f t="shared" si="16"/>
        <v>400000</v>
      </c>
      <c r="AI24" s="50">
        <f t="shared" si="16"/>
        <v>822000</v>
      </c>
      <c r="AJ24" s="50">
        <f t="shared" si="16"/>
        <v>300000</v>
      </c>
      <c r="AK24" s="50">
        <f t="shared" si="16"/>
        <v>0</v>
      </c>
      <c r="AL24" s="50">
        <f t="shared" si="16"/>
        <v>0</v>
      </c>
      <c r="AM24" s="50">
        <f t="shared" si="16"/>
        <v>-100000</v>
      </c>
      <c r="AN24" s="50">
        <f t="shared" si="16"/>
        <v>1462000</v>
      </c>
      <c r="AO24" s="50">
        <f t="shared" si="16"/>
        <v>1255163</v>
      </c>
      <c r="AP24" s="50">
        <f t="shared" si="16"/>
        <v>0</v>
      </c>
      <c r="AQ24" s="50">
        <f t="shared" si="16"/>
        <v>1562000</v>
      </c>
      <c r="AR24" s="50">
        <f t="shared" si="16"/>
        <v>0</v>
      </c>
      <c r="AS24" s="50">
        <f t="shared" si="16"/>
        <v>0</v>
      </c>
      <c r="AT24" s="50">
        <f t="shared" si="16"/>
        <v>0</v>
      </c>
      <c r="AU24" s="50">
        <f t="shared" si="16"/>
        <v>-100000</v>
      </c>
      <c r="AV24" s="50">
        <f t="shared" si="16"/>
        <v>0</v>
      </c>
      <c r="AW24" s="50">
        <f t="shared" si="16"/>
        <v>0</v>
      </c>
      <c r="AX24" s="50">
        <f t="shared" si="16"/>
        <v>0</v>
      </c>
      <c r="AY24" s="50">
        <f t="shared" si="16"/>
        <v>0</v>
      </c>
      <c r="AZ24" s="50">
        <f t="shared" si="16"/>
        <v>0</v>
      </c>
      <c r="BA24" s="50">
        <f t="shared" si="16"/>
        <v>-100000</v>
      </c>
      <c r="BB24" s="359"/>
      <c r="BC24" s="359"/>
      <c r="BD24" s="359"/>
      <c r="BE24" s="359"/>
      <c r="BF24" s="359"/>
      <c r="BG24" s="359"/>
      <c r="BH24" s="359"/>
      <c r="BI24" s="359"/>
      <c r="BJ24" s="359"/>
      <c r="BK24" s="359"/>
      <c r="BL24" s="359"/>
    </row>
    <row r="25" spans="1:64" s="666" customFormat="1">
      <c r="A25" s="10"/>
      <c r="B25" s="10"/>
      <c r="C25" s="14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"/>
      <c r="AC25" s="10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V25" s="16"/>
      <c r="AW25" s="16"/>
    </row>
    <row r="26" spans="1:64" s="666" customFormat="1">
      <c r="A26" s="10"/>
      <c r="B26" s="10"/>
      <c r="C26" s="14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4"/>
      <c r="AC26" s="10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V26" s="16"/>
      <c r="AW26" s="16"/>
    </row>
  </sheetData>
  <sheetProtection formatCells="0" formatColumns="0" formatRows="0" insertColumns="0" insertRows="0" insertHyperlinks="0" deleteColumns="0" deleteRows="0" sort="0" autoFilter="0" pivotTables="0"/>
  <mergeCells count="5">
    <mergeCell ref="AD4:AO4"/>
    <mergeCell ref="AP4:AU4"/>
    <mergeCell ref="AV4:BA4"/>
    <mergeCell ref="T4:U4"/>
    <mergeCell ref="V4:AA4"/>
  </mergeCells>
  <conditionalFormatting sqref="AR1:AU3 Z1:AC1 Z2:AA3 AC2:AC3 A1:W1 BB1:XFD3 B2:W3">
    <cfRule type="cellIs" dxfId="79" priority="7" operator="equal">
      <formula>0</formula>
    </cfRule>
  </conditionalFormatting>
  <conditionalFormatting sqref="AB5">
    <cfRule type="cellIs" dxfId="78" priority="6" operator="equal">
      <formula>0</formula>
    </cfRule>
  </conditionalFormatting>
  <conditionalFormatting sqref="X1:X3">
    <cfRule type="cellIs" dxfId="77" priority="5" operator="equal">
      <formula>0</formula>
    </cfRule>
  </conditionalFormatting>
  <conditionalFormatting sqref="AB2:AB3">
    <cfRule type="cellIs" dxfId="76" priority="4" operator="equal">
      <formula>0</formula>
    </cfRule>
  </conditionalFormatting>
  <conditionalFormatting sqref="Y1:Y3">
    <cfRule type="cellIs" dxfId="75" priority="3" operator="equal">
      <formula>0</formula>
    </cfRule>
  </conditionalFormatting>
  <conditionalFormatting sqref="AX1:BA3">
    <cfRule type="cellIs" dxfId="74" priority="2" operator="equal">
      <formula>0</formula>
    </cfRule>
  </conditionalFormatting>
  <conditionalFormatting sqref="A2:A3">
    <cfRule type="cellIs" dxfId="7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5"/>
  <sheetViews>
    <sheetView showZeros="0" rightToLeft="1" zoomScaleNormal="100" workbookViewId="0">
      <pane xSplit="3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3.8"/>
  <cols>
    <col min="1" max="1" width="4" style="475" customWidth="1"/>
    <col min="2" max="2" width="6.44140625" style="424" customWidth="1"/>
    <col min="3" max="3" width="23.5546875" style="424" customWidth="1"/>
    <col min="4" max="5" width="10.6640625" style="423" hidden="1" customWidth="1"/>
    <col min="6" max="6" width="9.6640625" style="423" hidden="1" customWidth="1"/>
    <col min="7" max="8" width="10.109375" style="423" hidden="1" customWidth="1"/>
    <col min="9" max="11" width="9.6640625" style="423" hidden="1" customWidth="1"/>
    <col min="12" max="12" width="10.6640625" style="423" hidden="1" customWidth="1"/>
    <col min="13" max="19" width="9.6640625" style="423" hidden="1" customWidth="1"/>
    <col min="20" max="20" width="11.6640625" style="423" customWidth="1"/>
    <col min="21" max="23" width="11.6640625" style="424" customWidth="1"/>
    <col min="24" max="26" width="8.5546875" style="424" hidden="1" customWidth="1"/>
    <col min="27" max="27" width="11.6640625" style="424" customWidth="1"/>
    <col min="28" max="28" width="35.6640625" style="475" hidden="1" customWidth="1"/>
    <col min="29" max="29" width="7.88671875" style="424" hidden="1" customWidth="1"/>
    <col min="30" max="39" width="10.6640625" style="670" hidden="1" customWidth="1"/>
    <col min="40" max="41" width="10.6640625" style="670" customWidth="1"/>
    <col min="42" max="42" width="14" style="670" customWidth="1"/>
    <col min="43" max="43" width="13.33203125" style="670" customWidth="1"/>
    <col min="44" max="44" width="10.6640625" style="670" hidden="1" customWidth="1"/>
    <col min="45" max="46" width="10.6640625" style="424" hidden="1" customWidth="1"/>
    <col min="47" max="47" width="12.5546875" style="424" customWidth="1"/>
    <col min="48" max="48" width="10.6640625" style="670" hidden="1" customWidth="1"/>
    <col min="49" max="49" width="11.6640625" style="670" hidden="1" customWidth="1"/>
    <col min="50" max="50" width="10.6640625" style="670" hidden="1" customWidth="1"/>
    <col min="51" max="53" width="10.6640625" style="424" hidden="1" customWidth="1"/>
    <col min="54" max="55" width="0" style="424" hidden="1" customWidth="1"/>
    <col min="56" max="16384" width="9.109375" style="424"/>
  </cols>
  <sheetData>
    <row r="1" spans="1:66" s="670" customFormat="1" ht="18">
      <c r="A1" s="668"/>
      <c r="B1" s="668"/>
      <c r="C1" s="668"/>
      <c r="D1" s="669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</row>
    <row r="2" spans="1:66" s="670" customFormat="1" ht="18">
      <c r="A2" s="389" t="s">
        <v>1101</v>
      </c>
      <c r="B2" s="668"/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  <c r="Y2" s="668"/>
      <c r="Z2" s="668"/>
      <c r="AA2" s="668"/>
      <c r="AB2" s="668"/>
      <c r="AC2" s="668"/>
    </row>
    <row r="3" spans="1:66" s="670" customFormat="1" ht="18">
      <c r="A3" s="389"/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8"/>
      <c r="AA3" s="668"/>
      <c r="AB3" s="668"/>
      <c r="AC3" s="668"/>
    </row>
    <row r="4" spans="1:66" ht="16.2" customHeight="1"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D4" s="909" t="s">
        <v>198</v>
      </c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1"/>
      <c r="AP4" s="912" t="s">
        <v>1096</v>
      </c>
      <c r="AQ4" s="912"/>
      <c r="AR4" s="912"/>
      <c r="AS4" s="912"/>
      <c r="AT4" s="912"/>
      <c r="AU4" s="912"/>
      <c r="AV4" s="878" t="s">
        <v>1097</v>
      </c>
      <c r="AW4" s="878"/>
      <c r="AX4" s="878"/>
      <c r="AY4" s="878"/>
      <c r="AZ4" s="878"/>
      <c r="BA4" s="878"/>
    </row>
    <row r="5" spans="1:66" s="511" customFormat="1" ht="69">
      <c r="A5" s="130" t="s">
        <v>0</v>
      </c>
      <c r="B5" s="420" t="s">
        <v>413</v>
      </c>
      <c r="C5" s="420" t="s">
        <v>2</v>
      </c>
      <c r="D5" s="420" t="s">
        <v>3</v>
      </c>
      <c r="E5" s="420" t="s">
        <v>4</v>
      </c>
      <c r="F5" s="420" t="s">
        <v>5</v>
      </c>
      <c r="G5" s="420" t="s">
        <v>6</v>
      </c>
      <c r="H5" s="420" t="s">
        <v>7</v>
      </c>
      <c r="I5" s="420" t="s">
        <v>9</v>
      </c>
      <c r="J5" s="420" t="s">
        <v>125</v>
      </c>
      <c r="K5" s="420" t="s">
        <v>10</v>
      </c>
      <c r="L5" s="420" t="s">
        <v>11</v>
      </c>
      <c r="M5" s="420" t="s">
        <v>707</v>
      </c>
      <c r="N5" s="420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420" t="s">
        <v>13</v>
      </c>
      <c r="W5" s="420" t="s">
        <v>14</v>
      </c>
      <c r="X5" s="420" t="s">
        <v>15</v>
      </c>
      <c r="Y5" s="420" t="s">
        <v>214</v>
      </c>
      <c r="Z5" s="420" t="s">
        <v>502</v>
      </c>
      <c r="AA5" s="420" t="s">
        <v>75</v>
      </c>
      <c r="AB5" s="420" t="s">
        <v>242</v>
      </c>
      <c r="AC5" s="420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  <c r="BB5" s="421" t="s">
        <v>1085</v>
      </c>
      <c r="BC5" s="421" t="s">
        <v>1086</v>
      </c>
    </row>
    <row r="6" spans="1:66" s="452" customFormat="1" ht="30" customHeight="1">
      <c r="A6" s="448">
        <v>1</v>
      </c>
      <c r="B6" s="448">
        <v>1486</v>
      </c>
      <c r="C6" s="448" t="s">
        <v>371</v>
      </c>
      <c r="D6" s="449">
        <f>9110365+480000</f>
        <v>9590365</v>
      </c>
      <c r="E6" s="449">
        <v>9110365</v>
      </c>
      <c r="F6" s="449">
        <f t="shared" ref="F6:F14" si="0">D6-E6</f>
        <v>480000</v>
      </c>
      <c r="G6" s="449">
        <v>7390365</v>
      </c>
      <c r="H6" s="449">
        <v>6989417</v>
      </c>
      <c r="I6" s="449">
        <v>0</v>
      </c>
      <c r="J6" s="449">
        <v>68210</v>
      </c>
      <c r="K6" s="449">
        <f t="shared" ref="K6:K11" si="1">I6+J6</f>
        <v>68210</v>
      </c>
      <c r="L6" s="449">
        <f t="shared" ref="L6:L14" si="2">H6+K6</f>
        <v>7057627</v>
      </c>
      <c r="M6" s="449">
        <f t="shared" ref="M6:M14" si="3">P6+S6</f>
        <v>1032738</v>
      </c>
      <c r="N6" s="449">
        <f>1500000-800000</f>
        <v>700000</v>
      </c>
      <c r="O6" s="449">
        <f t="shared" ref="O6:O14" si="4">D6-L6-M6-N6</f>
        <v>800000</v>
      </c>
      <c r="P6" s="449">
        <f t="shared" ref="P6:P14" si="5">G6-L6</f>
        <v>332738</v>
      </c>
      <c r="Q6" s="482">
        <v>700000</v>
      </c>
      <c r="R6" s="449"/>
      <c r="S6" s="449">
        <f t="shared" ref="S6:S12" si="6">SUM(Q6:R6)</f>
        <v>700000</v>
      </c>
      <c r="T6" s="449">
        <f t="shared" ref="T6:T11" si="7">P6-M6+S6</f>
        <v>0</v>
      </c>
      <c r="U6" s="449">
        <f t="shared" ref="U6:U14" si="8">N6-T6</f>
        <v>700000</v>
      </c>
      <c r="V6" s="449"/>
      <c r="W6" s="449">
        <f t="shared" ref="W6:W14" si="9">U6-V6-Z6-AA6</f>
        <v>700000</v>
      </c>
      <c r="X6" s="449"/>
      <c r="Y6" s="449"/>
      <c r="Z6" s="449"/>
      <c r="AA6" s="448"/>
      <c r="AB6" s="448" t="s">
        <v>278</v>
      </c>
      <c r="AC6" s="448">
        <v>930000</v>
      </c>
      <c r="AD6" s="671"/>
      <c r="AE6" s="671"/>
      <c r="AF6" s="671"/>
      <c r="AG6" s="449">
        <v>300000</v>
      </c>
      <c r="AH6" s="449"/>
      <c r="AI6" s="449"/>
      <c r="AJ6" s="449">
        <v>200000</v>
      </c>
      <c r="AK6" s="449"/>
      <c r="AL6" s="449"/>
      <c r="AM6" s="449">
        <v>80000</v>
      </c>
      <c r="AN6" s="449">
        <f>SUM(AD6:AM6)</f>
        <v>580000</v>
      </c>
      <c r="AO6" s="449">
        <f t="shared" ref="AO6:AO15" si="10">U6-AN6</f>
        <v>120000</v>
      </c>
      <c r="AP6" s="449"/>
      <c r="AQ6" s="449">
        <f>AN6-AP6</f>
        <v>580000</v>
      </c>
      <c r="AR6" s="671"/>
      <c r="AS6" s="448"/>
      <c r="AT6" s="448"/>
      <c r="AU6" s="448"/>
      <c r="AV6" s="449"/>
      <c r="AW6" s="449">
        <f>AM6-AV6</f>
        <v>80000</v>
      </c>
      <c r="AX6" s="671"/>
      <c r="AY6" s="448"/>
      <c r="AZ6" s="448"/>
      <c r="BA6" s="448"/>
      <c r="BB6" s="449"/>
      <c r="BC6" s="449">
        <f>AN6</f>
        <v>580000</v>
      </c>
    </row>
    <row r="7" spans="1:66" s="452" customFormat="1" ht="30" customHeight="1">
      <c r="A7" s="448">
        <f>A6+1</f>
        <v>2</v>
      </c>
      <c r="B7" s="448">
        <v>1582</v>
      </c>
      <c r="C7" s="448" t="s">
        <v>47</v>
      </c>
      <c r="D7" s="449">
        <v>2055000</v>
      </c>
      <c r="E7" s="449">
        <v>2055000</v>
      </c>
      <c r="F7" s="449">
        <f t="shared" si="0"/>
        <v>0</v>
      </c>
      <c r="G7" s="449">
        <v>934000</v>
      </c>
      <c r="H7" s="449">
        <v>933875</v>
      </c>
      <c r="I7" s="449">
        <v>0</v>
      </c>
      <c r="J7" s="449">
        <v>0</v>
      </c>
      <c r="K7" s="449">
        <f t="shared" si="1"/>
        <v>0</v>
      </c>
      <c r="L7" s="449">
        <f t="shared" si="2"/>
        <v>933875</v>
      </c>
      <c r="M7" s="449">
        <f t="shared" si="3"/>
        <v>125</v>
      </c>
      <c r="N7" s="449">
        <f>1121000-821000</f>
        <v>300000</v>
      </c>
      <c r="O7" s="449">
        <f t="shared" si="4"/>
        <v>821000</v>
      </c>
      <c r="P7" s="449">
        <f t="shared" si="5"/>
        <v>125</v>
      </c>
      <c r="Q7" s="449"/>
      <c r="R7" s="449"/>
      <c r="S7" s="449">
        <f t="shared" si="6"/>
        <v>0</v>
      </c>
      <c r="T7" s="449">
        <f t="shared" si="7"/>
        <v>0</v>
      </c>
      <c r="U7" s="449">
        <f t="shared" si="8"/>
        <v>300000</v>
      </c>
      <c r="V7" s="449"/>
      <c r="W7" s="449">
        <f t="shared" si="9"/>
        <v>300000</v>
      </c>
      <c r="X7" s="449"/>
      <c r="Y7" s="449"/>
      <c r="Z7" s="449"/>
      <c r="AA7" s="448"/>
      <c r="AB7" s="484" t="s">
        <v>650</v>
      </c>
      <c r="AC7" s="448">
        <v>829000</v>
      </c>
      <c r="AD7" s="671"/>
      <c r="AE7" s="671"/>
      <c r="AF7" s="671"/>
      <c r="AG7" s="449">
        <v>300000</v>
      </c>
      <c r="AH7" s="449"/>
      <c r="AI7" s="449"/>
      <c r="AJ7" s="449"/>
      <c r="AK7" s="449"/>
      <c r="AL7" s="449"/>
      <c r="AM7" s="449"/>
      <c r="AN7" s="449">
        <f t="shared" ref="AN7:AN15" si="11">SUM(AD7:AM7)</f>
        <v>300000</v>
      </c>
      <c r="AO7" s="449">
        <f t="shared" si="10"/>
        <v>0</v>
      </c>
      <c r="AP7" s="449"/>
      <c r="AQ7" s="449">
        <f t="shared" ref="AQ7:AQ15" si="12">AN7-AP7</f>
        <v>300000</v>
      </c>
      <c r="AR7" s="671"/>
      <c r="AS7" s="448"/>
      <c r="AT7" s="448"/>
      <c r="AU7" s="448"/>
      <c r="AV7" s="449"/>
      <c r="AW7" s="449">
        <f t="shared" ref="AW7:AW15" si="13">AM7-AV7</f>
        <v>0</v>
      </c>
      <c r="AX7" s="671"/>
      <c r="AY7" s="448"/>
      <c r="AZ7" s="448"/>
      <c r="BA7" s="448"/>
      <c r="BB7" s="449">
        <f>AN7</f>
        <v>300000</v>
      </c>
      <c r="BC7" s="449"/>
    </row>
    <row r="8" spans="1:66" s="452" customFormat="1" ht="30" customHeight="1">
      <c r="A8" s="448">
        <f t="shared" ref="A8:A15" si="14">A7+1</f>
        <v>3</v>
      </c>
      <c r="B8" s="448">
        <v>1678</v>
      </c>
      <c r="C8" s="448" t="s">
        <v>335</v>
      </c>
      <c r="D8" s="449">
        <f>2010000+275000</f>
        <v>2285000</v>
      </c>
      <c r="E8" s="449">
        <v>2010000</v>
      </c>
      <c r="F8" s="449">
        <f t="shared" si="0"/>
        <v>275000</v>
      </c>
      <c r="G8" s="449">
        <v>2010000</v>
      </c>
      <c r="H8" s="449">
        <v>1806825</v>
      </c>
      <c r="I8" s="449">
        <v>0</v>
      </c>
      <c r="J8" s="449">
        <v>195887</v>
      </c>
      <c r="K8" s="449">
        <f t="shared" si="1"/>
        <v>195887</v>
      </c>
      <c r="L8" s="449">
        <f t="shared" si="2"/>
        <v>2002712</v>
      </c>
      <c r="M8" s="449">
        <f t="shared" si="3"/>
        <v>7288</v>
      </c>
      <c r="N8" s="449">
        <v>275000</v>
      </c>
      <c r="O8" s="449">
        <f t="shared" si="4"/>
        <v>0</v>
      </c>
      <c r="P8" s="449">
        <f t="shared" si="5"/>
        <v>7288</v>
      </c>
      <c r="Q8" s="449"/>
      <c r="R8" s="449"/>
      <c r="S8" s="449">
        <f t="shared" si="6"/>
        <v>0</v>
      </c>
      <c r="T8" s="449">
        <f t="shared" si="7"/>
        <v>0</v>
      </c>
      <c r="U8" s="449">
        <f t="shared" si="8"/>
        <v>275000</v>
      </c>
      <c r="V8" s="449"/>
      <c r="W8" s="449">
        <f t="shared" si="9"/>
        <v>275000</v>
      </c>
      <c r="X8" s="449"/>
      <c r="Y8" s="449"/>
      <c r="Z8" s="449"/>
      <c r="AA8" s="448"/>
      <c r="AB8" s="448" t="s">
        <v>336</v>
      </c>
      <c r="AC8" s="448">
        <v>829000</v>
      </c>
      <c r="AD8" s="671"/>
      <c r="AE8" s="671"/>
      <c r="AF8" s="671"/>
      <c r="AG8" s="671"/>
      <c r="AH8" s="449">
        <v>275000</v>
      </c>
      <c r="AI8" s="449"/>
      <c r="AJ8" s="449"/>
      <c r="AK8" s="449"/>
      <c r="AL8" s="449"/>
      <c r="AM8" s="449"/>
      <c r="AN8" s="449">
        <f t="shared" si="11"/>
        <v>275000</v>
      </c>
      <c r="AO8" s="449">
        <f t="shared" si="10"/>
        <v>0</v>
      </c>
      <c r="AP8" s="449"/>
      <c r="AQ8" s="449">
        <f t="shared" si="12"/>
        <v>275000</v>
      </c>
      <c r="AR8" s="671"/>
      <c r="AS8" s="448"/>
      <c r="AT8" s="448"/>
      <c r="AU8" s="448"/>
      <c r="AV8" s="449"/>
      <c r="AW8" s="449">
        <f t="shared" si="13"/>
        <v>0</v>
      </c>
      <c r="AX8" s="671"/>
      <c r="AY8" s="448"/>
      <c r="AZ8" s="448"/>
      <c r="BA8" s="448"/>
      <c r="BB8" s="449">
        <f t="shared" ref="BB8:BB14" si="15">AN8</f>
        <v>275000</v>
      </c>
      <c r="BC8" s="449"/>
    </row>
    <row r="9" spans="1:66" s="452" customFormat="1" ht="30" customHeight="1">
      <c r="A9" s="448">
        <f t="shared" si="14"/>
        <v>4</v>
      </c>
      <c r="B9" s="486">
        <v>2004</v>
      </c>
      <c r="C9" s="448" t="s">
        <v>127</v>
      </c>
      <c r="D9" s="449">
        <f>1185000+240000</f>
        <v>1425000</v>
      </c>
      <c r="E9" s="449">
        <v>1185000</v>
      </c>
      <c r="F9" s="449">
        <f t="shared" si="0"/>
        <v>240000</v>
      </c>
      <c r="G9" s="449">
        <v>1185000</v>
      </c>
      <c r="H9" s="449">
        <v>1057102</v>
      </c>
      <c r="I9" s="449">
        <v>0</v>
      </c>
      <c r="J9" s="449">
        <v>86658</v>
      </c>
      <c r="K9" s="449">
        <f t="shared" si="1"/>
        <v>86658</v>
      </c>
      <c r="L9" s="449">
        <f t="shared" si="2"/>
        <v>1143760</v>
      </c>
      <c r="M9" s="449">
        <f t="shared" si="3"/>
        <v>41240</v>
      </c>
      <c r="N9" s="449">
        <v>240000</v>
      </c>
      <c r="O9" s="449">
        <f t="shared" si="4"/>
        <v>0</v>
      </c>
      <c r="P9" s="449">
        <f t="shared" si="5"/>
        <v>41240</v>
      </c>
      <c r="Q9" s="449"/>
      <c r="R9" s="449"/>
      <c r="S9" s="449">
        <f t="shared" si="6"/>
        <v>0</v>
      </c>
      <c r="T9" s="449">
        <f t="shared" si="7"/>
        <v>0</v>
      </c>
      <c r="U9" s="449">
        <f t="shared" si="8"/>
        <v>240000</v>
      </c>
      <c r="V9" s="449"/>
      <c r="W9" s="449">
        <f t="shared" si="9"/>
        <v>240000</v>
      </c>
      <c r="X9" s="449"/>
      <c r="Y9" s="449"/>
      <c r="Z9" s="449"/>
      <c r="AA9" s="448"/>
      <c r="AB9" s="448" t="s">
        <v>748</v>
      </c>
      <c r="AC9" s="448">
        <v>829000</v>
      </c>
      <c r="AD9" s="671"/>
      <c r="AE9" s="449"/>
      <c r="AF9" s="449">
        <v>150000</v>
      </c>
      <c r="AG9" s="449"/>
      <c r="AH9" s="449"/>
      <c r="AI9" s="449"/>
      <c r="AJ9" s="449"/>
      <c r="AK9" s="449"/>
      <c r="AL9" s="449"/>
      <c r="AM9" s="449">
        <v>90000</v>
      </c>
      <c r="AN9" s="449">
        <f t="shared" si="11"/>
        <v>240000</v>
      </c>
      <c r="AO9" s="449">
        <f t="shared" si="10"/>
        <v>0</v>
      </c>
      <c r="AP9" s="449"/>
      <c r="AQ9" s="449">
        <f t="shared" si="12"/>
        <v>240000</v>
      </c>
      <c r="AR9" s="671"/>
      <c r="AS9" s="448"/>
      <c r="AT9" s="448"/>
      <c r="AU9" s="448"/>
      <c r="AV9" s="449"/>
      <c r="AW9" s="449">
        <f t="shared" si="13"/>
        <v>90000</v>
      </c>
      <c r="AX9" s="671"/>
      <c r="AY9" s="448"/>
      <c r="AZ9" s="448"/>
      <c r="BA9" s="448"/>
      <c r="BB9" s="449">
        <f t="shared" si="15"/>
        <v>240000</v>
      </c>
      <c r="BC9" s="449"/>
    </row>
    <row r="10" spans="1:66" s="452" customFormat="1" ht="30" customHeight="1">
      <c r="A10" s="448">
        <f t="shared" si="14"/>
        <v>5</v>
      </c>
      <c r="B10" s="448">
        <v>2031</v>
      </c>
      <c r="C10" s="448" t="s">
        <v>279</v>
      </c>
      <c r="D10" s="449">
        <v>2700000</v>
      </c>
      <c r="E10" s="449">
        <v>2700000</v>
      </c>
      <c r="F10" s="449">
        <f t="shared" si="0"/>
        <v>0</v>
      </c>
      <c r="G10" s="449">
        <v>2700000</v>
      </c>
      <c r="H10" s="449">
        <v>2571864</v>
      </c>
      <c r="I10" s="449">
        <v>0</v>
      </c>
      <c r="J10" s="449">
        <v>78599</v>
      </c>
      <c r="K10" s="449">
        <f t="shared" si="1"/>
        <v>78599</v>
      </c>
      <c r="L10" s="449">
        <f t="shared" si="2"/>
        <v>2650463</v>
      </c>
      <c r="M10" s="449">
        <f t="shared" si="3"/>
        <v>49537</v>
      </c>
      <c r="N10" s="449"/>
      <c r="O10" s="449">
        <f t="shared" si="4"/>
        <v>0</v>
      </c>
      <c r="P10" s="449">
        <f t="shared" si="5"/>
        <v>49537</v>
      </c>
      <c r="Q10" s="449"/>
      <c r="R10" s="449"/>
      <c r="S10" s="449">
        <f t="shared" si="6"/>
        <v>0</v>
      </c>
      <c r="T10" s="449">
        <f t="shared" si="7"/>
        <v>0</v>
      </c>
      <c r="U10" s="449">
        <f t="shared" si="8"/>
        <v>0</v>
      </c>
      <c r="V10" s="449"/>
      <c r="W10" s="449">
        <f t="shared" si="9"/>
        <v>0</v>
      </c>
      <c r="X10" s="449"/>
      <c r="Y10" s="449"/>
      <c r="Z10" s="449"/>
      <c r="AA10" s="448"/>
      <c r="AB10" s="448" t="s">
        <v>441</v>
      </c>
      <c r="AC10" s="448">
        <v>826000</v>
      </c>
      <c r="AD10" s="671"/>
      <c r="AE10" s="449"/>
      <c r="AF10" s="449"/>
      <c r="AG10" s="449"/>
      <c r="AH10" s="449"/>
      <c r="AI10" s="449"/>
      <c r="AJ10" s="449"/>
      <c r="AK10" s="449"/>
      <c r="AL10" s="449"/>
      <c r="AM10" s="449"/>
      <c r="AN10" s="449">
        <f t="shared" si="11"/>
        <v>0</v>
      </c>
      <c r="AO10" s="449">
        <f t="shared" si="10"/>
        <v>0</v>
      </c>
      <c r="AP10" s="449"/>
      <c r="AQ10" s="449">
        <f t="shared" si="12"/>
        <v>0</v>
      </c>
      <c r="AR10" s="671"/>
      <c r="AS10" s="448"/>
      <c r="AT10" s="448"/>
      <c r="AU10" s="448"/>
      <c r="AV10" s="449"/>
      <c r="AW10" s="449">
        <f t="shared" si="13"/>
        <v>0</v>
      </c>
      <c r="AX10" s="671"/>
      <c r="AY10" s="448"/>
      <c r="AZ10" s="448"/>
      <c r="BA10" s="448"/>
      <c r="BB10" s="449"/>
      <c r="BC10" s="449">
        <f>AN10</f>
        <v>0</v>
      </c>
    </row>
    <row r="11" spans="1:66" s="452" customFormat="1" ht="30" customHeight="1">
      <c r="A11" s="448">
        <f t="shared" si="14"/>
        <v>6</v>
      </c>
      <c r="B11" s="486">
        <v>2060</v>
      </c>
      <c r="C11" s="448" t="s">
        <v>334</v>
      </c>
      <c r="D11" s="449">
        <f>2521000+240000+110000</f>
        <v>2871000</v>
      </c>
      <c r="E11" s="449">
        <v>2521000</v>
      </c>
      <c r="F11" s="449">
        <f t="shared" si="0"/>
        <v>350000</v>
      </c>
      <c r="G11" s="449">
        <v>2521000</v>
      </c>
      <c r="H11" s="449">
        <v>2409520</v>
      </c>
      <c r="I11" s="449">
        <v>0</v>
      </c>
      <c r="J11" s="449"/>
      <c r="K11" s="449">
        <f t="shared" si="1"/>
        <v>0</v>
      </c>
      <c r="L11" s="449">
        <f t="shared" si="2"/>
        <v>2409520</v>
      </c>
      <c r="M11" s="449">
        <f t="shared" si="3"/>
        <v>111480</v>
      </c>
      <c r="N11" s="449">
        <v>350000</v>
      </c>
      <c r="O11" s="449">
        <f t="shared" si="4"/>
        <v>0</v>
      </c>
      <c r="P11" s="449">
        <f t="shared" si="5"/>
        <v>111480</v>
      </c>
      <c r="Q11" s="449"/>
      <c r="R11" s="449"/>
      <c r="S11" s="449">
        <f t="shared" si="6"/>
        <v>0</v>
      </c>
      <c r="T11" s="449">
        <f t="shared" si="7"/>
        <v>0</v>
      </c>
      <c r="U11" s="449">
        <f t="shared" si="8"/>
        <v>350000</v>
      </c>
      <c r="V11" s="449"/>
      <c r="W11" s="449">
        <f t="shared" si="9"/>
        <v>350000</v>
      </c>
      <c r="X11" s="449"/>
      <c r="Y11" s="449"/>
      <c r="Z11" s="449"/>
      <c r="AA11" s="449"/>
      <c r="AB11" s="448" t="s">
        <v>899</v>
      </c>
      <c r="AC11" s="448">
        <v>829000</v>
      </c>
      <c r="AD11" s="671"/>
      <c r="AE11" s="449">
        <v>350000</v>
      </c>
      <c r="AF11" s="449"/>
      <c r="AG11" s="449"/>
      <c r="AH11" s="449"/>
      <c r="AI11" s="449"/>
      <c r="AJ11" s="449"/>
      <c r="AK11" s="449"/>
      <c r="AL11" s="449"/>
      <c r="AM11" s="449"/>
      <c r="AN11" s="449">
        <f t="shared" si="11"/>
        <v>350000</v>
      </c>
      <c r="AO11" s="449">
        <f t="shared" si="10"/>
        <v>0</v>
      </c>
      <c r="AP11" s="449"/>
      <c r="AQ11" s="449">
        <f t="shared" si="12"/>
        <v>350000</v>
      </c>
      <c r="AR11" s="671"/>
      <c r="AS11" s="448"/>
      <c r="AT11" s="448"/>
      <c r="AU11" s="448"/>
      <c r="AV11" s="449"/>
      <c r="AW11" s="449">
        <f t="shared" si="13"/>
        <v>0</v>
      </c>
      <c r="AX11" s="671"/>
      <c r="AY11" s="448"/>
      <c r="AZ11" s="448"/>
      <c r="BA11" s="448"/>
      <c r="BB11" s="449">
        <f t="shared" si="15"/>
        <v>350000</v>
      </c>
      <c r="BC11" s="449"/>
    </row>
    <row r="12" spans="1:66" s="452" customFormat="1" ht="30" customHeight="1">
      <c r="A12" s="448">
        <f t="shared" si="14"/>
        <v>7</v>
      </c>
      <c r="B12" s="455">
        <v>20033</v>
      </c>
      <c r="C12" s="448" t="s">
        <v>749</v>
      </c>
      <c r="D12" s="449">
        <f>910000+360000+83000+132000</f>
        <v>1485000</v>
      </c>
      <c r="E12" s="449">
        <v>1125000</v>
      </c>
      <c r="F12" s="449">
        <f t="shared" si="0"/>
        <v>360000</v>
      </c>
      <c r="G12" s="449">
        <v>910000</v>
      </c>
      <c r="H12" s="449"/>
      <c r="I12" s="449"/>
      <c r="J12" s="449">
        <v>910000</v>
      </c>
      <c r="K12" s="449">
        <f>SUM(I12:J12)</f>
        <v>910000</v>
      </c>
      <c r="L12" s="449">
        <f t="shared" si="2"/>
        <v>910000</v>
      </c>
      <c r="M12" s="449">
        <f t="shared" si="3"/>
        <v>215000</v>
      </c>
      <c r="N12" s="449">
        <v>360000</v>
      </c>
      <c r="O12" s="449">
        <f t="shared" si="4"/>
        <v>0</v>
      </c>
      <c r="P12" s="449">
        <f t="shared" si="5"/>
        <v>0</v>
      </c>
      <c r="Q12" s="449"/>
      <c r="R12" s="482">
        <f>83000+132000</f>
        <v>215000</v>
      </c>
      <c r="S12" s="449">
        <f t="shared" si="6"/>
        <v>215000</v>
      </c>
      <c r="T12" s="449"/>
      <c r="U12" s="449">
        <f t="shared" si="8"/>
        <v>360000</v>
      </c>
      <c r="V12" s="449"/>
      <c r="W12" s="449">
        <f t="shared" si="9"/>
        <v>360000</v>
      </c>
      <c r="X12" s="449"/>
      <c r="Y12" s="449"/>
      <c r="Z12" s="449"/>
      <c r="AA12" s="449"/>
      <c r="AB12" s="448" t="s">
        <v>900</v>
      </c>
      <c r="AC12" s="448">
        <v>829000</v>
      </c>
      <c r="AD12" s="671"/>
      <c r="AE12" s="449">
        <v>277000</v>
      </c>
      <c r="AF12" s="449">
        <v>83000</v>
      </c>
      <c r="AG12" s="449"/>
      <c r="AH12" s="449"/>
      <c r="AI12" s="449"/>
      <c r="AJ12" s="449"/>
      <c r="AK12" s="449"/>
      <c r="AL12" s="449"/>
      <c r="AM12" s="449"/>
      <c r="AN12" s="449">
        <f t="shared" si="11"/>
        <v>360000</v>
      </c>
      <c r="AO12" s="449">
        <f t="shared" si="10"/>
        <v>0</v>
      </c>
      <c r="AP12" s="449"/>
      <c r="AQ12" s="449">
        <f t="shared" si="12"/>
        <v>360000</v>
      </c>
      <c r="AR12" s="671"/>
      <c r="AS12" s="448"/>
      <c r="AT12" s="448"/>
      <c r="AU12" s="448"/>
      <c r="AV12" s="449"/>
      <c r="AW12" s="449">
        <f t="shared" si="13"/>
        <v>0</v>
      </c>
      <c r="AX12" s="671"/>
      <c r="AY12" s="448"/>
      <c r="AZ12" s="448"/>
      <c r="BA12" s="448"/>
      <c r="BB12" s="449">
        <f t="shared" si="15"/>
        <v>360000</v>
      </c>
      <c r="BC12" s="449"/>
    </row>
    <row r="13" spans="1:66" s="452" customFormat="1" ht="55.2">
      <c r="A13" s="448">
        <f t="shared" si="14"/>
        <v>8</v>
      </c>
      <c r="B13" s="455">
        <v>20045</v>
      </c>
      <c r="C13" s="455" t="s">
        <v>1087</v>
      </c>
      <c r="D13" s="449">
        <f>370000+242000+150000+40000+25000+135000</f>
        <v>962000</v>
      </c>
      <c r="E13" s="449">
        <v>370000</v>
      </c>
      <c r="F13" s="449">
        <f t="shared" si="0"/>
        <v>592000</v>
      </c>
      <c r="G13" s="449">
        <v>370000</v>
      </c>
      <c r="H13" s="449">
        <v>105112</v>
      </c>
      <c r="I13" s="449">
        <v>0</v>
      </c>
      <c r="J13" s="449">
        <v>158593</v>
      </c>
      <c r="K13" s="449">
        <f>SUM(I13:J13)</f>
        <v>158593</v>
      </c>
      <c r="L13" s="449">
        <f t="shared" si="2"/>
        <v>263705</v>
      </c>
      <c r="M13" s="449">
        <f t="shared" si="3"/>
        <v>106295</v>
      </c>
      <c r="N13" s="449">
        <f>242000+150000+40000+25000+135000</f>
        <v>592000</v>
      </c>
      <c r="O13" s="449">
        <f t="shared" si="4"/>
        <v>0</v>
      </c>
      <c r="P13" s="449">
        <f t="shared" si="5"/>
        <v>106295</v>
      </c>
      <c r="Q13" s="449"/>
      <c r="R13" s="449"/>
      <c r="S13" s="449">
        <v>0</v>
      </c>
      <c r="T13" s="449">
        <f>P13-M13+S13</f>
        <v>0</v>
      </c>
      <c r="U13" s="449">
        <f t="shared" si="8"/>
        <v>592000</v>
      </c>
      <c r="V13" s="449"/>
      <c r="W13" s="449">
        <f t="shared" si="9"/>
        <v>592000</v>
      </c>
      <c r="X13" s="449"/>
      <c r="Y13" s="449"/>
      <c r="Z13" s="449"/>
      <c r="AA13" s="449"/>
      <c r="AB13" s="448" t="s">
        <v>901</v>
      </c>
      <c r="AC13" s="448">
        <v>829000</v>
      </c>
      <c r="AD13" s="671"/>
      <c r="AE13" s="449"/>
      <c r="AF13" s="449"/>
      <c r="AG13" s="449"/>
      <c r="AH13" s="449"/>
      <c r="AI13" s="449"/>
      <c r="AJ13" s="449"/>
      <c r="AK13" s="449">
        <v>442000</v>
      </c>
      <c r="AL13" s="449"/>
      <c r="AM13" s="449"/>
      <c r="AN13" s="449">
        <f t="shared" si="11"/>
        <v>442000</v>
      </c>
      <c r="AO13" s="449">
        <f t="shared" si="10"/>
        <v>150000</v>
      </c>
      <c r="AP13" s="449"/>
      <c r="AQ13" s="449">
        <f t="shared" si="12"/>
        <v>442000</v>
      </c>
      <c r="AR13" s="671"/>
      <c r="AS13" s="448"/>
      <c r="AT13" s="448"/>
      <c r="AU13" s="448"/>
      <c r="AV13" s="449"/>
      <c r="AW13" s="449">
        <f t="shared" si="13"/>
        <v>0</v>
      </c>
      <c r="AX13" s="671"/>
      <c r="AY13" s="448"/>
      <c r="AZ13" s="448"/>
      <c r="BA13" s="448"/>
      <c r="BB13" s="449">
        <f t="shared" si="15"/>
        <v>442000</v>
      </c>
      <c r="BC13" s="449"/>
    </row>
    <row r="14" spans="1:66" s="452" customFormat="1" ht="30" customHeight="1">
      <c r="A14" s="448">
        <f t="shared" si="14"/>
        <v>9</v>
      </c>
      <c r="B14" s="455">
        <v>20046</v>
      </c>
      <c r="C14" s="448" t="s">
        <v>644</v>
      </c>
      <c r="D14" s="449">
        <v>235000</v>
      </c>
      <c r="E14" s="449">
        <v>235000</v>
      </c>
      <c r="F14" s="449">
        <f t="shared" si="0"/>
        <v>0</v>
      </c>
      <c r="G14" s="449">
        <v>235000</v>
      </c>
      <c r="H14" s="449">
        <v>130927</v>
      </c>
      <c r="I14" s="449">
        <v>0</v>
      </c>
      <c r="J14" s="449">
        <v>0</v>
      </c>
      <c r="K14" s="449">
        <f>SUM(I14:J14)</f>
        <v>0</v>
      </c>
      <c r="L14" s="449">
        <f t="shared" si="2"/>
        <v>130927</v>
      </c>
      <c r="M14" s="449">
        <f t="shared" si="3"/>
        <v>104073</v>
      </c>
      <c r="N14" s="449"/>
      <c r="O14" s="449">
        <f t="shared" si="4"/>
        <v>0</v>
      </c>
      <c r="P14" s="449">
        <f t="shared" si="5"/>
        <v>104073</v>
      </c>
      <c r="Q14" s="449"/>
      <c r="R14" s="449"/>
      <c r="S14" s="449">
        <f>SUM(Q14:R14)</f>
        <v>0</v>
      </c>
      <c r="T14" s="449">
        <f>P14-M14+S14</f>
        <v>0</v>
      </c>
      <c r="U14" s="449">
        <f t="shared" si="8"/>
        <v>0</v>
      </c>
      <c r="V14" s="449"/>
      <c r="W14" s="449">
        <f t="shared" si="9"/>
        <v>0</v>
      </c>
      <c r="X14" s="449"/>
      <c r="Y14" s="449"/>
      <c r="Z14" s="449"/>
      <c r="AA14" s="449"/>
      <c r="AB14" s="448" t="s">
        <v>645</v>
      </c>
      <c r="AC14" s="448">
        <v>829000</v>
      </c>
      <c r="AD14" s="671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>
        <f t="shared" si="11"/>
        <v>0</v>
      </c>
      <c r="AO14" s="449">
        <f t="shared" si="10"/>
        <v>0</v>
      </c>
      <c r="AP14" s="449"/>
      <c r="AQ14" s="449">
        <f t="shared" si="12"/>
        <v>0</v>
      </c>
      <c r="AR14" s="671"/>
      <c r="AS14" s="448"/>
      <c r="AT14" s="448"/>
      <c r="AU14" s="448"/>
      <c r="AV14" s="449"/>
      <c r="AW14" s="449">
        <f t="shared" si="13"/>
        <v>0</v>
      </c>
      <c r="AX14" s="671"/>
      <c r="AY14" s="448"/>
      <c r="AZ14" s="448"/>
      <c r="BA14" s="448"/>
      <c r="BB14" s="449">
        <f t="shared" si="15"/>
        <v>0</v>
      </c>
      <c r="BC14" s="449"/>
    </row>
    <row r="15" spans="1:66" s="452" customFormat="1" ht="30" customHeight="1">
      <c r="A15" s="448">
        <f t="shared" si="14"/>
        <v>10</v>
      </c>
      <c r="B15" s="455">
        <v>20075</v>
      </c>
      <c r="C15" s="448" t="s">
        <v>750</v>
      </c>
      <c r="D15" s="449">
        <f>550000-250000</f>
        <v>300000</v>
      </c>
      <c r="E15" s="449"/>
      <c r="F15" s="449">
        <f>D15-E15</f>
        <v>300000</v>
      </c>
      <c r="G15" s="449">
        <v>0</v>
      </c>
      <c r="H15" s="449">
        <v>0</v>
      </c>
      <c r="I15" s="449">
        <v>0</v>
      </c>
      <c r="J15" s="449">
        <v>0</v>
      </c>
      <c r="K15" s="449"/>
      <c r="L15" s="449"/>
      <c r="M15" s="449">
        <f>P15+S15</f>
        <v>0</v>
      </c>
      <c r="N15" s="449">
        <f>550000-250000</f>
        <v>300000</v>
      </c>
      <c r="O15" s="449">
        <f>D15-L15-M15-N15</f>
        <v>0</v>
      </c>
      <c r="P15" s="449"/>
      <c r="Q15" s="449"/>
      <c r="R15" s="449"/>
      <c r="S15" s="449"/>
      <c r="T15" s="449"/>
      <c r="U15" s="449">
        <f>N15-T15</f>
        <v>300000</v>
      </c>
      <c r="V15" s="449"/>
      <c r="W15" s="449">
        <f>U15-V15-Z15-AA15</f>
        <v>300000</v>
      </c>
      <c r="X15" s="449"/>
      <c r="Y15" s="449"/>
      <c r="Z15" s="449"/>
      <c r="AA15" s="449"/>
      <c r="AB15" s="448" t="s">
        <v>751</v>
      </c>
      <c r="AC15" s="448">
        <v>826000</v>
      </c>
      <c r="AD15" s="671"/>
      <c r="AE15" s="449">
        <v>100000</v>
      </c>
      <c r="AF15" s="449"/>
      <c r="AG15" s="449"/>
      <c r="AH15" s="449"/>
      <c r="AI15" s="449"/>
      <c r="AJ15" s="449">
        <v>200000</v>
      </c>
      <c r="AK15" s="449"/>
      <c r="AL15" s="449"/>
      <c r="AM15" s="449"/>
      <c r="AN15" s="449">
        <f t="shared" si="11"/>
        <v>300000</v>
      </c>
      <c r="AO15" s="449">
        <f t="shared" si="10"/>
        <v>0</v>
      </c>
      <c r="AP15" s="449"/>
      <c r="AQ15" s="449">
        <f t="shared" si="12"/>
        <v>300000</v>
      </c>
      <c r="AR15" s="671"/>
      <c r="AS15" s="448"/>
      <c r="AT15" s="448"/>
      <c r="AU15" s="448"/>
      <c r="AV15" s="449"/>
      <c r="AW15" s="449">
        <f t="shared" si="13"/>
        <v>0</v>
      </c>
      <c r="AX15" s="671"/>
      <c r="AY15" s="448"/>
      <c r="AZ15" s="448"/>
      <c r="BA15" s="448"/>
      <c r="BB15" s="449"/>
      <c r="BC15" s="449">
        <f>AN15</f>
        <v>300000</v>
      </c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</row>
    <row r="16" spans="1:66" s="456" customFormat="1" ht="30" customHeight="1">
      <c r="A16" s="512">
        <f>A15</f>
        <v>10</v>
      </c>
      <c r="B16" s="454"/>
      <c r="C16" s="513" t="s">
        <v>320</v>
      </c>
      <c r="D16" s="425">
        <f t="shared" ref="D16:BC16" si="16">SUM(D6:D15)</f>
        <v>23908365</v>
      </c>
      <c r="E16" s="425">
        <f t="shared" si="16"/>
        <v>21311365</v>
      </c>
      <c r="F16" s="425">
        <f t="shared" si="16"/>
        <v>2597000</v>
      </c>
      <c r="G16" s="425">
        <f t="shared" si="16"/>
        <v>18255365</v>
      </c>
      <c r="H16" s="425">
        <f t="shared" si="16"/>
        <v>16004642</v>
      </c>
      <c r="I16" s="425">
        <f t="shared" si="16"/>
        <v>0</v>
      </c>
      <c r="J16" s="425">
        <f t="shared" si="16"/>
        <v>1497947</v>
      </c>
      <c r="K16" s="425">
        <f t="shared" si="16"/>
        <v>1497947</v>
      </c>
      <c r="L16" s="425">
        <f t="shared" si="16"/>
        <v>17502589</v>
      </c>
      <c r="M16" s="425">
        <f t="shared" si="16"/>
        <v>1667776</v>
      </c>
      <c r="N16" s="425">
        <f t="shared" si="16"/>
        <v>3117000</v>
      </c>
      <c r="O16" s="425">
        <f t="shared" si="16"/>
        <v>1621000</v>
      </c>
      <c r="P16" s="425">
        <f t="shared" si="16"/>
        <v>752776</v>
      </c>
      <c r="Q16" s="425">
        <f t="shared" si="16"/>
        <v>700000</v>
      </c>
      <c r="R16" s="425">
        <f t="shared" si="16"/>
        <v>215000</v>
      </c>
      <c r="S16" s="425">
        <f t="shared" si="16"/>
        <v>915000</v>
      </c>
      <c r="T16" s="425">
        <f t="shared" si="16"/>
        <v>0</v>
      </c>
      <c r="U16" s="425">
        <f t="shared" si="16"/>
        <v>3117000</v>
      </c>
      <c r="V16" s="425">
        <f t="shared" si="16"/>
        <v>0</v>
      </c>
      <c r="W16" s="425">
        <f t="shared" si="16"/>
        <v>3117000</v>
      </c>
      <c r="X16" s="425">
        <f t="shared" si="16"/>
        <v>0</v>
      </c>
      <c r="Y16" s="425">
        <f t="shared" si="16"/>
        <v>0</v>
      </c>
      <c r="Z16" s="425">
        <f t="shared" si="16"/>
        <v>0</v>
      </c>
      <c r="AA16" s="425">
        <f t="shared" si="16"/>
        <v>0</v>
      </c>
      <c r="AB16" s="425">
        <f t="shared" si="16"/>
        <v>0</v>
      </c>
      <c r="AC16" s="425">
        <f t="shared" si="16"/>
        <v>8385000</v>
      </c>
      <c r="AD16" s="425">
        <f t="shared" si="16"/>
        <v>0</v>
      </c>
      <c r="AE16" s="425">
        <f>SUM(AE6:AE15)</f>
        <v>727000</v>
      </c>
      <c r="AF16" s="425">
        <f>SUM(AF6:AF15)</f>
        <v>233000</v>
      </c>
      <c r="AG16" s="425">
        <f t="shared" si="16"/>
        <v>600000</v>
      </c>
      <c r="AH16" s="425">
        <f t="shared" ref="AH16:AM16" si="17">SUM(AH6:AH15)</f>
        <v>275000</v>
      </c>
      <c r="AI16" s="425">
        <f t="shared" si="17"/>
        <v>0</v>
      </c>
      <c r="AJ16" s="425">
        <f t="shared" si="17"/>
        <v>400000</v>
      </c>
      <c r="AK16" s="425">
        <f t="shared" si="17"/>
        <v>442000</v>
      </c>
      <c r="AL16" s="425">
        <f t="shared" si="17"/>
        <v>0</v>
      </c>
      <c r="AM16" s="425">
        <f t="shared" si="17"/>
        <v>170000</v>
      </c>
      <c r="AN16" s="425">
        <f t="shared" si="16"/>
        <v>2847000</v>
      </c>
      <c r="AO16" s="425">
        <f t="shared" si="16"/>
        <v>270000</v>
      </c>
      <c r="AP16" s="425">
        <f t="shared" si="16"/>
        <v>0</v>
      </c>
      <c r="AQ16" s="425">
        <f t="shared" si="16"/>
        <v>2847000</v>
      </c>
      <c r="AR16" s="425">
        <f t="shared" si="16"/>
        <v>0</v>
      </c>
      <c r="AS16" s="425">
        <f t="shared" si="16"/>
        <v>0</v>
      </c>
      <c r="AT16" s="425">
        <f t="shared" si="16"/>
        <v>0</v>
      </c>
      <c r="AU16" s="425">
        <f t="shared" si="16"/>
        <v>0</v>
      </c>
      <c r="AV16" s="425">
        <f t="shared" si="16"/>
        <v>0</v>
      </c>
      <c r="AW16" s="425">
        <f t="shared" si="16"/>
        <v>170000</v>
      </c>
      <c r="AX16" s="425">
        <f t="shared" si="16"/>
        <v>0</v>
      </c>
      <c r="AY16" s="425">
        <f t="shared" si="16"/>
        <v>0</v>
      </c>
      <c r="AZ16" s="425">
        <f t="shared" si="16"/>
        <v>0</v>
      </c>
      <c r="BA16" s="425">
        <f t="shared" si="16"/>
        <v>0</v>
      </c>
      <c r="BB16" s="425">
        <f t="shared" si="16"/>
        <v>1967000</v>
      </c>
      <c r="BC16" s="425">
        <f t="shared" si="16"/>
        <v>880000</v>
      </c>
      <c r="BD16" s="374"/>
      <c r="BE16" s="374"/>
      <c r="BF16" s="374"/>
      <c r="BG16" s="374"/>
      <c r="BH16" s="374"/>
      <c r="BI16" s="374"/>
      <c r="BJ16" s="374"/>
      <c r="BK16" s="374"/>
      <c r="BL16" s="374"/>
      <c r="BM16" s="374"/>
      <c r="BN16" s="374"/>
    </row>
    <row r="17" spans="2:66" s="475" customFormat="1" hidden="1">
      <c r="B17" s="424"/>
      <c r="C17" s="424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4"/>
      <c r="V17" s="424"/>
      <c r="W17" s="424"/>
      <c r="X17" s="424"/>
      <c r="Y17" s="424"/>
      <c r="Z17" s="424"/>
      <c r="AA17" s="424"/>
      <c r="AC17" s="424"/>
      <c r="AD17" s="670"/>
      <c r="AE17" s="670"/>
      <c r="AF17" s="670"/>
      <c r="AG17" s="670"/>
      <c r="AH17" s="670"/>
      <c r="AI17" s="670"/>
      <c r="AJ17" s="670"/>
      <c r="AK17" s="670"/>
      <c r="AL17" s="670"/>
      <c r="AM17" s="670"/>
      <c r="AN17" s="670"/>
      <c r="AO17" s="670"/>
      <c r="AP17" s="670"/>
      <c r="AQ17" s="670"/>
      <c r="AR17" s="670"/>
      <c r="AS17" s="424"/>
      <c r="AT17" s="424"/>
      <c r="AU17" s="424"/>
      <c r="AV17" s="670"/>
      <c r="AW17" s="670"/>
      <c r="AX17" s="670"/>
      <c r="AY17" s="424"/>
      <c r="AZ17" s="424"/>
      <c r="BA17" s="424"/>
      <c r="BB17" s="424"/>
      <c r="BC17" s="424"/>
      <c r="BD17" s="424"/>
      <c r="BE17" s="424"/>
      <c r="BF17" s="424"/>
      <c r="BG17" s="424"/>
      <c r="BH17" s="424"/>
      <c r="BI17" s="424"/>
      <c r="BJ17" s="424"/>
      <c r="BK17" s="424"/>
      <c r="BL17" s="424"/>
      <c r="BM17" s="424"/>
      <c r="BN17" s="424"/>
    </row>
    <row r="18" spans="2:66" s="475" customFormat="1" hidden="1">
      <c r="B18" s="424"/>
      <c r="C18" s="424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48" t="s">
        <v>1085</v>
      </c>
      <c r="U18" s="461">
        <f>U7+U8+U9+U11+U12+U13</f>
        <v>2117000</v>
      </c>
      <c r="V18" s="424"/>
      <c r="W18" s="424"/>
      <c r="X18" s="424"/>
      <c r="Y18" s="424"/>
      <c r="Z18" s="424"/>
      <c r="AA18" s="424"/>
      <c r="AC18" s="424"/>
      <c r="AD18" s="670"/>
      <c r="AE18" s="670"/>
      <c r="AF18" s="670"/>
      <c r="AG18" s="670"/>
      <c r="AH18" s="670"/>
      <c r="AI18" s="670"/>
      <c r="AJ18" s="670"/>
      <c r="AK18" s="670"/>
      <c r="AL18" s="670"/>
      <c r="AM18" s="448" t="s">
        <v>1085</v>
      </c>
      <c r="AN18" s="449">
        <f>AN7+AN8+AN9+AN11+AN12+AN13</f>
        <v>1967000</v>
      </c>
      <c r="AO18" s="670"/>
      <c r="AP18" s="670"/>
      <c r="AQ18" s="670"/>
      <c r="AR18" s="670"/>
      <c r="AS18" s="424"/>
      <c r="AT18" s="424"/>
      <c r="AU18" s="424"/>
      <c r="AV18" s="670"/>
      <c r="AW18" s="670"/>
      <c r="AX18" s="670"/>
      <c r="AY18" s="424"/>
      <c r="AZ18" s="424"/>
      <c r="BA18" s="424"/>
      <c r="BB18" s="424"/>
      <c r="BC18" s="424"/>
      <c r="BD18" s="424"/>
      <c r="BE18" s="424"/>
      <c r="BF18" s="424"/>
      <c r="BG18" s="424"/>
      <c r="BH18" s="424"/>
      <c r="BI18" s="424"/>
      <c r="BJ18" s="424"/>
      <c r="BK18" s="424"/>
      <c r="BL18" s="424"/>
      <c r="BM18" s="424"/>
      <c r="BN18" s="424"/>
    </row>
    <row r="19" spans="2:66" s="475" customFormat="1" hidden="1">
      <c r="B19" s="424"/>
      <c r="C19" s="424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S19" s="423"/>
      <c r="T19" s="448" t="s">
        <v>1086</v>
      </c>
      <c r="U19" s="461">
        <f>U15+U6</f>
        <v>1000000</v>
      </c>
      <c r="V19" s="424"/>
      <c r="W19" s="424"/>
      <c r="X19" s="424"/>
      <c r="Y19" s="424"/>
      <c r="Z19" s="424"/>
      <c r="AA19" s="424"/>
      <c r="AC19" s="424"/>
      <c r="AD19" s="670"/>
      <c r="AE19" s="670"/>
      <c r="AF19" s="670"/>
      <c r="AG19" s="670"/>
      <c r="AH19" s="670"/>
      <c r="AI19" s="670"/>
      <c r="AJ19" s="670"/>
      <c r="AK19" s="670"/>
      <c r="AL19" s="670"/>
      <c r="AM19" s="448" t="s">
        <v>1086</v>
      </c>
      <c r="AN19" s="449">
        <f>AN15+AN6</f>
        <v>880000</v>
      </c>
      <c r="AO19" s="670"/>
      <c r="AP19" s="670"/>
      <c r="AQ19" s="670"/>
      <c r="AR19" s="670"/>
      <c r="AS19" s="424"/>
      <c r="AT19" s="424"/>
      <c r="AU19" s="424"/>
      <c r="AV19" s="670"/>
      <c r="AW19" s="670"/>
      <c r="AX19" s="670"/>
      <c r="AY19" s="424"/>
      <c r="AZ19" s="424"/>
      <c r="BA19" s="424"/>
      <c r="BB19" s="424"/>
      <c r="BC19" s="424"/>
      <c r="BD19" s="424"/>
      <c r="BE19" s="424"/>
      <c r="BF19" s="424"/>
      <c r="BG19" s="424"/>
      <c r="BH19" s="424"/>
      <c r="BI19" s="424"/>
      <c r="BJ19" s="424"/>
      <c r="BK19" s="424"/>
      <c r="BL19" s="424"/>
      <c r="BM19" s="424"/>
      <c r="BN19" s="424"/>
    </row>
    <row r="20" spans="2:66" hidden="1">
      <c r="T20" s="448"/>
      <c r="U20" s="461">
        <f>SUM(U18:U19)</f>
        <v>3117000</v>
      </c>
      <c r="AM20" s="448"/>
      <c r="AN20" s="449">
        <f>SUM(AN18:AN19)</f>
        <v>2847000</v>
      </c>
    </row>
    <row r="21" spans="2:66" hidden="1"/>
    <row r="22" spans="2:66" hidden="1"/>
    <row r="23" spans="2:66" hidden="1"/>
    <row r="24" spans="2:66" hidden="1"/>
    <row r="25" spans="2:66" hidden="1"/>
  </sheetData>
  <sheetProtection formatCells="0" formatColumns="0" formatRows="0" insertColumns="0" insertRows="0" insertHyperlinks="0" deleteColumns="0" deleteRows="0" sort="0" autoFilter="0" pivotTables="0"/>
  <mergeCells count="5">
    <mergeCell ref="V4:AA4"/>
    <mergeCell ref="AD4:AO4"/>
    <mergeCell ref="AP4:AU4"/>
    <mergeCell ref="AV4:BA4"/>
    <mergeCell ref="T4:U4"/>
  </mergeCells>
  <conditionalFormatting sqref="A1 AD1:AD3 AD17:AD1048576 AD6:AD15 AG8 AG17:AG1048576 AG1:AG3 AN1:AU3 AN17:AR17 AN21:AR1048576 AO18:AR20 BB1:XFD3 AR6:AR15">
    <cfRule type="cellIs" dxfId="72" priority="15" operator="equal">
      <formula>0</formula>
    </cfRule>
  </conditionalFormatting>
  <conditionalFormatting sqref="AQ1:AQ3">
    <cfRule type="cellIs" dxfId="71" priority="14" operator="equal">
      <formula>0</formula>
    </cfRule>
  </conditionalFormatting>
  <conditionalFormatting sqref="AP1:AP3">
    <cfRule type="cellIs" dxfId="70" priority="13" operator="equal">
      <formula>0</formula>
    </cfRule>
  </conditionalFormatting>
  <conditionalFormatting sqref="AE6:AE8 AE17:AE1048576 AE1:AE3">
    <cfRule type="cellIs" dxfId="69" priority="12" operator="equal">
      <formula>0</formula>
    </cfRule>
  </conditionalFormatting>
  <conditionalFormatting sqref="AF6:AF8 AF17:AF1048576 AF1:AF3">
    <cfRule type="cellIs" dxfId="68" priority="11" operator="equal">
      <formula>0</formula>
    </cfRule>
  </conditionalFormatting>
  <conditionalFormatting sqref="AM17 AM1:AM3 AM21:AM1048576">
    <cfRule type="cellIs" dxfId="67" priority="10" operator="equal">
      <formula>0</formula>
    </cfRule>
  </conditionalFormatting>
  <conditionalFormatting sqref="AH17:AH1048576 AH1:AH3">
    <cfRule type="cellIs" dxfId="66" priority="9" operator="equal">
      <formula>0</formula>
    </cfRule>
  </conditionalFormatting>
  <conditionalFormatting sqref="AI17:AI1048576 AI1:AI3">
    <cfRule type="cellIs" dxfId="65" priority="8" operator="equal">
      <formula>0</formula>
    </cfRule>
  </conditionalFormatting>
  <conditionalFormatting sqref="AJ17:AJ1048576 AJ1:AJ3">
    <cfRule type="cellIs" dxfId="64" priority="7" operator="equal">
      <formula>0</formula>
    </cfRule>
  </conditionalFormatting>
  <conditionalFormatting sqref="AK17:AK1048576 AK1:AK3">
    <cfRule type="cellIs" dxfId="63" priority="6" operator="equal">
      <formula>0</formula>
    </cfRule>
  </conditionalFormatting>
  <conditionalFormatting sqref="AL17:AL1048576 AL1:AL3">
    <cfRule type="cellIs" dxfId="62" priority="5" operator="equal">
      <formula>0</formula>
    </cfRule>
  </conditionalFormatting>
  <conditionalFormatting sqref="AV1:BA3 AV17:AX1048576 AX6:AX15">
    <cfRule type="cellIs" dxfId="61" priority="4" operator="equal">
      <formula>0</formula>
    </cfRule>
  </conditionalFormatting>
  <conditionalFormatting sqref="AW1:AW3">
    <cfRule type="cellIs" dxfId="60" priority="3" operator="equal">
      <formula>0</formula>
    </cfRule>
  </conditionalFormatting>
  <conditionalFormatting sqref="AV1:AV3">
    <cfRule type="cellIs" dxfId="59" priority="2" operator="equal">
      <formula>0</formula>
    </cfRule>
  </conditionalFormatting>
  <conditionalFormatting sqref="A2:A3">
    <cfRule type="cellIs" dxfId="58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"/>
  <sheetViews>
    <sheetView showZeros="0" rightToLeft="1" zoomScaleNormal="100" workbookViewId="0">
      <pane xSplit="3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8"/>
  <cols>
    <col min="1" max="1" width="3.6640625" style="464" customWidth="1"/>
    <col min="2" max="2" width="5.6640625" style="465" customWidth="1"/>
    <col min="3" max="3" width="25.88671875" style="465" customWidth="1"/>
    <col min="4" max="19" width="9.6640625" style="467" hidden="1" customWidth="1"/>
    <col min="20" max="20" width="10.6640625" style="467" customWidth="1"/>
    <col min="21" max="21" width="10.6640625" style="465" customWidth="1"/>
    <col min="22" max="23" width="11.6640625" style="465" customWidth="1"/>
    <col min="24" max="26" width="9.6640625" style="465" hidden="1" customWidth="1"/>
    <col min="27" max="27" width="11.6640625" style="465" customWidth="1"/>
    <col min="28" max="28" width="29.5546875" style="465" hidden="1" customWidth="1"/>
    <col min="29" max="29" width="9.6640625" style="465" hidden="1" customWidth="1"/>
    <col min="30" max="39" width="10.6640625" style="551" hidden="1" customWidth="1"/>
    <col min="40" max="40" width="10.6640625" style="551" customWidth="1"/>
    <col min="41" max="41" width="10.6640625" style="542" customWidth="1"/>
    <col min="42" max="42" width="13.109375" style="465" customWidth="1"/>
    <col min="43" max="43" width="12.44140625" style="465" customWidth="1"/>
    <col min="44" max="46" width="10.6640625" style="465" hidden="1" customWidth="1"/>
    <col min="47" max="47" width="12.88671875" style="465" customWidth="1"/>
    <col min="48" max="53" width="10.6640625" style="465" hidden="1" customWidth="1"/>
    <col min="54" max="16384" width="9.109375" style="465"/>
  </cols>
  <sheetData>
    <row r="1" spans="1:53" s="542" customFormat="1">
      <c r="A1" s="544"/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1"/>
      <c r="Y1" s="541"/>
      <c r="Z1" s="54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</row>
    <row r="2" spans="1:53">
      <c r="A2" s="154" t="s">
        <v>1102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53">
      <c r="A3" s="154"/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53" ht="16.2" customHeight="1"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D4" s="909" t="s">
        <v>198</v>
      </c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1"/>
      <c r="AP4" s="912" t="s">
        <v>1096</v>
      </c>
      <c r="AQ4" s="912"/>
      <c r="AR4" s="912"/>
      <c r="AS4" s="912"/>
      <c r="AT4" s="912"/>
      <c r="AU4" s="912"/>
      <c r="AV4" s="878" t="s">
        <v>1097</v>
      </c>
      <c r="AW4" s="878"/>
      <c r="AX4" s="878"/>
      <c r="AY4" s="878"/>
      <c r="AZ4" s="878"/>
      <c r="BA4" s="878"/>
    </row>
    <row r="5" spans="1:53" s="487" customFormat="1" ht="69">
      <c r="A5" s="624" t="s">
        <v>0</v>
      </c>
      <c r="B5" s="624" t="s">
        <v>1</v>
      </c>
      <c r="C5" s="624" t="s">
        <v>2</v>
      </c>
      <c r="D5" s="624" t="s">
        <v>3</v>
      </c>
      <c r="E5" s="624" t="s">
        <v>4</v>
      </c>
      <c r="F5" s="624" t="s">
        <v>5</v>
      </c>
      <c r="G5" s="624" t="s">
        <v>6</v>
      </c>
      <c r="H5" s="624" t="s">
        <v>7</v>
      </c>
      <c r="I5" s="624" t="s">
        <v>9</v>
      </c>
      <c r="J5" s="624" t="s">
        <v>125</v>
      </c>
      <c r="K5" s="624" t="s">
        <v>10</v>
      </c>
      <c r="L5" s="624" t="s">
        <v>11</v>
      </c>
      <c r="M5" s="624" t="s">
        <v>707</v>
      </c>
      <c r="N5" s="624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624" t="s">
        <v>13</v>
      </c>
      <c r="W5" s="624" t="s">
        <v>14</v>
      </c>
      <c r="X5" s="624" t="s">
        <v>15</v>
      </c>
      <c r="Y5" s="624" t="s">
        <v>214</v>
      </c>
      <c r="Z5" s="624" t="s">
        <v>502</v>
      </c>
      <c r="AA5" s="624" t="s">
        <v>75</v>
      </c>
      <c r="AB5" s="420" t="s">
        <v>242</v>
      </c>
      <c r="AC5" s="624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628" customFormat="1" ht="30" customHeight="1">
      <c r="A6" s="469">
        <v>1</v>
      </c>
      <c r="B6" s="469">
        <v>1519</v>
      </c>
      <c r="C6" s="469" t="s">
        <v>73</v>
      </c>
      <c r="D6" s="419">
        <v>8493000</v>
      </c>
      <c r="E6" s="419">
        <v>8493000</v>
      </c>
      <c r="F6" s="419">
        <f>D6-E6</f>
        <v>0</v>
      </c>
      <c r="G6" s="419">
        <v>3451068</v>
      </c>
      <c r="H6" s="419">
        <v>3440609</v>
      </c>
      <c r="I6" s="419">
        <v>0</v>
      </c>
      <c r="J6" s="419">
        <v>0</v>
      </c>
      <c r="K6" s="419">
        <f>SUM(I6:J6)</f>
        <v>0</v>
      </c>
      <c r="L6" s="419">
        <f>H6+K6</f>
        <v>3440609</v>
      </c>
      <c r="M6" s="419">
        <f>P6+S6</f>
        <v>10459</v>
      </c>
      <c r="N6" s="419">
        <v>1600000</v>
      </c>
      <c r="O6" s="419">
        <f>D6-L6-M6-N6</f>
        <v>3441932</v>
      </c>
      <c r="P6" s="419">
        <f>G6-L6</f>
        <v>10459</v>
      </c>
      <c r="Q6" s="419"/>
      <c r="R6" s="419"/>
      <c r="S6" s="419">
        <f>SUM(Q6:R6)</f>
        <v>0</v>
      </c>
      <c r="T6" s="419">
        <f>P6-M6+S6</f>
        <v>0</v>
      </c>
      <c r="U6" s="672">
        <f>N6-T6</f>
        <v>1600000</v>
      </c>
      <c r="V6" s="419">
        <f>U6-AA6</f>
        <v>859101</v>
      </c>
      <c r="W6" s="419"/>
      <c r="X6" s="419"/>
      <c r="Y6" s="419"/>
      <c r="Z6" s="419"/>
      <c r="AA6" s="419">
        <f>987865-246966</f>
        <v>740899</v>
      </c>
      <c r="AB6" s="469" t="s">
        <v>646</v>
      </c>
      <c r="AC6" s="469">
        <v>732000</v>
      </c>
      <c r="AD6" s="419"/>
      <c r="AE6" s="419"/>
      <c r="AF6" s="419">
        <v>859101</v>
      </c>
      <c r="AG6" s="419"/>
      <c r="AH6" s="419"/>
      <c r="AI6" s="419">
        <v>377113</v>
      </c>
      <c r="AJ6" s="419"/>
      <c r="AK6" s="419"/>
      <c r="AL6" s="419"/>
      <c r="AM6" s="419"/>
      <c r="AN6" s="449">
        <f>SUM(AD6:AM6)</f>
        <v>1236214</v>
      </c>
      <c r="AO6" s="449">
        <f>U6-AN6</f>
        <v>363786</v>
      </c>
      <c r="AP6" s="449">
        <f>AN6-AU6</f>
        <v>859101</v>
      </c>
      <c r="AQ6" s="449"/>
      <c r="AR6" s="449"/>
      <c r="AS6" s="449"/>
      <c r="AT6" s="449"/>
      <c r="AU6" s="449">
        <v>377113</v>
      </c>
      <c r="AV6" s="449">
        <f>AM6-BA6</f>
        <v>0</v>
      </c>
      <c r="AW6" s="449"/>
      <c r="AX6" s="449"/>
      <c r="AY6" s="449"/>
      <c r="AZ6" s="449"/>
      <c r="BA6" s="449"/>
    </row>
    <row r="7" spans="1:53" s="548" customFormat="1" ht="30" customHeight="1">
      <c r="A7" s="469">
        <f>A6+1</f>
        <v>2</v>
      </c>
      <c r="B7" s="469">
        <v>1867</v>
      </c>
      <c r="C7" s="469" t="s">
        <v>111</v>
      </c>
      <c r="D7" s="419">
        <f>1520000-950000</f>
        <v>570000</v>
      </c>
      <c r="E7" s="419">
        <v>1520000</v>
      </c>
      <c r="F7" s="419">
        <f>D7-E7</f>
        <v>-950000</v>
      </c>
      <c r="G7" s="419">
        <v>570000</v>
      </c>
      <c r="H7" s="419">
        <v>369131</v>
      </c>
      <c r="I7" s="419">
        <v>0</v>
      </c>
      <c r="J7" s="419">
        <v>0</v>
      </c>
      <c r="K7" s="419">
        <f>SUM(I7:J7)</f>
        <v>0</v>
      </c>
      <c r="L7" s="419">
        <f>H7+K7</f>
        <v>369131</v>
      </c>
      <c r="M7" s="419">
        <f>P7+S7</f>
        <v>200869</v>
      </c>
      <c r="N7" s="419"/>
      <c r="O7" s="419">
        <f>D7-L7-M7-N7</f>
        <v>0</v>
      </c>
      <c r="P7" s="419">
        <f>G7-L7</f>
        <v>200869</v>
      </c>
      <c r="Q7" s="419"/>
      <c r="R7" s="419"/>
      <c r="S7" s="419">
        <f>SUM(Q7:R7)</f>
        <v>0</v>
      </c>
      <c r="T7" s="419">
        <f>P7-M7+S7</f>
        <v>0</v>
      </c>
      <c r="U7" s="672">
        <f>N7-T7</f>
        <v>0</v>
      </c>
      <c r="V7" s="419">
        <f>U7</f>
        <v>0</v>
      </c>
      <c r="W7" s="419"/>
      <c r="X7" s="419"/>
      <c r="Y7" s="419"/>
      <c r="Z7" s="419"/>
      <c r="AA7" s="419">
        <f>987864-987864</f>
        <v>0</v>
      </c>
      <c r="AB7" s="469" t="s">
        <v>804</v>
      </c>
      <c r="AC7" s="469">
        <v>732000</v>
      </c>
      <c r="AD7" s="419"/>
      <c r="AE7" s="419"/>
      <c r="AF7" s="419"/>
      <c r="AG7" s="419"/>
      <c r="AH7" s="419"/>
      <c r="AI7" s="419"/>
      <c r="AJ7" s="419"/>
      <c r="AK7" s="419"/>
      <c r="AL7" s="419"/>
      <c r="AM7" s="419"/>
      <c r="AN7" s="449">
        <f>SUM(AD7:AM7)</f>
        <v>0</v>
      </c>
      <c r="AO7" s="449">
        <f>U7-AN7</f>
        <v>0</v>
      </c>
      <c r="AP7" s="449">
        <f>AN7-AU7</f>
        <v>0</v>
      </c>
      <c r="AQ7" s="449"/>
      <c r="AR7" s="449"/>
      <c r="AS7" s="449"/>
      <c r="AT7" s="449"/>
      <c r="AU7" s="449"/>
      <c r="AV7" s="449">
        <f>AM7-BA7</f>
        <v>0</v>
      </c>
      <c r="AW7" s="449"/>
      <c r="AX7" s="449"/>
      <c r="AY7" s="449"/>
      <c r="AZ7" s="449"/>
      <c r="BA7" s="449"/>
    </row>
    <row r="8" spans="1:53" s="551" customFormat="1" ht="30" customHeight="1">
      <c r="A8" s="549">
        <f>A7</f>
        <v>2</v>
      </c>
      <c r="B8" s="549"/>
      <c r="C8" s="454" t="s">
        <v>212</v>
      </c>
      <c r="D8" s="550">
        <f t="shared" ref="D8:BA8" si="0">SUM(D6:D7)</f>
        <v>9063000</v>
      </c>
      <c r="E8" s="550">
        <f t="shared" si="0"/>
        <v>10013000</v>
      </c>
      <c r="F8" s="550">
        <f t="shared" si="0"/>
        <v>-950000</v>
      </c>
      <c r="G8" s="550">
        <f t="shared" si="0"/>
        <v>4021068</v>
      </c>
      <c r="H8" s="550">
        <f t="shared" si="0"/>
        <v>3809740</v>
      </c>
      <c r="I8" s="550">
        <f t="shared" si="0"/>
        <v>0</v>
      </c>
      <c r="J8" s="550">
        <f t="shared" si="0"/>
        <v>0</v>
      </c>
      <c r="K8" s="550">
        <f t="shared" si="0"/>
        <v>0</v>
      </c>
      <c r="L8" s="550">
        <f t="shared" si="0"/>
        <v>3809740</v>
      </c>
      <c r="M8" s="550">
        <f t="shared" si="0"/>
        <v>211328</v>
      </c>
      <c r="N8" s="550">
        <f t="shared" si="0"/>
        <v>1600000</v>
      </c>
      <c r="O8" s="550">
        <f t="shared" si="0"/>
        <v>3441932</v>
      </c>
      <c r="P8" s="550">
        <f t="shared" si="0"/>
        <v>211328</v>
      </c>
      <c r="Q8" s="550">
        <f t="shared" si="0"/>
        <v>0</v>
      </c>
      <c r="R8" s="550">
        <f t="shared" si="0"/>
        <v>0</v>
      </c>
      <c r="S8" s="550">
        <f t="shared" si="0"/>
        <v>0</v>
      </c>
      <c r="T8" s="550">
        <f t="shared" si="0"/>
        <v>0</v>
      </c>
      <c r="U8" s="550">
        <f t="shared" si="0"/>
        <v>1600000</v>
      </c>
      <c r="V8" s="550">
        <f t="shared" si="0"/>
        <v>859101</v>
      </c>
      <c r="W8" s="550">
        <f t="shared" si="0"/>
        <v>0</v>
      </c>
      <c r="X8" s="550">
        <f t="shared" si="0"/>
        <v>0</v>
      </c>
      <c r="Y8" s="550">
        <f t="shared" si="0"/>
        <v>0</v>
      </c>
      <c r="Z8" s="550">
        <f t="shared" si="0"/>
        <v>0</v>
      </c>
      <c r="AA8" s="550">
        <f t="shared" si="0"/>
        <v>740899</v>
      </c>
      <c r="AB8" s="550">
        <f t="shared" si="0"/>
        <v>0</v>
      </c>
      <c r="AC8" s="550">
        <f t="shared" si="0"/>
        <v>1464000</v>
      </c>
      <c r="AD8" s="550">
        <f t="shared" si="0"/>
        <v>0</v>
      </c>
      <c r="AE8" s="550">
        <f t="shared" si="0"/>
        <v>0</v>
      </c>
      <c r="AF8" s="550">
        <f t="shared" si="0"/>
        <v>859101</v>
      </c>
      <c r="AG8" s="550">
        <f t="shared" si="0"/>
        <v>0</v>
      </c>
      <c r="AH8" s="550">
        <f t="shared" si="0"/>
        <v>0</v>
      </c>
      <c r="AI8" s="550">
        <f t="shared" si="0"/>
        <v>377113</v>
      </c>
      <c r="AJ8" s="550">
        <f t="shared" si="0"/>
        <v>0</v>
      </c>
      <c r="AK8" s="550">
        <f t="shared" si="0"/>
        <v>0</v>
      </c>
      <c r="AL8" s="550">
        <f t="shared" si="0"/>
        <v>0</v>
      </c>
      <c r="AM8" s="550">
        <f t="shared" si="0"/>
        <v>0</v>
      </c>
      <c r="AN8" s="550">
        <f t="shared" si="0"/>
        <v>1236214</v>
      </c>
      <c r="AO8" s="550">
        <f t="shared" si="0"/>
        <v>363786</v>
      </c>
      <c r="AP8" s="550">
        <f t="shared" si="0"/>
        <v>859101</v>
      </c>
      <c r="AQ8" s="550">
        <f t="shared" si="0"/>
        <v>0</v>
      </c>
      <c r="AR8" s="550">
        <f t="shared" si="0"/>
        <v>0</v>
      </c>
      <c r="AS8" s="550">
        <f t="shared" si="0"/>
        <v>0</v>
      </c>
      <c r="AT8" s="550">
        <f t="shared" si="0"/>
        <v>0</v>
      </c>
      <c r="AU8" s="550">
        <f t="shared" si="0"/>
        <v>377113</v>
      </c>
      <c r="AV8" s="550">
        <f t="shared" si="0"/>
        <v>0</v>
      </c>
      <c r="AW8" s="550">
        <f t="shared" si="0"/>
        <v>0</v>
      </c>
      <c r="AX8" s="550">
        <f t="shared" si="0"/>
        <v>0</v>
      </c>
      <c r="AY8" s="550">
        <f t="shared" si="0"/>
        <v>0</v>
      </c>
      <c r="AZ8" s="550">
        <f t="shared" si="0"/>
        <v>0</v>
      </c>
      <c r="BA8" s="550">
        <f t="shared" si="0"/>
        <v>0</v>
      </c>
    </row>
    <row r="9" spans="1:53" s="472" customFormat="1">
      <c r="A9" s="651"/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652"/>
      <c r="O9" s="652"/>
      <c r="P9" s="652">
        <f>G8-L8</f>
        <v>211328</v>
      </c>
      <c r="Q9" s="652"/>
      <c r="R9" s="652"/>
      <c r="S9" s="652"/>
      <c r="T9" s="652">
        <f>P9+S8-M8</f>
        <v>0</v>
      </c>
      <c r="AD9" s="551"/>
      <c r="AE9" s="551"/>
      <c r="AF9" s="551"/>
      <c r="AG9" s="551"/>
      <c r="AH9" s="551"/>
      <c r="AI9" s="551"/>
      <c r="AJ9" s="551"/>
      <c r="AK9" s="551"/>
      <c r="AL9" s="551"/>
      <c r="AM9" s="551"/>
      <c r="AN9" s="551"/>
      <c r="AO9" s="653"/>
    </row>
    <row r="10" spans="1:53">
      <c r="C10" s="654"/>
    </row>
  </sheetData>
  <sheetProtection formatCells="0" formatColumns="0" formatRows="0" insertColumns="0" insertRows="0" insertHyperlinks="0" deleteColumns="0" deleteRows="0" sort="0" autoFilter="0" pivotTables="0"/>
  <mergeCells count="5">
    <mergeCell ref="V4:AA4"/>
    <mergeCell ref="AD4:AO4"/>
    <mergeCell ref="AP4:AU4"/>
    <mergeCell ref="AV4:BA4"/>
    <mergeCell ref="T4:U4"/>
  </mergeCells>
  <conditionalFormatting sqref="U6:U7">
    <cfRule type="cellIs" dxfId="57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8"/>
  <sheetViews>
    <sheetView showZeros="0" rightToLeft="1" workbookViewId="0">
      <pane xSplit="5" ySplit="5" topLeftCell="F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33203125" defaultRowHeight="13.2"/>
  <cols>
    <col min="1" max="1" width="4.5546875" style="157" customWidth="1"/>
    <col min="2" max="2" width="5.6640625" style="157" customWidth="1"/>
    <col min="3" max="3" width="22.6640625" style="157" customWidth="1"/>
    <col min="4" max="5" width="9.6640625" style="157" hidden="1" customWidth="1"/>
    <col min="6" max="6" width="8.6640625" style="157" hidden="1" customWidth="1"/>
    <col min="7" max="7" width="14" style="157" hidden="1" customWidth="1"/>
    <col min="8" max="8" width="13" style="157" hidden="1" customWidth="1"/>
    <col min="9" max="9" width="9.109375" style="157" hidden="1" customWidth="1"/>
    <col min="10" max="10" width="10.5546875" style="157" hidden="1" customWidth="1"/>
    <col min="11" max="11" width="10" style="157" hidden="1" customWidth="1"/>
    <col min="12" max="12" width="9.6640625" style="157" hidden="1" customWidth="1"/>
    <col min="13" max="13" width="8.6640625" style="157" hidden="1" customWidth="1"/>
    <col min="14" max="14" width="9.6640625" style="157" hidden="1" customWidth="1"/>
    <col min="15" max="15" width="8.6640625" style="157" hidden="1" customWidth="1"/>
    <col min="16" max="19" width="9.109375" style="157" hidden="1" customWidth="1"/>
    <col min="20" max="20" width="10.6640625" style="157" customWidth="1"/>
    <col min="21" max="23" width="11.6640625" style="157" customWidth="1"/>
    <col min="24" max="26" width="8.33203125" style="157" hidden="1" customWidth="1"/>
    <col min="27" max="27" width="11.6640625" style="157" customWidth="1"/>
    <col min="28" max="28" width="33.33203125" style="157" hidden="1" customWidth="1"/>
    <col min="29" max="29" width="8.33203125" style="157" hidden="1" customWidth="1"/>
    <col min="30" max="39" width="10.6640625" style="157" hidden="1" customWidth="1"/>
    <col min="40" max="41" width="10.6640625" style="157" customWidth="1"/>
    <col min="42" max="42" width="12.6640625" style="157" customWidth="1"/>
    <col min="43" max="43" width="13.33203125" style="157" customWidth="1"/>
    <col min="44" max="46" width="10.6640625" style="157" hidden="1" customWidth="1"/>
    <col min="47" max="47" width="12.109375" style="157" customWidth="1"/>
    <col min="48" max="53" width="10.6640625" style="157" hidden="1" customWidth="1"/>
    <col min="54" max="59" width="0" style="157" hidden="1" customWidth="1"/>
    <col min="60" max="16384" width="8.33203125" style="157"/>
  </cols>
  <sheetData>
    <row r="1" spans="1:63" ht="18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O1" s="673"/>
      <c r="P1" s="673"/>
      <c r="Q1" s="673"/>
      <c r="R1" s="673"/>
      <c r="S1" s="673"/>
      <c r="T1" s="673"/>
      <c r="U1" s="673"/>
      <c r="V1" s="673"/>
      <c r="W1" s="673"/>
      <c r="X1" s="674"/>
      <c r="Y1" s="674"/>
      <c r="Z1" s="674"/>
      <c r="AA1" s="675"/>
      <c r="AB1" s="676"/>
      <c r="AC1" s="675"/>
    </row>
    <row r="2" spans="1:63" ht="18">
      <c r="A2" s="390" t="s">
        <v>1103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7"/>
      <c r="Y2" s="677"/>
      <c r="Z2" s="677"/>
      <c r="AA2" s="677"/>
      <c r="AB2" s="678"/>
      <c r="AC2" s="677"/>
    </row>
    <row r="3" spans="1:63" ht="18">
      <c r="A3" s="390"/>
      <c r="B3" s="673"/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73"/>
      <c r="X3" s="677"/>
      <c r="Y3" s="677"/>
      <c r="Z3" s="677"/>
      <c r="AA3" s="677"/>
      <c r="AB3" s="678"/>
      <c r="AC3" s="677"/>
    </row>
    <row r="4" spans="1:63" ht="15.6" customHeight="1">
      <c r="A4" s="679"/>
      <c r="B4" s="677"/>
      <c r="C4" s="677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80"/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B4" s="679"/>
      <c r="AC4" s="677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 t="s">
        <v>1096</v>
      </c>
      <c r="AQ4" s="912"/>
      <c r="AR4" s="912"/>
      <c r="AS4" s="912"/>
      <c r="AT4" s="912"/>
      <c r="AU4" s="912"/>
      <c r="AV4" s="878" t="s">
        <v>1097</v>
      </c>
      <c r="AW4" s="878"/>
      <c r="AX4" s="878"/>
      <c r="AY4" s="878"/>
      <c r="AZ4" s="878"/>
      <c r="BA4" s="878"/>
    </row>
    <row r="5" spans="1:63" ht="73.5" customHeight="1">
      <c r="A5" s="130" t="s">
        <v>0</v>
      </c>
      <c r="B5" s="681" t="s">
        <v>413</v>
      </c>
      <c r="C5" s="681" t="s">
        <v>2</v>
      </c>
      <c r="D5" s="681" t="s">
        <v>752</v>
      </c>
      <c r="E5" s="681" t="s">
        <v>4</v>
      </c>
      <c r="F5" s="681" t="s">
        <v>5</v>
      </c>
      <c r="G5" s="681" t="s">
        <v>6</v>
      </c>
      <c r="H5" s="681" t="s">
        <v>7</v>
      </c>
      <c r="I5" s="681" t="s">
        <v>9</v>
      </c>
      <c r="J5" s="681" t="s">
        <v>125</v>
      </c>
      <c r="K5" s="681" t="s">
        <v>10</v>
      </c>
      <c r="L5" s="681" t="s">
        <v>11</v>
      </c>
      <c r="M5" s="681" t="s">
        <v>707</v>
      </c>
      <c r="N5" s="681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681" t="s">
        <v>13</v>
      </c>
      <c r="W5" s="681" t="s">
        <v>14</v>
      </c>
      <c r="X5" s="681" t="s">
        <v>15</v>
      </c>
      <c r="Y5" s="681" t="s">
        <v>214</v>
      </c>
      <c r="Z5" s="681" t="s">
        <v>502</v>
      </c>
      <c r="AA5" s="681" t="s">
        <v>75</v>
      </c>
      <c r="AB5" s="682" t="s">
        <v>242</v>
      </c>
      <c r="AC5" s="681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63" ht="30" customHeight="1">
      <c r="A6" s="683">
        <v>1</v>
      </c>
      <c r="B6" s="683">
        <v>1002</v>
      </c>
      <c r="C6" s="683" t="s">
        <v>113</v>
      </c>
      <c r="D6" s="684">
        <v>3290000</v>
      </c>
      <c r="E6" s="684">
        <v>3290000</v>
      </c>
      <c r="F6" s="684">
        <f t="shared" ref="F6:F14" si="0">D6-E6</f>
        <v>0</v>
      </c>
      <c r="G6" s="684">
        <v>2310000</v>
      </c>
      <c r="H6" s="684">
        <v>2205815</v>
      </c>
      <c r="I6" s="684">
        <v>0</v>
      </c>
      <c r="J6" s="684">
        <v>4153</v>
      </c>
      <c r="K6" s="684">
        <f t="shared" ref="K6:K14" si="1">I6+J6</f>
        <v>4153</v>
      </c>
      <c r="L6" s="684">
        <f t="shared" ref="L6:L16" si="2">H6+K6</f>
        <v>2209968</v>
      </c>
      <c r="M6" s="672">
        <f>P6+S6-100000</f>
        <v>32</v>
      </c>
      <c r="N6" s="672">
        <v>646000</v>
      </c>
      <c r="O6" s="672">
        <f t="shared" ref="O6:O14" si="3">D6-L6-M6-N6</f>
        <v>434000</v>
      </c>
      <c r="P6" s="672">
        <f t="shared" ref="P6:P16" si="4">G6-L6</f>
        <v>100032</v>
      </c>
      <c r="Q6" s="672"/>
      <c r="R6" s="672"/>
      <c r="S6" s="672">
        <f t="shared" ref="S6:S16" si="5">SUM(Q6:R6)</f>
        <v>0</v>
      </c>
      <c r="T6" s="672">
        <f t="shared" ref="T6:T16" si="6">P6-M6+S6</f>
        <v>100000</v>
      </c>
      <c r="U6" s="672">
        <f t="shared" ref="U6:U14" si="7">N6-T6</f>
        <v>546000</v>
      </c>
      <c r="V6" s="672"/>
      <c r="W6" s="672">
        <f t="shared" ref="W6:W14" si="8">U6-V6-X6-Z6-AA6</f>
        <v>546000</v>
      </c>
      <c r="X6" s="684"/>
      <c r="Y6" s="684"/>
      <c r="Z6" s="684"/>
      <c r="AA6" s="683"/>
      <c r="AB6" s="683" t="s">
        <v>302</v>
      </c>
      <c r="AC6" s="683">
        <v>760000</v>
      </c>
      <c r="AD6" s="324"/>
      <c r="AE6" s="672"/>
      <c r="AF6" s="672"/>
      <c r="AG6" s="672"/>
      <c r="AH6" s="672"/>
      <c r="AI6" s="672"/>
      <c r="AJ6" s="672"/>
      <c r="AK6" s="672"/>
      <c r="AL6" s="672"/>
      <c r="AM6" s="672"/>
      <c r="AN6" s="449">
        <f>SUM(AD6:AM6)</f>
        <v>0</v>
      </c>
      <c r="AO6" s="449">
        <f t="shared" ref="AO6:AO17" si="9">U6-AN6</f>
        <v>546000</v>
      </c>
      <c r="AP6" s="449"/>
      <c r="AQ6" s="449">
        <f>AN6-AP6-AU6</f>
        <v>0</v>
      </c>
      <c r="AR6" s="449"/>
      <c r="AS6" s="449"/>
      <c r="AT6" s="449"/>
      <c r="AU6" s="449"/>
      <c r="AV6" s="449"/>
      <c r="AW6" s="449">
        <f>AM6-AV6-BA6</f>
        <v>0</v>
      </c>
      <c r="AX6" s="449"/>
      <c r="AY6" s="449"/>
      <c r="AZ6" s="449"/>
      <c r="BA6" s="449"/>
    </row>
    <row r="7" spans="1:63" ht="25.2" customHeight="1">
      <c r="A7" s="683">
        <f>1+A6</f>
        <v>2</v>
      </c>
      <c r="B7" s="683">
        <v>1497</v>
      </c>
      <c r="C7" s="683" t="s">
        <v>55</v>
      </c>
      <c r="D7" s="684">
        <v>8820000</v>
      </c>
      <c r="E7" s="684">
        <v>8820000</v>
      </c>
      <c r="F7" s="684">
        <f t="shared" si="0"/>
        <v>0</v>
      </c>
      <c r="G7" s="684">
        <v>3173000</v>
      </c>
      <c r="H7" s="684">
        <v>2985949</v>
      </c>
      <c r="I7" s="684">
        <v>30900</v>
      </c>
      <c r="J7" s="684">
        <v>92190</v>
      </c>
      <c r="K7" s="684">
        <f t="shared" si="1"/>
        <v>123090</v>
      </c>
      <c r="L7" s="684">
        <f t="shared" si="2"/>
        <v>3109039</v>
      </c>
      <c r="M7" s="672">
        <f>P7+S7</f>
        <v>313961</v>
      </c>
      <c r="N7" s="672">
        <f>600000+200000-300000</f>
        <v>500000</v>
      </c>
      <c r="O7" s="672">
        <f t="shared" si="3"/>
        <v>4897000</v>
      </c>
      <c r="P7" s="672">
        <f t="shared" si="4"/>
        <v>63961</v>
      </c>
      <c r="Q7" s="685">
        <v>250000</v>
      </c>
      <c r="R7" s="672"/>
      <c r="S7" s="672">
        <f t="shared" si="5"/>
        <v>250000</v>
      </c>
      <c r="T7" s="672">
        <f t="shared" si="6"/>
        <v>0</v>
      </c>
      <c r="U7" s="672">
        <f t="shared" si="7"/>
        <v>500000</v>
      </c>
      <c r="V7" s="672"/>
      <c r="W7" s="672">
        <f t="shared" si="8"/>
        <v>500000</v>
      </c>
      <c r="X7" s="684"/>
      <c r="Y7" s="684"/>
      <c r="Z7" s="684"/>
      <c r="AA7" s="683"/>
      <c r="AB7" s="683" t="s">
        <v>759</v>
      </c>
      <c r="AC7" s="683">
        <v>610000</v>
      </c>
      <c r="AD7" s="324"/>
      <c r="AE7" s="672">
        <v>50000</v>
      </c>
      <c r="AF7" s="672"/>
      <c r="AG7" s="672"/>
      <c r="AH7" s="672"/>
      <c r="AI7" s="672"/>
      <c r="AJ7" s="672"/>
      <c r="AK7" s="672"/>
      <c r="AL7" s="672"/>
      <c r="AM7" s="672"/>
      <c r="AN7" s="449">
        <f t="shared" ref="AN7:AN17" si="10">SUM(AD7:AM7)</f>
        <v>50000</v>
      </c>
      <c r="AO7" s="449">
        <f t="shared" si="9"/>
        <v>450000</v>
      </c>
      <c r="AP7" s="449"/>
      <c r="AQ7" s="449">
        <f t="shared" ref="AQ7:AQ17" si="11">AN7-AP7-AU7</f>
        <v>50000</v>
      </c>
      <c r="AR7" s="449"/>
      <c r="AS7" s="449"/>
      <c r="AT7" s="449"/>
      <c r="AU7" s="449"/>
      <c r="AV7" s="449"/>
      <c r="AW7" s="449">
        <f t="shared" ref="AW7:AW17" si="12">AM7-AV7-BA7</f>
        <v>0</v>
      </c>
      <c r="AX7" s="449"/>
      <c r="AY7" s="449"/>
      <c r="AZ7" s="449"/>
      <c r="BA7" s="449"/>
    </row>
    <row r="8" spans="1:63" ht="25.2" customHeight="1">
      <c r="A8" s="683">
        <f t="shared" ref="A8:A17" si="13">1+A7</f>
        <v>3</v>
      </c>
      <c r="B8" s="683">
        <v>1647</v>
      </c>
      <c r="C8" s="683" t="s">
        <v>285</v>
      </c>
      <c r="D8" s="684">
        <v>4700000</v>
      </c>
      <c r="E8" s="684">
        <v>4700000</v>
      </c>
      <c r="F8" s="684">
        <f t="shared" si="0"/>
        <v>0</v>
      </c>
      <c r="G8" s="684">
        <v>4350000</v>
      </c>
      <c r="H8" s="684">
        <v>4283094</v>
      </c>
      <c r="I8" s="684">
        <v>0</v>
      </c>
      <c r="J8" s="684">
        <v>36691</v>
      </c>
      <c r="K8" s="684">
        <f t="shared" si="1"/>
        <v>36691</v>
      </c>
      <c r="L8" s="684">
        <f t="shared" si="2"/>
        <v>4319785</v>
      </c>
      <c r="M8" s="672">
        <v>30215</v>
      </c>
      <c r="N8" s="672">
        <f>335000-235000</f>
        <v>100000</v>
      </c>
      <c r="O8" s="672">
        <f t="shared" si="3"/>
        <v>250000</v>
      </c>
      <c r="P8" s="672">
        <f t="shared" si="4"/>
        <v>30215</v>
      </c>
      <c r="Q8" s="672"/>
      <c r="R8" s="672"/>
      <c r="S8" s="672">
        <f t="shared" si="5"/>
        <v>0</v>
      </c>
      <c r="T8" s="672">
        <f t="shared" si="6"/>
        <v>0</v>
      </c>
      <c r="U8" s="672">
        <f t="shared" si="7"/>
        <v>100000</v>
      </c>
      <c r="V8" s="672"/>
      <c r="W8" s="672">
        <f t="shared" si="8"/>
        <v>100000</v>
      </c>
      <c r="X8" s="684"/>
      <c r="Y8" s="684"/>
      <c r="Z8" s="684"/>
      <c r="AA8" s="683"/>
      <c r="AB8" s="683" t="s">
        <v>314</v>
      </c>
      <c r="AC8" s="683">
        <v>810000</v>
      </c>
      <c r="AD8" s="672">
        <v>100000</v>
      </c>
      <c r="AE8" s="672"/>
      <c r="AF8" s="672"/>
      <c r="AG8" s="672"/>
      <c r="AH8" s="672"/>
      <c r="AI8" s="672"/>
      <c r="AJ8" s="672"/>
      <c r="AK8" s="672"/>
      <c r="AL8" s="672"/>
      <c r="AM8" s="672"/>
      <c r="AN8" s="449">
        <f t="shared" si="10"/>
        <v>100000</v>
      </c>
      <c r="AO8" s="449">
        <f t="shared" si="9"/>
        <v>0</v>
      </c>
      <c r="AP8" s="449"/>
      <c r="AQ8" s="449">
        <f t="shared" si="11"/>
        <v>100000</v>
      </c>
      <c r="AR8" s="449"/>
      <c r="AS8" s="449"/>
      <c r="AT8" s="449"/>
      <c r="AU8" s="449"/>
      <c r="AV8" s="449"/>
      <c r="AW8" s="449">
        <f t="shared" si="12"/>
        <v>0</v>
      </c>
      <c r="AX8" s="449"/>
      <c r="AY8" s="449"/>
      <c r="AZ8" s="449"/>
      <c r="BA8" s="449"/>
    </row>
    <row r="9" spans="1:63" ht="41.4">
      <c r="A9" s="683">
        <f t="shared" si="13"/>
        <v>4</v>
      </c>
      <c r="B9" s="683">
        <v>1871</v>
      </c>
      <c r="C9" s="683" t="s">
        <v>337</v>
      </c>
      <c r="D9" s="684">
        <f>28240000-4900000</f>
        <v>23340000</v>
      </c>
      <c r="E9" s="684">
        <v>28240000</v>
      </c>
      <c r="F9" s="684">
        <f t="shared" si="0"/>
        <v>-4900000</v>
      </c>
      <c r="G9" s="684">
        <v>17140000</v>
      </c>
      <c r="H9" s="684">
        <v>9135146</v>
      </c>
      <c r="I9" s="684">
        <v>0</v>
      </c>
      <c r="J9" s="684">
        <v>7938574</v>
      </c>
      <c r="K9" s="684">
        <f t="shared" si="1"/>
        <v>7938574</v>
      </c>
      <c r="L9" s="684">
        <f t="shared" si="2"/>
        <v>17073720</v>
      </c>
      <c r="M9" s="672">
        <f>P9+S9</f>
        <v>2266280</v>
      </c>
      <c r="N9" s="672">
        <f>6200000-2200000</f>
        <v>4000000</v>
      </c>
      <c r="O9" s="672">
        <f t="shared" si="3"/>
        <v>0</v>
      </c>
      <c r="P9" s="672">
        <f t="shared" si="4"/>
        <v>66280</v>
      </c>
      <c r="Q9" s="685">
        <v>2200000</v>
      </c>
      <c r="R9" s="672"/>
      <c r="S9" s="672">
        <f t="shared" si="5"/>
        <v>2200000</v>
      </c>
      <c r="T9" s="672">
        <f t="shared" si="6"/>
        <v>0</v>
      </c>
      <c r="U9" s="672">
        <f t="shared" si="7"/>
        <v>4000000</v>
      </c>
      <c r="V9" s="672"/>
      <c r="W9" s="672">
        <f t="shared" si="8"/>
        <v>4000000</v>
      </c>
      <c r="X9" s="684"/>
      <c r="Y9" s="684"/>
      <c r="Z9" s="684"/>
      <c r="AA9" s="683"/>
      <c r="AB9" s="683" t="s">
        <v>284</v>
      </c>
      <c r="AC9" s="683">
        <v>760000</v>
      </c>
      <c r="AD9" s="324"/>
      <c r="AE9" s="672"/>
      <c r="AF9" s="672"/>
      <c r="AG9" s="672"/>
      <c r="AH9" s="672"/>
      <c r="AI9" s="672">
        <v>4000000</v>
      </c>
      <c r="AJ9" s="672"/>
      <c r="AK9" s="672"/>
      <c r="AL9" s="672"/>
      <c r="AM9" s="672"/>
      <c r="AN9" s="449">
        <f t="shared" si="10"/>
        <v>4000000</v>
      </c>
      <c r="AO9" s="449">
        <f t="shared" si="9"/>
        <v>0</v>
      </c>
      <c r="AP9" s="449"/>
      <c r="AQ9" s="449">
        <f t="shared" si="11"/>
        <v>4000000</v>
      </c>
      <c r="AR9" s="449"/>
      <c r="AS9" s="449"/>
      <c r="AT9" s="449"/>
      <c r="AU9" s="449"/>
      <c r="AV9" s="449"/>
      <c r="AW9" s="449">
        <f t="shared" si="12"/>
        <v>0</v>
      </c>
      <c r="AX9" s="449"/>
      <c r="AY9" s="449"/>
      <c r="AZ9" s="449"/>
      <c r="BA9" s="449"/>
    </row>
    <row r="10" spans="1:63" ht="30" customHeight="1">
      <c r="A10" s="683">
        <f t="shared" si="13"/>
        <v>5</v>
      </c>
      <c r="B10" s="683">
        <v>1982</v>
      </c>
      <c r="C10" s="683" t="s">
        <v>699</v>
      </c>
      <c r="D10" s="684">
        <f>19052000+498000</f>
        <v>19550000</v>
      </c>
      <c r="E10" s="684">
        <v>15500000</v>
      </c>
      <c r="F10" s="684">
        <f t="shared" si="0"/>
        <v>4050000</v>
      </c>
      <c r="G10" s="684">
        <v>13850000</v>
      </c>
      <c r="H10" s="684">
        <v>11736507</v>
      </c>
      <c r="I10" s="684">
        <v>0</v>
      </c>
      <c r="J10" s="684">
        <v>2016905</v>
      </c>
      <c r="K10" s="684">
        <f t="shared" si="1"/>
        <v>2016905</v>
      </c>
      <c r="L10" s="684">
        <f t="shared" si="2"/>
        <v>13753412</v>
      </c>
      <c r="M10" s="672">
        <f>P10+S10</f>
        <v>1096588</v>
      </c>
      <c r="N10" s="672">
        <f>3950000+750000</f>
        <v>4700000</v>
      </c>
      <c r="O10" s="672">
        <f t="shared" si="3"/>
        <v>0</v>
      </c>
      <c r="P10" s="672">
        <f t="shared" si="4"/>
        <v>96588</v>
      </c>
      <c r="Q10" s="672"/>
      <c r="R10" s="685">
        <f>1252000+500000-2000-750000</f>
        <v>1000000</v>
      </c>
      <c r="S10" s="672">
        <f t="shared" si="5"/>
        <v>1000000</v>
      </c>
      <c r="T10" s="672">
        <f t="shared" si="6"/>
        <v>0</v>
      </c>
      <c r="U10" s="672">
        <f t="shared" si="7"/>
        <v>4700000</v>
      </c>
      <c r="V10" s="672"/>
      <c r="W10" s="672">
        <f t="shared" si="8"/>
        <v>4700000</v>
      </c>
      <c r="X10" s="684"/>
      <c r="Y10" s="684"/>
      <c r="Z10" s="684"/>
      <c r="AA10" s="683"/>
      <c r="AB10" s="683" t="s">
        <v>753</v>
      </c>
      <c r="AC10" s="683">
        <v>722000</v>
      </c>
      <c r="AD10" s="324"/>
      <c r="AE10" s="672">
        <f>1000000+1300000</f>
        <v>2300000</v>
      </c>
      <c r="AF10" s="672"/>
      <c r="AG10" s="672"/>
      <c r="AH10" s="672"/>
      <c r="AI10" s="672">
        <v>2400000</v>
      </c>
      <c r="AJ10" s="672"/>
      <c r="AK10" s="672"/>
      <c r="AL10" s="672"/>
      <c r="AM10" s="672"/>
      <c r="AN10" s="449">
        <f t="shared" si="10"/>
        <v>4700000</v>
      </c>
      <c r="AO10" s="449">
        <f t="shared" si="9"/>
        <v>0</v>
      </c>
      <c r="AP10" s="449"/>
      <c r="AQ10" s="449">
        <f t="shared" si="11"/>
        <v>4700000</v>
      </c>
      <c r="AR10" s="449"/>
      <c r="AS10" s="449"/>
      <c r="AT10" s="449"/>
      <c r="AU10" s="449"/>
      <c r="AV10" s="449"/>
      <c r="AW10" s="449">
        <f t="shared" si="12"/>
        <v>0</v>
      </c>
      <c r="AX10" s="449"/>
      <c r="AY10" s="449"/>
      <c r="AZ10" s="449"/>
      <c r="BA10" s="449"/>
    </row>
    <row r="11" spans="1:63" ht="62.4" customHeight="1">
      <c r="A11" s="683">
        <f t="shared" si="13"/>
        <v>6</v>
      </c>
      <c r="B11" s="683">
        <v>2082</v>
      </c>
      <c r="C11" s="683" t="s">
        <v>1088</v>
      </c>
      <c r="D11" s="684">
        <f>1600000</f>
        <v>1600000</v>
      </c>
      <c r="E11" s="684">
        <v>1200000</v>
      </c>
      <c r="F11" s="684">
        <f t="shared" si="0"/>
        <v>400000</v>
      </c>
      <c r="G11" s="684">
        <v>200000</v>
      </c>
      <c r="H11" s="684">
        <v>30115</v>
      </c>
      <c r="I11" s="684">
        <v>0</v>
      </c>
      <c r="J11" s="684">
        <v>20020</v>
      </c>
      <c r="K11" s="684">
        <f t="shared" si="1"/>
        <v>20020</v>
      </c>
      <c r="L11" s="684">
        <f t="shared" si="2"/>
        <v>50135</v>
      </c>
      <c r="M11" s="672">
        <f>P11+S11-120000</f>
        <v>29865</v>
      </c>
      <c r="N11" s="672">
        <f>1400000+120000</f>
        <v>1520000</v>
      </c>
      <c r="O11" s="672">
        <f t="shared" si="3"/>
        <v>0</v>
      </c>
      <c r="P11" s="672">
        <f t="shared" si="4"/>
        <v>149865</v>
      </c>
      <c r="Q11" s="672"/>
      <c r="R11" s="672"/>
      <c r="S11" s="672">
        <f t="shared" si="5"/>
        <v>0</v>
      </c>
      <c r="T11" s="672">
        <f t="shared" si="6"/>
        <v>120000</v>
      </c>
      <c r="U11" s="672">
        <f t="shared" si="7"/>
        <v>1400000</v>
      </c>
      <c r="V11" s="672"/>
      <c r="W11" s="672">
        <f t="shared" si="8"/>
        <v>1400000</v>
      </c>
      <c r="X11" s="684"/>
      <c r="Y11" s="684"/>
      <c r="Z11" s="684"/>
      <c r="AA11" s="683"/>
      <c r="AB11" s="683" t="s">
        <v>338</v>
      </c>
      <c r="AC11" s="683">
        <v>760000</v>
      </c>
      <c r="AD11" s="324"/>
      <c r="AE11" s="672"/>
      <c r="AF11" s="672">
        <v>460000</v>
      </c>
      <c r="AG11" s="672"/>
      <c r="AH11" s="672"/>
      <c r="AI11" s="672"/>
      <c r="AJ11" s="672">
        <v>500000</v>
      </c>
      <c r="AK11" s="672"/>
      <c r="AL11" s="672"/>
      <c r="AM11" s="672"/>
      <c r="AN11" s="449">
        <f t="shared" si="10"/>
        <v>960000</v>
      </c>
      <c r="AO11" s="449">
        <f t="shared" si="9"/>
        <v>440000</v>
      </c>
      <c r="AP11" s="449"/>
      <c r="AQ11" s="449">
        <f t="shared" si="11"/>
        <v>960000</v>
      </c>
      <c r="AR11" s="449"/>
      <c r="AS11" s="449"/>
      <c r="AT11" s="449"/>
      <c r="AU11" s="449"/>
      <c r="AV11" s="449"/>
      <c r="AW11" s="449">
        <f t="shared" si="12"/>
        <v>0</v>
      </c>
      <c r="AX11" s="449"/>
      <c r="AY11" s="449"/>
      <c r="AZ11" s="449"/>
      <c r="BA11" s="449"/>
    </row>
    <row r="12" spans="1:63" ht="30" customHeight="1">
      <c r="A12" s="683">
        <f t="shared" si="13"/>
        <v>7</v>
      </c>
      <c r="B12" s="683">
        <v>2083</v>
      </c>
      <c r="C12" s="683" t="s">
        <v>297</v>
      </c>
      <c r="D12" s="684">
        <v>7880000</v>
      </c>
      <c r="E12" s="684">
        <v>7880000</v>
      </c>
      <c r="F12" s="684">
        <f t="shared" si="0"/>
        <v>0</v>
      </c>
      <c r="G12" s="684">
        <f>5580000+2300000</f>
        <v>7880000</v>
      </c>
      <c r="H12" s="684">
        <v>5437672</v>
      </c>
      <c r="I12" s="684">
        <v>0</v>
      </c>
      <c r="J12" s="684">
        <v>0</v>
      </c>
      <c r="K12" s="684">
        <f t="shared" si="1"/>
        <v>0</v>
      </c>
      <c r="L12" s="684">
        <f t="shared" si="2"/>
        <v>5437672</v>
      </c>
      <c r="M12" s="672">
        <f>P12+S12</f>
        <v>2442328</v>
      </c>
      <c r="N12" s="672"/>
      <c r="O12" s="672">
        <f t="shared" si="3"/>
        <v>0</v>
      </c>
      <c r="P12" s="672">
        <f t="shared" si="4"/>
        <v>2442328</v>
      </c>
      <c r="Q12" s="672"/>
      <c r="R12" s="672"/>
      <c r="S12" s="672">
        <f t="shared" si="5"/>
        <v>0</v>
      </c>
      <c r="T12" s="672">
        <f t="shared" si="6"/>
        <v>0</v>
      </c>
      <c r="U12" s="672">
        <f t="shared" si="7"/>
        <v>0</v>
      </c>
      <c r="V12" s="672"/>
      <c r="W12" s="672">
        <f t="shared" si="8"/>
        <v>0</v>
      </c>
      <c r="X12" s="684"/>
      <c r="Y12" s="684"/>
      <c r="Z12" s="684"/>
      <c r="AA12" s="684"/>
      <c r="AB12" s="683" t="s">
        <v>776</v>
      </c>
      <c r="AC12" s="683">
        <v>810000</v>
      </c>
      <c r="AD12" s="324"/>
      <c r="AE12" s="672"/>
      <c r="AF12" s="672"/>
      <c r="AG12" s="672"/>
      <c r="AH12" s="672"/>
      <c r="AI12" s="672"/>
      <c r="AJ12" s="672"/>
      <c r="AK12" s="672"/>
      <c r="AL12" s="672"/>
      <c r="AM12" s="672"/>
      <c r="AN12" s="449">
        <f t="shared" si="10"/>
        <v>0</v>
      </c>
      <c r="AO12" s="449">
        <f t="shared" si="9"/>
        <v>0</v>
      </c>
      <c r="AP12" s="449"/>
      <c r="AQ12" s="449">
        <f t="shared" si="11"/>
        <v>0</v>
      </c>
      <c r="AR12" s="449"/>
      <c r="AS12" s="449"/>
      <c r="AT12" s="449"/>
      <c r="AU12" s="449"/>
      <c r="AV12" s="449"/>
      <c r="AW12" s="449">
        <f t="shared" si="12"/>
        <v>0</v>
      </c>
      <c r="AX12" s="449"/>
      <c r="AY12" s="449"/>
      <c r="AZ12" s="449"/>
      <c r="BA12" s="449"/>
    </row>
    <row r="13" spans="1:63" ht="30" customHeight="1">
      <c r="A13" s="683">
        <f t="shared" si="13"/>
        <v>8</v>
      </c>
      <c r="B13" s="534">
        <v>2170</v>
      </c>
      <c r="C13" s="448" t="s">
        <v>403</v>
      </c>
      <c r="D13" s="449">
        <f>360000+500000</f>
        <v>860000</v>
      </c>
      <c r="E13" s="449">
        <v>360000</v>
      </c>
      <c r="F13" s="684">
        <f t="shared" si="0"/>
        <v>500000</v>
      </c>
      <c r="G13" s="449">
        <v>360000</v>
      </c>
      <c r="H13" s="449">
        <v>199520</v>
      </c>
      <c r="I13" s="449">
        <v>0</v>
      </c>
      <c r="J13" s="449">
        <v>56686</v>
      </c>
      <c r="K13" s="684">
        <f t="shared" si="1"/>
        <v>56686</v>
      </c>
      <c r="L13" s="684">
        <f t="shared" si="2"/>
        <v>256206</v>
      </c>
      <c r="M13" s="672">
        <f>P13+S13-100000+100000</f>
        <v>103794</v>
      </c>
      <c r="N13" s="672">
        <v>500000</v>
      </c>
      <c r="O13" s="672">
        <f t="shared" si="3"/>
        <v>0</v>
      </c>
      <c r="P13" s="672">
        <f t="shared" si="4"/>
        <v>103794</v>
      </c>
      <c r="Q13" s="672"/>
      <c r="R13" s="672"/>
      <c r="S13" s="672">
        <f t="shared" si="5"/>
        <v>0</v>
      </c>
      <c r="T13" s="672">
        <f t="shared" si="6"/>
        <v>0</v>
      </c>
      <c r="U13" s="672">
        <f t="shared" si="7"/>
        <v>500000</v>
      </c>
      <c r="V13" s="672"/>
      <c r="W13" s="672">
        <f t="shared" si="8"/>
        <v>500000</v>
      </c>
      <c r="X13" s="684"/>
      <c r="Y13" s="684"/>
      <c r="Z13" s="684"/>
      <c r="AA13" s="683"/>
      <c r="AB13" s="448" t="s">
        <v>452</v>
      </c>
      <c r="AC13" s="683">
        <v>760000</v>
      </c>
      <c r="AD13" s="324"/>
      <c r="AE13" s="672">
        <v>150000</v>
      </c>
      <c r="AF13" s="672"/>
      <c r="AG13" s="672"/>
      <c r="AH13" s="672"/>
      <c r="AI13" s="672"/>
      <c r="AJ13" s="672"/>
      <c r="AK13" s="672"/>
      <c r="AL13" s="672"/>
      <c r="AM13" s="672"/>
      <c r="AN13" s="449">
        <f t="shared" si="10"/>
        <v>150000</v>
      </c>
      <c r="AO13" s="449">
        <f t="shared" si="9"/>
        <v>350000</v>
      </c>
      <c r="AP13" s="449"/>
      <c r="AQ13" s="449">
        <f t="shared" si="11"/>
        <v>150000</v>
      </c>
      <c r="AR13" s="449"/>
      <c r="AS13" s="449"/>
      <c r="AT13" s="449"/>
      <c r="AU13" s="449"/>
      <c r="AV13" s="449"/>
      <c r="AW13" s="449">
        <f t="shared" si="12"/>
        <v>0</v>
      </c>
      <c r="AX13" s="449"/>
      <c r="AY13" s="449"/>
      <c r="AZ13" s="449"/>
      <c r="BA13" s="449"/>
    </row>
    <row r="14" spans="1:63" ht="30" customHeight="1">
      <c r="A14" s="683">
        <f t="shared" si="13"/>
        <v>9</v>
      </c>
      <c r="B14" s="534">
        <v>2188</v>
      </c>
      <c r="C14" s="448" t="s">
        <v>1089</v>
      </c>
      <c r="D14" s="449">
        <v>4328000</v>
      </c>
      <c r="E14" s="449">
        <v>4328000</v>
      </c>
      <c r="F14" s="684">
        <f t="shared" si="0"/>
        <v>0</v>
      </c>
      <c r="G14" s="449">
        <v>4328000</v>
      </c>
      <c r="H14" s="449">
        <f>4328000-4846</f>
        <v>4323154</v>
      </c>
      <c r="I14" s="449">
        <v>0</v>
      </c>
      <c r="J14" s="449"/>
      <c r="K14" s="684">
        <f t="shared" si="1"/>
        <v>0</v>
      </c>
      <c r="L14" s="684">
        <f t="shared" si="2"/>
        <v>4323154</v>
      </c>
      <c r="M14" s="672">
        <f>P14+S14</f>
        <v>4846</v>
      </c>
      <c r="N14" s="672"/>
      <c r="O14" s="672">
        <f t="shared" si="3"/>
        <v>0</v>
      </c>
      <c r="P14" s="672">
        <f t="shared" si="4"/>
        <v>4846</v>
      </c>
      <c r="Q14" s="672"/>
      <c r="R14" s="672"/>
      <c r="S14" s="672">
        <f t="shared" si="5"/>
        <v>0</v>
      </c>
      <c r="T14" s="672">
        <f t="shared" si="6"/>
        <v>0</v>
      </c>
      <c r="U14" s="672">
        <f t="shared" si="7"/>
        <v>0</v>
      </c>
      <c r="V14" s="672"/>
      <c r="W14" s="672">
        <f t="shared" si="8"/>
        <v>0</v>
      </c>
      <c r="X14" s="684"/>
      <c r="Y14" s="684"/>
      <c r="Z14" s="684"/>
      <c r="AA14" s="672"/>
      <c r="AB14" s="448" t="s">
        <v>777</v>
      </c>
      <c r="AC14" s="683">
        <v>810000</v>
      </c>
      <c r="AD14" s="324"/>
      <c r="AE14" s="672"/>
      <c r="AF14" s="672"/>
      <c r="AG14" s="672"/>
      <c r="AH14" s="672"/>
      <c r="AI14" s="672"/>
      <c r="AJ14" s="672"/>
      <c r="AK14" s="672"/>
      <c r="AL14" s="672"/>
      <c r="AM14" s="672"/>
      <c r="AN14" s="449">
        <f t="shared" si="10"/>
        <v>0</v>
      </c>
      <c r="AO14" s="449">
        <f t="shared" si="9"/>
        <v>0</v>
      </c>
      <c r="AP14" s="449"/>
      <c r="AQ14" s="449">
        <f t="shared" si="11"/>
        <v>0</v>
      </c>
      <c r="AR14" s="449"/>
      <c r="AS14" s="449"/>
      <c r="AT14" s="449"/>
      <c r="AU14" s="449"/>
      <c r="AV14" s="449"/>
      <c r="AW14" s="449">
        <f t="shared" si="12"/>
        <v>0</v>
      </c>
      <c r="AX14" s="449"/>
      <c r="AY14" s="449"/>
      <c r="AZ14" s="449"/>
      <c r="BA14" s="449"/>
    </row>
    <row r="15" spans="1:63" s="452" customFormat="1" ht="30" customHeight="1">
      <c r="A15" s="683">
        <f t="shared" si="13"/>
        <v>10</v>
      </c>
      <c r="B15" s="455">
        <v>20076</v>
      </c>
      <c r="C15" s="448" t="s">
        <v>754</v>
      </c>
      <c r="D15" s="449">
        <v>220000</v>
      </c>
      <c r="E15" s="449"/>
      <c r="F15" s="449">
        <f>D15-E15</f>
        <v>220000</v>
      </c>
      <c r="G15" s="449"/>
      <c r="H15" s="449"/>
      <c r="I15" s="449"/>
      <c r="J15" s="449"/>
      <c r="K15" s="672">
        <f>SUM(I15:J15)</f>
        <v>0</v>
      </c>
      <c r="L15" s="672">
        <f t="shared" si="2"/>
        <v>0</v>
      </c>
      <c r="M15" s="672">
        <f>P15+S15</f>
        <v>0</v>
      </c>
      <c r="N15" s="672">
        <v>220000</v>
      </c>
      <c r="O15" s="672">
        <f>D15-L15-M15-N15</f>
        <v>0</v>
      </c>
      <c r="P15" s="672">
        <f t="shared" si="4"/>
        <v>0</v>
      </c>
      <c r="Q15" s="672"/>
      <c r="R15" s="672"/>
      <c r="S15" s="672">
        <f t="shared" si="5"/>
        <v>0</v>
      </c>
      <c r="T15" s="672">
        <f t="shared" si="6"/>
        <v>0</v>
      </c>
      <c r="U15" s="449">
        <f>N15-T15</f>
        <v>220000</v>
      </c>
      <c r="V15" s="449">
        <f>U15-AA15-W15-Z15</f>
        <v>0</v>
      </c>
      <c r="W15" s="449">
        <v>220000</v>
      </c>
      <c r="X15" s="449"/>
      <c r="Y15" s="449"/>
      <c r="Z15" s="449"/>
      <c r="AA15" s="449"/>
      <c r="AB15" s="448" t="s">
        <v>865</v>
      </c>
      <c r="AC15" s="448">
        <v>610000</v>
      </c>
      <c r="AD15" s="324"/>
      <c r="AE15" s="449"/>
      <c r="AF15" s="449"/>
      <c r="AG15" s="449"/>
      <c r="AH15" s="449"/>
      <c r="AI15" s="449"/>
      <c r="AJ15" s="449"/>
      <c r="AK15" s="449"/>
      <c r="AL15" s="449"/>
      <c r="AM15" s="449"/>
      <c r="AN15" s="449">
        <f t="shared" si="10"/>
        <v>0</v>
      </c>
      <c r="AO15" s="449">
        <f t="shared" si="9"/>
        <v>220000</v>
      </c>
      <c r="AP15" s="449"/>
      <c r="AQ15" s="449">
        <f t="shared" si="11"/>
        <v>0</v>
      </c>
      <c r="AR15" s="449"/>
      <c r="AS15" s="449"/>
      <c r="AT15" s="449"/>
      <c r="AU15" s="449"/>
      <c r="AV15" s="449"/>
      <c r="AW15" s="449">
        <f t="shared" si="12"/>
        <v>0</v>
      </c>
      <c r="AX15" s="449"/>
      <c r="AY15" s="449"/>
      <c r="AZ15" s="449"/>
      <c r="BA15" s="449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</row>
    <row r="16" spans="1:63" s="452" customFormat="1" ht="30" customHeight="1">
      <c r="A16" s="683">
        <f t="shared" si="13"/>
        <v>11</v>
      </c>
      <c r="B16" s="455">
        <v>20077</v>
      </c>
      <c r="C16" s="683" t="s">
        <v>297</v>
      </c>
      <c r="D16" s="449">
        <v>1000000</v>
      </c>
      <c r="E16" s="449"/>
      <c r="F16" s="449">
        <f>D16-E16</f>
        <v>1000000</v>
      </c>
      <c r="G16" s="449"/>
      <c r="H16" s="449"/>
      <c r="I16" s="449"/>
      <c r="J16" s="449"/>
      <c r="K16" s="672">
        <f>SUM(I16:J16)</f>
        <v>0</v>
      </c>
      <c r="L16" s="672">
        <f t="shared" si="2"/>
        <v>0</v>
      </c>
      <c r="M16" s="672">
        <f>P16+S16</f>
        <v>0</v>
      </c>
      <c r="N16" s="672">
        <v>1000000</v>
      </c>
      <c r="O16" s="672">
        <f>D16-L16-M16-N16</f>
        <v>0</v>
      </c>
      <c r="P16" s="672">
        <f t="shared" si="4"/>
        <v>0</v>
      </c>
      <c r="Q16" s="672"/>
      <c r="R16" s="672"/>
      <c r="S16" s="672">
        <f t="shared" si="5"/>
        <v>0</v>
      </c>
      <c r="T16" s="672">
        <f t="shared" si="6"/>
        <v>0</v>
      </c>
      <c r="U16" s="449">
        <f>N16-T16</f>
        <v>1000000</v>
      </c>
      <c r="V16" s="449">
        <f>U16-AA16-W16-Z16</f>
        <v>0</v>
      </c>
      <c r="W16" s="449"/>
      <c r="X16" s="449"/>
      <c r="Y16" s="449"/>
      <c r="Z16" s="449"/>
      <c r="AA16" s="449">
        <v>1000000</v>
      </c>
      <c r="AB16" s="683" t="s">
        <v>776</v>
      </c>
      <c r="AC16" s="448">
        <v>810000</v>
      </c>
      <c r="AD16" s="324"/>
      <c r="AE16" s="449"/>
      <c r="AF16" s="449"/>
      <c r="AG16" s="449"/>
      <c r="AH16" s="449"/>
      <c r="AI16" s="449"/>
      <c r="AJ16" s="449"/>
      <c r="AK16" s="449"/>
      <c r="AL16" s="449"/>
      <c r="AM16" s="449">
        <v>1000000</v>
      </c>
      <c r="AN16" s="449">
        <f t="shared" si="10"/>
        <v>1000000</v>
      </c>
      <c r="AO16" s="449">
        <f t="shared" si="9"/>
        <v>0</v>
      </c>
      <c r="AP16" s="449"/>
      <c r="AQ16" s="449">
        <f t="shared" si="11"/>
        <v>0</v>
      </c>
      <c r="AR16" s="449"/>
      <c r="AS16" s="449"/>
      <c r="AT16" s="449"/>
      <c r="AU16" s="449">
        <v>1000000</v>
      </c>
      <c r="AV16" s="449"/>
      <c r="AW16" s="449">
        <f t="shared" si="12"/>
        <v>0</v>
      </c>
      <c r="AX16" s="449"/>
      <c r="AY16" s="449"/>
      <c r="AZ16" s="449"/>
      <c r="BA16" s="449">
        <v>1000000</v>
      </c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</row>
    <row r="17" spans="1:67" s="452" customFormat="1" ht="30" customHeight="1">
      <c r="A17" s="683">
        <f t="shared" si="13"/>
        <v>12</v>
      </c>
      <c r="B17" s="455">
        <v>20078</v>
      </c>
      <c r="C17" s="448" t="s">
        <v>761</v>
      </c>
      <c r="D17" s="449">
        <v>1200000</v>
      </c>
      <c r="E17" s="449"/>
      <c r="F17" s="449">
        <f>D17-E17</f>
        <v>1200000</v>
      </c>
      <c r="G17" s="449"/>
      <c r="H17" s="449"/>
      <c r="I17" s="449"/>
      <c r="J17" s="449"/>
      <c r="K17" s="449"/>
      <c r="L17" s="449"/>
      <c r="M17" s="449"/>
      <c r="N17" s="449">
        <v>1200000</v>
      </c>
      <c r="O17" s="449"/>
      <c r="P17" s="449"/>
      <c r="Q17" s="449"/>
      <c r="R17" s="449"/>
      <c r="S17" s="449"/>
      <c r="T17" s="449"/>
      <c r="U17" s="449">
        <f>N17-T17</f>
        <v>1200000</v>
      </c>
      <c r="V17" s="449">
        <f>U17-AA17-W17-Z17</f>
        <v>0</v>
      </c>
      <c r="W17" s="449">
        <v>1200000</v>
      </c>
      <c r="X17" s="449"/>
      <c r="Y17" s="449"/>
      <c r="Z17" s="449"/>
      <c r="AA17" s="449"/>
      <c r="AB17" s="448" t="s">
        <v>760</v>
      </c>
      <c r="AC17" s="448">
        <v>610000</v>
      </c>
      <c r="AD17" s="324"/>
      <c r="AE17" s="449">
        <v>1200000</v>
      </c>
      <c r="AF17" s="449"/>
      <c r="AG17" s="449"/>
      <c r="AH17" s="449"/>
      <c r="AI17" s="449"/>
      <c r="AJ17" s="449"/>
      <c r="AK17" s="449"/>
      <c r="AL17" s="449"/>
      <c r="AM17" s="449"/>
      <c r="AN17" s="449">
        <f t="shared" si="10"/>
        <v>1200000</v>
      </c>
      <c r="AO17" s="449">
        <f t="shared" si="9"/>
        <v>0</v>
      </c>
      <c r="AP17" s="449"/>
      <c r="AQ17" s="449">
        <f t="shared" si="11"/>
        <v>1200000</v>
      </c>
      <c r="AR17" s="449"/>
      <c r="AS17" s="449"/>
      <c r="AT17" s="449"/>
      <c r="AU17" s="449"/>
      <c r="AV17" s="449"/>
      <c r="AW17" s="449">
        <f t="shared" si="12"/>
        <v>0</v>
      </c>
      <c r="AX17" s="449"/>
      <c r="AY17" s="449"/>
      <c r="AZ17" s="449"/>
      <c r="BA17" s="449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</row>
    <row r="18" spans="1:67" s="456" customFormat="1" ht="30" customHeight="1">
      <c r="A18" s="512">
        <f>A17</f>
        <v>12</v>
      </c>
      <c r="B18" s="454"/>
      <c r="C18" s="454" t="s">
        <v>755</v>
      </c>
      <c r="D18" s="425">
        <f>SUM(D6:D17)</f>
        <v>76788000</v>
      </c>
      <c r="E18" s="425">
        <f t="shared" ref="E18:BA18" si="14">SUM(E6:E17)</f>
        <v>74318000</v>
      </c>
      <c r="F18" s="425">
        <f t="shared" si="14"/>
        <v>2470000</v>
      </c>
      <c r="G18" s="425">
        <f t="shared" si="14"/>
        <v>53591000</v>
      </c>
      <c r="H18" s="425">
        <f t="shared" si="14"/>
        <v>40336972</v>
      </c>
      <c r="I18" s="425">
        <f t="shared" si="14"/>
        <v>30900</v>
      </c>
      <c r="J18" s="425">
        <f t="shared" si="14"/>
        <v>10165219</v>
      </c>
      <c r="K18" s="425">
        <f t="shared" si="14"/>
        <v>10196119</v>
      </c>
      <c r="L18" s="425">
        <f t="shared" si="14"/>
        <v>50533091</v>
      </c>
      <c r="M18" s="425">
        <f t="shared" si="14"/>
        <v>6287909</v>
      </c>
      <c r="N18" s="425">
        <f t="shared" si="14"/>
        <v>14386000</v>
      </c>
      <c r="O18" s="425">
        <f t="shared" si="14"/>
        <v>5581000</v>
      </c>
      <c r="P18" s="425">
        <f t="shared" si="14"/>
        <v>3057909</v>
      </c>
      <c r="Q18" s="425">
        <f t="shared" si="14"/>
        <v>2450000</v>
      </c>
      <c r="R18" s="425">
        <f t="shared" si="14"/>
        <v>1000000</v>
      </c>
      <c r="S18" s="425">
        <f t="shared" si="14"/>
        <v>3450000</v>
      </c>
      <c r="T18" s="425">
        <f t="shared" si="14"/>
        <v>220000</v>
      </c>
      <c r="U18" s="425">
        <f t="shared" si="14"/>
        <v>14166000</v>
      </c>
      <c r="V18" s="425">
        <f t="shared" si="14"/>
        <v>0</v>
      </c>
      <c r="W18" s="425">
        <f t="shared" si="14"/>
        <v>13166000</v>
      </c>
      <c r="X18" s="425">
        <f t="shared" si="14"/>
        <v>0</v>
      </c>
      <c r="Y18" s="425">
        <f t="shared" si="14"/>
        <v>0</v>
      </c>
      <c r="Z18" s="425">
        <f t="shared" si="14"/>
        <v>0</v>
      </c>
      <c r="AA18" s="425">
        <f t="shared" si="14"/>
        <v>1000000</v>
      </c>
      <c r="AB18" s="425">
        <f t="shared" si="14"/>
        <v>0</v>
      </c>
      <c r="AC18" s="425">
        <f t="shared" si="14"/>
        <v>8832000</v>
      </c>
      <c r="AD18" s="425">
        <f t="shared" si="14"/>
        <v>100000</v>
      </c>
      <c r="AE18" s="425">
        <f t="shared" si="14"/>
        <v>3700000</v>
      </c>
      <c r="AF18" s="425">
        <f t="shared" si="14"/>
        <v>460000</v>
      </c>
      <c r="AG18" s="425">
        <f t="shared" si="14"/>
        <v>0</v>
      </c>
      <c r="AH18" s="425">
        <f t="shared" si="14"/>
        <v>0</v>
      </c>
      <c r="AI18" s="425">
        <f t="shared" si="14"/>
        <v>6400000</v>
      </c>
      <c r="AJ18" s="425">
        <f t="shared" si="14"/>
        <v>500000</v>
      </c>
      <c r="AK18" s="425">
        <f t="shared" si="14"/>
        <v>0</v>
      </c>
      <c r="AL18" s="425">
        <f t="shared" si="14"/>
        <v>0</v>
      </c>
      <c r="AM18" s="425">
        <f t="shared" si="14"/>
        <v>1000000</v>
      </c>
      <c r="AN18" s="425">
        <f t="shared" si="14"/>
        <v>12160000</v>
      </c>
      <c r="AO18" s="425">
        <f t="shared" si="14"/>
        <v>2006000</v>
      </c>
      <c r="AP18" s="425">
        <f t="shared" si="14"/>
        <v>0</v>
      </c>
      <c r="AQ18" s="425">
        <f t="shared" si="14"/>
        <v>11160000</v>
      </c>
      <c r="AR18" s="425">
        <f t="shared" si="14"/>
        <v>0</v>
      </c>
      <c r="AS18" s="425">
        <f t="shared" si="14"/>
        <v>0</v>
      </c>
      <c r="AT18" s="425">
        <f t="shared" si="14"/>
        <v>0</v>
      </c>
      <c r="AU18" s="425">
        <f t="shared" si="14"/>
        <v>1000000</v>
      </c>
      <c r="AV18" s="425">
        <f t="shared" si="14"/>
        <v>0</v>
      </c>
      <c r="AW18" s="425">
        <f t="shared" si="14"/>
        <v>0</v>
      </c>
      <c r="AX18" s="425">
        <f t="shared" si="14"/>
        <v>0</v>
      </c>
      <c r="AY18" s="425">
        <f t="shared" si="14"/>
        <v>0</v>
      </c>
      <c r="AZ18" s="425">
        <f t="shared" si="14"/>
        <v>0</v>
      </c>
      <c r="BA18" s="425">
        <f t="shared" si="14"/>
        <v>1000000</v>
      </c>
      <c r="BB18" s="374"/>
      <c r="BC18" s="374"/>
      <c r="BD18" s="374"/>
      <c r="BE18" s="374"/>
      <c r="BF18" s="374"/>
      <c r="BG18" s="374"/>
      <c r="BH18" s="374"/>
      <c r="BI18" s="374"/>
      <c r="BJ18" s="374"/>
      <c r="BK18" s="374"/>
    </row>
  </sheetData>
  <mergeCells count="5">
    <mergeCell ref="V4:AA4"/>
    <mergeCell ref="AD4:AO4"/>
    <mergeCell ref="AP4:AU4"/>
    <mergeCell ref="AV4:BA4"/>
    <mergeCell ref="T4:U4"/>
  </mergeCells>
  <conditionalFormatting sqref="F6:F14">
    <cfRule type="cellIs" dxfId="56" priority="54" operator="equal">
      <formula>0</formula>
    </cfRule>
  </conditionalFormatting>
  <conditionalFormatting sqref="B2:W3 AB11:AC11 B7:E9 Z2:AA3 Z1:AB1 G7:J9 Z7:AA14 Z5:AB6 X1:Y3 V5:W5 AC1:AC10 A1:M1 O1:W1 F7:F14 AB13:AC13 K7:X14 B6:W6 B5:L5 Y5:Y14 AB4 X5:X6 A4:S4">
    <cfRule type="cellIs" dxfId="55" priority="53" operator="equal">
      <formula>0</formula>
    </cfRule>
  </conditionalFormatting>
  <conditionalFormatting sqref="AB9">
    <cfRule type="cellIs" dxfId="54" priority="50" operator="equal">
      <formula>0</formula>
    </cfRule>
  </conditionalFormatting>
  <conditionalFormatting sqref="AB7">
    <cfRule type="cellIs" dxfId="53" priority="52" operator="equal">
      <formula>0</formula>
    </cfRule>
  </conditionalFormatting>
  <conditionalFormatting sqref="AB8">
    <cfRule type="cellIs" dxfId="52" priority="51" operator="equal">
      <formula>0</formula>
    </cfRule>
  </conditionalFormatting>
  <conditionalFormatting sqref="B10:E10 G10:J10">
    <cfRule type="cellIs" dxfId="51" priority="49" operator="equal">
      <formula>0</formula>
    </cfRule>
  </conditionalFormatting>
  <conditionalFormatting sqref="AB10">
    <cfRule type="cellIs" dxfId="50" priority="48" operator="equal">
      <formula>0</formula>
    </cfRule>
  </conditionalFormatting>
  <conditionalFormatting sqref="B13:E13 B11 G13:J13">
    <cfRule type="cellIs" dxfId="49" priority="47" operator="equal">
      <formula>0</formula>
    </cfRule>
  </conditionalFormatting>
  <conditionalFormatting sqref="B11 E11 G11:J11">
    <cfRule type="cellIs" dxfId="48" priority="46" operator="equal">
      <formula>0</formula>
    </cfRule>
  </conditionalFormatting>
  <conditionalFormatting sqref="AB12">
    <cfRule type="cellIs" dxfId="47" priority="44" operator="equal">
      <formula>0</formula>
    </cfRule>
  </conditionalFormatting>
  <conditionalFormatting sqref="D11">
    <cfRule type="cellIs" dxfId="46" priority="45" operator="equal">
      <formula>0</formula>
    </cfRule>
  </conditionalFormatting>
  <conditionalFormatting sqref="B12:E12 G12:J12">
    <cfRule type="cellIs" dxfId="45" priority="43" operator="equal">
      <formula>0</formula>
    </cfRule>
  </conditionalFormatting>
  <conditionalFormatting sqref="AC12">
    <cfRule type="cellIs" dxfId="44" priority="42" operator="equal">
      <formula>0</formula>
    </cfRule>
  </conditionalFormatting>
  <conditionalFormatting sqref="AC14">
    <cfRule type="cellIs" dxfId="43" priority="41" operator="equal">
      <formula>0</formula>
    </cfRule>
  </conditionalFormatting>
  <conditionalFormatting sqref="AB2:AB3">
    <cfRule type="cellIs" dxfId="42" priority="40" operator="equal">
      <formula>0</formula>
    </cfRule>
  </conditionalFormatting>
  <conditionalFormatting sqref="AA13">
    <cfRule type="cellIs" dxfId="41" priority="39" operator="equal">
      <formula>0</formula>
    </cfRule>
  </conditionalFormatting>
  <conditionalFormatting sqref="A6:A17">
    <cfRule type="cellIs" dxfId="40" priority="38" operator="equal">
      <formula>0</formula>
    </cfRule>
  </conditionalFormatting>
  <conditionalFormatting sqref="N5">
    <cfRule type="cellIs" dxfId="39" priority="37" operator="equal">
      <formula>0</formula>
    </cfRule>
  </conditionalFormatting>
  <conditionalFormatting sqref="M5">
    <cfRule type="cellIs" dxfId="38" priority="36" operator="equal">
      <formula>0</formula>
    </cfRule>
  </conditionalFormatting>
  <conditionalFormatting sqref="K16:T16">
    <cfRule type="cellIs" dxfId="37" priority="34" operator="equal">
      <formula>0</formula>
    </cfRule>
  </conditionalFormatting>
  <conditionalFormatting sqref="K15:T15">
    <cfRule type="cellIs" dxfId="36" priority="35" operator="equal">
      <formula>0</formula>
    </cfRule>
  </conditionalFormatting>
  <conditionalFormatting sqref="C16">
    <cfRule type="cellIs" dxfId="35" priority="33" operator="equal">
      <formula>0</formula>
    </cfRule>
  </conditionalFormatting>
  <conditionalFormatting sqref="AB16">
    <cfRule type="cellIs" dxfId="34" priority="32" operator="equal">
      <formula>0</formula>
    </cfRule>
  </conditionalFormatting>
  <conditionalFormatting sqref="C11">
    <cfRule type="cellIs" dxfId="33" priority="31" operator="equal">
      <formula>0</formula>
    </cfRule>
  </conditionalFormatting>
  <conditionalFormatting sqref="C11">
    <cfRule type="cellIs" dxfId="32" priority="30" operator="equal">
      <formula>0</formula>
    </cfRule>
  </conditionalFormatting>
  <conditionalFormatting sqref="AD8">
    <cfRule type="cellIs" dxfId="31" priority="29" operator="equal">
      <formula>0</formula>
    </cfRule>
  </conditionalFormatting>
  <conditionalFormatting sqref="AG10:AG11">
    <cfRule type="cellIs" dxfId="30" priority="28" operator="equal">
      <formula>0</formula>
    </cfRule>
  </conditionalFormatting>
  <conditionalFormatting sqref="AG6:AG9">
    <cfRule type="cellIs" dxfId="29" priority="27" operator="equal">
      <formula>0</formula>
    </cfRule>
  </conditionalFormatting>
  <conditionalFormatting sqref="AG12:AG14">
    <cfRule type="cellIs" dxfId="28" priority="26" operator="equal">
      <formula>0</formula>
    </cfRule>
  </conditionalFormatting>
  <conditionalFormatting sqref="AE10:AE11">
    <cfRule type="cellIs" dxfId="27" priority="25" operator="equal">
      <formula>0</formula>
    </cfRule>
  </conditionalFormatting>
  <conditionalFormatting sqref="AE6:AE9">
    <cfRule type="cellIs" dxfId="26" priority="24" operator="equal">
      <formula>0</formula>
    </cfRule>
  </conditionalFormatting>
  <conditionalFormatting sqref="AE12:AE14">
    <cfRule type="cellIs" dxfId="25" priority="23" operator="equal">
      <formula>0</formula>
    </cfRule>
  </conditionalFormatting>
  <conditionalFormatting sqref="AF10:AF11">
    <cfRule type="cellIs" dxfId="24" priority="22" operator="equal">
      <formula>0</formula>
    </cfRule>
  </conditionalFormatting>
  <conditionalFormatting sqref="AF6:AF9">
    <cfRule type="cellIs" dxfId="23" priority="21" operator="equal">
      <formula>0</formula>
    </cfRule>
  </conditionalFormatting>
  <conditionalFormatting sqref="AF12:AF14">
    <cfRule type="cellIs" dxfId="22" priority="20" operator="equal">
      <formula>0</formula>
    </cfRule>
  </conditionalFormatting>
  <conditionalFormatting sqref="AM10:AM11">
    <cfRule type="cellIs" dxfId="21" priority="19" operator="equal">
      <formula>0</formula>
    </cfRule>
  </conditionalFormatting>
  <conditionalFormatting sqref="AM6:AM9">
    <cfRule type="cellIs" dxfId="20" priority="18" operator="equal">
      <formula>0</formula>
    </cfRule>
  </conditionalFormatting>
  <conditionalFormatting sqref="AM12:AM14">
    <cfRule type="cellIs" dxfId="19" priority="17" operator="equal">
      <formula>0</formula>
    </cfRule>
  </conditionalFormatting>
  <conditionalFormatting sqref="AH10:AH11">
    <cfRule type="cellIs" dxfId="18" priority="16" operator="equal">
      <formula>0</formula>
    </cfRule>
  </conditionalFormatting>
  <conditionalFormatting sqref="AH6:AH9">
    <cfRule type="cellIs" dxfId="17" priority="15" operator="equal">
      <formula>0</formula>
    </cfRule>
  </conditionalFormatting>
  <conditionalFormatting sqref="AH12:AH14">
    <cfRule type="cellIs" dxfId="16" priority="14" operator="equal">
      <formula>0</formula>
    </cfRule>
  </conditionalFormatting>
  <conditionalFormatting sqref="AI10:AI11">
    <cfRule type="cellIs" dxfId="15" priority="13" operator="equal">
      <formula>0</formula>
    </cfRule>
  </conditionalFormatting>
  <conditionalFormatting sqref="AI6:AI9">
    <cfRule type="cellIs" dxfId="14" priority="12" operator="equal">
      <formula>0</formula>
    </cfRule>
  </conditionalFormatting>
  <conditionalFormatting sqref="AI12:AI14">
    <cfRule type="cellIs" dxfId="13" priority="11" operator="equal">
      <formula>0</formula>
    </cfRule>
  </conditionalFormatting>
  <conditionalFormatting sqref="AJ10:AJ11">
    <cfRule type="cellIs" dxfId="12" priority="10" operator="equal">
      <formula>0</formula>
    </cfRule>
  </conditionalFormatting>
  <conditionalFormatting sqref="AJ6:AJ9">
    <cfRule type="cellIs" dxfId="11" priority="9" operator="equal">
      <formula>0</formula>
    </cfRule>
  </conditionalFormatting>
  <conditionalFormatting sqref="AJ12:AJ14">
    <cfRule type="cellIs" dxfId="10" priority="8" operator="equal">
      <formula>0</formula>
    </cfRule>
  </conditionalFormatting>
  <conditionalFormatting sqref="AK10:AK11">
    <cfRule type="cellIs" dxfId="9" priority="7" operator="equal">
      <formula>0</formula>
    </cfRule>
  </conditionalFormatting>
  <conditionalFormatting sqref="AK6:AK9">
    <cfRule type="cellIs" dxfId="8" priority="6" operator="equal">
      <formula>0</formula>
    </cfRule>
  </conditionalFormatting>
  <conditionalFormatting sqref="AK12:AK14">
    <cfRule type="cellIs" dxfId="7" priority="5" operator="equal">
      <formula>0</formula>
    </cfRule>
  </conditionalFormatting>
  <conditionalFormatting sqref="AL10:AL11">
    <cfRule type="cellIs" dxfId="6" priority="4" operator="equal">
      <formula>0</formula>
    </cfRule>
  </conditionalFormatting>
  <conditionalFormatting sqref="AL6:AL9">
    <cfRule type="cellIs" dxfId="5" priority="3" operator="equal">
      <formula>0</formula>
    </cfRule>
  </conditionalFormatting>
  <conditionalFormatting sqref="AL12:AL14">
    <cfRule type="cellIs" dxfId="4" priority="2" operator="equal">
      <formula>0</formula>
    </cfRule>
  </conditionalFormatting>
  <conditionalFormatting sqref="A2:A3">
    <cfRule type="cellIs" dxfId="3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8"/>
  <sheetViews>
    <sheetView showZeros="0" rightToLeft="1" zoomScaleNormal="100" workbookViewId="0">
      <pane xSplit="3" ySplit="5" topLeftCell="T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8.88671875" defaultRowHeight="13.8"/>
  <cols>
    <col min="1" max="1" width="3.6640625" style="539" customWidth="1"/>
    <col min="2" max="2" width="5.6640625" style="131" customWidth="1"/>
    <col min="3" max="3" width="29.6640625" style="131" bestFit="1" customWidth="1"/>
    <col min="4" max="5" width="10.6640625" style="132" hidden="1" customWidth="1"/>
    <col min="6" max="6" width="8.6640625" style="132" hidden="1" customWidth="1"/>
    <col min="7" max="8" width="10.109375" style="132" hidden="1" customWidth="1"/>
    <col min="9" max="9" width="7.5546875" style="132" hidden="1" customWidth="1"/>
    <col min="10" max="10" width="6.5546875" style="132" hidden="1" customWidth="1"/>
    <col min="11" max="11" width="9.5546875" style="132" hidden="1" customWidth="1"/>
    <col min="12" max="12" width="9.6640625" style="132" hidden="1" customWidth="1"/>
    <col min="13" max="13" width="8.88671875" style="132" hidden="1" customWidth="1"/>
    <col min="14" max="15" width="9.6640625" style="132" hidden="1" customWidth="1"/>
    <col min="16" max="16" width="10.109375" style="132" hidden="1" customWidth="1"/>
    <col min="17" max="18" width="13.5546875" style="132" hidden="1" customWidth="1"/>
    <col min="19" max="19" width="7.5546875" style="132" hidden="1" customWidth="1"/>
    <col min="20" max="20" width="12.109375" style="132" customWidth="1"/>
    <col min="21" max="23" width="11.6640625" style="131" customWidth="1"/>
    <col min="24" max="24" width="7" style="131" hidden="1" customWidth="1"/>
    <col min="25" max="25" width="9.109375" style="131" hidden="1" customWidth="1"/>
    <col min="26" max="26" width="9.5546875" style="131" hidden="1" customWidth="1"/>
    <col min="27" max="27" width="11.6640625" style="131" customWidth="1"/>
    <col min="28" max="28" width="35.6640625" style="131" hidden="1" customWidth="1"/>
    <col min="29" max="29" width="7" style="131" hidden="1" customWidth="1"/>
    <col min="30" max="39" width="10.6640625" style="538" hidden="1" customWidth="1"/>
    <col min="40" max="41" width="10.6640625" style="131" customWidth="1"/>
    <col min="42" max="42" width="15.109375" style="131" customWidth="1"/>
    <col min="43" max="43" width="12.44140625" style="131" customWidth="1"/>
    <col min="44" max="46" width="10.6640625" style="131" hidden="1" customWidth="1"/>
    <col min="47" max="47" width="12.6640625" style="131" customWidth="1"/>
    <col min="48" max="48" width="11.6640625" style="131" hidden="1" customWidth="1"/>
    <col min="49" max="49" width="12.44140625" style="131" hidden="1" customWidth="1"/>
    <col min="50" max="52" width="10.6640625" style="131" hidden="1" customWidth="1"/>
    <col min="53" max="53" width="13" style="131" hidden="1" customWidth="1"/>
    <col min="54" max="16384" width="8.88671875" style="131"/>
  </cols>
  <sheetData>
    <row r="1" spans="1:53" s="141" customFormat="1" ht="18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D1" s="538"/>
      <c r="AE1" s="538"/>
      <c r="AF1" s="538"/>
      <c r="AG1" s="538"/>
      <c r="AH1" s="538"/>
      <c r="AI1" s="538"/>
      <c r="AJ1" s="538"/>
      <c r="AK1" s="538"/>
      <c r="AL1" s="538"/>
      <c r="AM1" s="538"/>
    </row>
    <row r="2" spans="1:53" ht="18">
      <c r="A2" s="154" t="s">
        <v>1104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</row>
    <row r="3" spans="1:53" ht="18">
      <c r="A3" s="154"/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</row>
    <row r="4" spans="1:53" ht="16.2" customHeight="1"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6" t="s">
        <v>1096</v>
      </c>
      <c r="AQ4" s="917"/>
      <c r="AR4" s="917"/>
      <c r="AS4" s="917"/>
      <c r="AT4" s="917"/>
      <c r="AU4" s="918"/>
      <c r="AV4" s="919" t="s">
        <v>1097</v>
      </c>
      <c r="AW4" s="919"/>
      <c r="AX4" s="919"/>
      <c r="AY4" s="919"/>
      <c r="AZ4" s="919"/>
      <c r="BA4" s="919"/>
    </row>
    <row r="5" spans="1:53" s="538" customFormat="1" ht="69">
      <c r="A5" s="130" t="s">
        <v>0</v>
      </c>
      <c r="B5" s="130" t="s">
        <v>1</v>
      </c>
      <c r="C5" s="130" t="s">
        <v>2</v>
      </c>
      <c r="D5" s="130" t="s">
        <v>3</v>
      </c>
      <c r="E5" s="130" t="s">
        <v>4</v>
      </c>
      <c r="F5" s="130" t="s">
        <v>5</v>
      </c>
      <c r="G5" s="130" t="s">
        <v>6</v>
      </c>
      <c r="H5" s="130" t="s">
        <v>7</v>
      </c>
      <c r="I5" s="130" t="s">
        <v>9</v>
      </c>
      <c r="J5" s="130" t="s">
        <v>125</v>
      </c>
      <c r="K5" s="130" t="s">
        <v>10</v>
      </c>
      <c r="L5" s="130" t="s">
        <v>11</v>
      </c>
      <c r="M5" s="130" t="s">
        <v>707</v>
      </c>
      <c r="N5" s="130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130" t="s">
        <v>13</v>
      </c>
      <c r="W5" s="130" t="s">
        <v>14</v>
      </c>
      <c r="X5" s="130" t="s">
        <v>15</v>
      </c>
      <c r="Y5" s="130" t="s">
        <v>214</v>
      </c>
      <c r="Z5" s="130" t="s">
        <v>502</v>
      </c>
      <c r="AA5" s="130" t="s">
        <v>75</v>
      </c>
      <c r="AB5" s="686" t="s">
        <v>242</v>
      </c>
      <c r="AC5" s="130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134" customFormat="1" ht="30" customHeight="1">
      <c r="A6" s="135">
        <v>1</v>
      </c>
      <c r="B6" s="469">
        <v>470</v>
      </c>
      <c r="C6" s="135" t="s">
        <v>58</v>
      </c>
      <c r="D6" s="120">
        <v>2130000</v>
      </c>
      <c r="E6" s="120">
        <v>2130000</v>
      </c>
      <c r="F6" s="120">
        <f t="shared" ref="F6:F15" si="0">D6-E6</f>
        <v>0</v>
      </c>
      <c r="G6" s="120">
        <v>1830000</v>
      </c>
      <c r="H6" s="120">
        <v>1737007</v>
      </c>
      <c r="I6" s="120">
        <v>0</v>
      </c>
      <c r="J6" s="120">
        <v>0</v>
      </c>
      <c r="K6" s="120">
        <f>SUM(I6:J6)</f>
        <v>0</v>
      </c>
      <c r="L6" s="120">
        <f t="shared" ref="L6:L17" si="1">H6+K6</f>
        <v>1737007</v>
      </c>
      <c r="M6" s="120">
        <f t="shared" ref="M6:M17" si="2">P6+S6</f>
        <v>92993</v>
      </c>
      <c r="N6" s="120"/>
      <c r="O6" s="120">
        <f t="shared" ref="O6:O17" si="3">D6-L6-M6-N6</f>
        <v>300000</v>
      </c>
      <c r="P6" s="120">
        <f t="shared" ref="P6:P17" si="4">G6-L6</f>
        <v>92993</v>
      </c>
      <c r="Q6" s="120"/>
      <c r="R6" s="120"/>
      <c r="S6" s="120">
        <f t="shared" ref="S6:S17" si="5">SUM(Q6:R6)</f>
        <v>0</v>
      </c>
      <c r="T6" s="120">
        <f t="shared" ref="T6:T17" si="6">P6-M6+S6</f>
        <v>0</v>
      </c>
      <c r="U6" s="120">
        <f t="shared" ref="U6:U17" si="7">N6-T6</f>
        <v>0</v>
      </c>
      <c r="V6" s="120">
        <f t="shared" ref="V6:V17" si="8">U6-W6-Z6-AA6</f>
        <v>0</v>
      </c>
      <c r="W6" s="120"/>
      <c r="X6" s="120"/>
      <c r="Y6" s="120"/>
      <c r="Z6" s="120"/>
      <c r="AA6" s="135"/>
      <c r="AB6" s="218" t="s">
        <v>288</v>
      </c>
      <c r="AC6" s="135">
        <v>935000</v>
      </c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>
        <f>SUM(AD6:AM6)</f>
        <v>0</v>
      </c>
      <c r="AO6" s="449">
        <f t="shared" ref="AO6:AO17" si="9">U6-AN6</f>
        <v>0</v>
      </c>
      <c r="AP6" s="449">
        <f>AN6</f>
        <v>0</v>
      </c>
      <c r="AQ6" s="655"/>
      <c r="AR6" s="324"/>
      <c r="AS6" s="324"/>
      <c r="AT6" s="324"/>
      <c r="AU6" s="324"/>
      <c r="AV6" s="449">
        <f>AM6</f>
        <v>0</v>
      </c>
      <c r="AW6" s="655"/>
      <c r="AX6" s="324"/>
      <c r="AY6" s="324"/>
      <c r="AZ6" s="324"/>
      <c r="BA6" s="324"/>
    </row>
    <row r="7" spans="1:53" s="134" customFormat="1" ht="30" customHeight="1">
      <c r="A7" s="135">
        <f>A6+1</f>
        <v>2</v>
      </c>
      <c r="B7" s="469">
        <v>1066</v>
      </c>
      <c r="C7" s="135" t="s">
        <v>59</v>
      </c>
      <c r="D7" s="120">
        <v>75000</v>
      </c>
      <c r="E7" s="120">
        <v>75000</v>
      </c>
      <c r="F7" s="120">
        <f t="shared" si="0"/>
        <v>0</v>
      </c>
      <c r="G7" s="120">
        <v>75000</v>
      </c>
      <c r="H7" s="120">
        <v>40172</v>
      </c>
      <c r="I7" s="120">
        <v>0</v>
      </c>
      <c r="J7" s="120">
        <v>0</v>
      </c>
      <c r="K7" s="120">
        <f t="shared" ref="K7:K17" si="10">SUM(I7:J7)</f>
        <v>0</v>
      </c>
      <c r="L7" s="120">
        <f t="shared" si="1"/>
        <v>40172</v>
      </c>
      <c r="M7" s="120">
        <f>P7+S7-30000</f>
        <v>4828</v>
      </c>
      <c r="N7" s="120">
        <v>30000</v>
      </c>
      <c r="O7" s="120">
        <f t="shared" si="3"/>
        <v>0</v>
      </c>
      <c r="P7" s="120">
        <f t="shared" si="4"/>
        <v>34828</v>
      </c>
      <c r="Q7" s="120"/>
      <c r="R7" s="120"/>
      <c r="S7" s="120">
        <f t="shared" si="5"/>
        <v>0</v>
      </c>
      <c r="T7" s="120">
        <f t="shared" si="6"/>
        <v>30000</v>
      </c>
      <c r="U7" s="120">
        <f t="shared" si="7"/>
        <v>0</v>
      </c>
      <c r="V7" s="120">
        <f t="shared" si="8"/>
        <v>0</v>
      </c>
      <c r="W7" s="120"/>
      <c r="X7" s="120"/>
      <c r="Y7" s="120"/>
      <c r="Z7" s="120"/>
      <c r="AA7" s="135"/>
      <c r="AB7" s="224" t="s">
        <v>308</v>
      </c>
      <c r="AC7" s="135">
        <v>935000</v>
      </c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>
        <f t="shared" ref="AN7:AN17" si="11">SUM(AD7:AM7)</f>
        <v>0</v>
      </c>
      <c r="AO7" s="449">
        <f t="shared" si="9"/>
        <v>0</v>
      </c>
      <c r="AP7" s="449">
        <f t="shared" ref="AP7:AP17" si="12">AN7</f>
        <v>0</v>
      </c>
      <c r="AQ7" s="655"/>
      <c r="AR7" s="324"/>
      <c r="AS7" s="324"/>
      <c r="AT7" s="324"/>
      <c r="AU7" s="324"/>
      <c r="AV7" s="449">
        <f t="shared" ref="AV7:AV17" si="13">AM7</f>
        <v>0</v>
      </c>
      <c r="AW7" s="655"/>
      <c r="AX7" s="324"/>
      <c r="AY7" s="324"/>
      <c r="AZ7" s="324"/>
      <c r="BA7" s="324"/>
    </row>
    <row r="8" spans="1:53" s="134" customFormat="1" ht="30" customHeight="1">
      <c r="A8" s="135">
        <f t="shared" ref="A8:A17" si="14">A7+1</f>
        <v>3</v>
      </c>
      <c r="B8" s="469">
        <v>1177</v>
      </c>
      <c r="C8" s="135" t="s">
        <v>60</v>
      </c>
      <c r="D8" s="120">
        <v>41850000</v>
      </c>
      <c r="E8" s="120">
        <v>41850000</v>
      </c>
      <c r="F8" s="120">
        <f t="shared" si="0"/>
        <v>0</v>
      </c>
      <c r="G8" s="120">
        <v>28957000</v>
      </c>
      <c r="H8" s="120">
        <v>26727455</v>
      </c>
      <c r="I8" s="120">
        <v>0</v>
      </c>
      <c r="J8" s="120">
        <v>0</v>
      </c>
      <c r="K8" s="120">
        <f t="shared" si="10"/>
        <v>0</v>
      </c>
      <c r="L8" s="120">
        <f t="shared" si="1"/>
        <v>26727455</v>
      </c>
      <c r="M8" s="120">
        <f>P8+S8-2200000</f>
        <v>29545</v>
      </c>
      <c r="N8" s="120">
        <v>2200000</v>
      </c>
      <c r="O8" s="120">
        <f t="shared" si="3"/>
        <v>12893000</v>
      </c>
      <c r="P8" s="120">
        <f t="shared" si="4"/>
        <v>2229545</v>
      </c>
      <c r="Q8" s="120"/>
      <c r="R8" s="120"/>
      <c r="S8" s="120">
        <f t="shared" si="5"/>
        <v>0</v>
      </c>
      <c r="T8" s="120">
        <f t="shared" si="6"/>
        <v>2200000</v>
      </c>
      <c r="U8" s="120">
        <f t="shared" si="7"/>
        <v>0</v>
      </c>
      <c r="V8" s="120">
        <f t="shared" si="8"/>
        <v>0</v>
      </c>
      <c r="W8" s="120"/>
      <c r="X8" s="120"/>
      <c r="Y8" s="120"/>
      <c r="Z8" s="120"/>
      <c r="AA8" s="135"/>
      <c r="AB8" s="224" t="s">
        <v>309</v>
      </c>
      <c r="AC8" s="135">
        <v>930000</v>
      </c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>
        <f t="shared" si="11"/>
        <v>0</v>
      </c>
      <c r="AO8" s="449">
        <f t="shared" si="9"/>
        <v>0</v>
      </c>
      <c r="AP8" s="449">
        <f t="shared" si="12"/>
        <v>0</v>
      </c>
      <c r="AQ8" s="655"/>
      <c r="AR8" s="324"/>
      <c r="AS8" s="324"/>
      <c r="AT8" s="324"/>
      <c r="AU8" s="324"/>
      <c r="AV8" s="449">
        <f t="shared" si="13"/>
        <v>0</v>
      </c>
      <c r="AW8" s="655"/>
      <c r="AX8" s="324"/>
      <c r="AY8" s="324"/>
      <c r="AZ8" s="324"/>
      <c r="BA8" s="324"/>
    </row>
    <row r="9" spans="1:53" s="134" customFormat="1" ht="30" customHeight="1">
      <c r="A9" s="135">
        <f t="shared" si="14"/>
        <v>4</v>
      </c>
      <c r="B9" s="469">
        <v>1258</v>
      </c>
      <c r="C9" s="135" t="s">
        <v>61</v>
      </c>
      <c r="D9" s="120">
        <v>1400000</v>
      </c>
      <c r="E9" s="120">
        <v>1400000</v>
      </c>
      <c r="F9" s="120">
        <f t="shared" si="0"/>
        <v>0</v>
      </c>
      <c r="G9" s="120">
        <v>950000</v>
      </c>
      <c r="H9" s="120">
        <v>949150</v>
      </c>
      <c r="I9" s="120">
        <v>0</v>
      </c>
      <c r="J9" s="120">
        <v>0</v>
      </c>
      <c r="K9" s="120">
        <f t="shared" si="10"/>
        <v>0</v>
      </c>
      <c r="L9" s="120">
        <f t="shared" si="1"/>
        <v>949150</v>
      </c>
      <c r="M9" s="120">
        <f t="shared" si="2"/>
        <v>300850</v>
      </c>
      <c r="N9" s="120"/>
      <c r="O9" s="120">
        <f t="shared" si="3"/>
        <v>150000</v>
      </c>
      <c r="P9" s="120">
        <f t="shared" si="4"/>
        <v>850</v>
      </c>
      <c r="Q9" s="120">
        <v>300000</v>
      </c>
      <c r="R9" s="120"/>
      <c r="S9" s="120">
        <f t="shared" si="5"/>
        <v>300000</v>
      </c>
      <c r="T9" s="120">
        <f t="shared" si="6"/>
        <v>0</v>
      </c>
      <c r="U9" s="120">
        <f t="shared" si="7"/>
        <v>0</v>
      </c>
      <c r="V9" s="120">
        <f t="shared" si="8"/>
        <v>0</v>
      </c>
      <c r="W9" s="120"/>
      <c r="X9" s="120"/>
      <c r="Y9" s="120"/>
      <c r="Z9" s="120"/>
      <c r="AA9" s="135"/>
      <c r="AB9" s="214" t="s">
        <v>239</v>
      </c>
      <c r="AC9" s="135">
        <v>930000</v>
      </c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>
        <f t="shared" si="11"/>
        <v>0</v>
      </c>
      <c r="AO9" s="449">
        <f t="shared" si="9"/>
        <v>0</v>
      </c>
      <c r="AP9" s="449">
        <f t="shared" si="12"/>
        <v>0</v>
      </c>
      <c r="AQ9" s="655"/>
      <c r="AR9" s="324"/>
      <c r="AS9" s="324"/>
      <c r="AT9" s="324"/>
      <c r="AU9" s="324"/>
      <c r="AV9" s="449">
        <f t="shared" si="13"/>
        <v>0</v>
      </c>
      <c r="AW9" s="655"/>
      <c r="AX9" s="324"/>
      <c r="AY9" s="324"/>
      <c r="AZ9" s="324"/>
      <c r="BA9" s="324"/>
    </row>
    <row r="10" spans="1:53" s="134" customFormat="1" ht="30" customHeight="1">
      <c r="A10" s="135">
        <f t="shared" si="14"/>
        <v>5</v>
      </c>
      <c r="B10" s="469">
        <v>1330</v>
      </c>
      <c r="C10" s="135" t="s">
        <v>62</v>
      </c>
      <c r="D10" s="120">
        <v>60700000</v>
      </c>
      <c r="E10" s="120">
        <v>60700000</v>
      </c>
      <c r="F10" s="120">
        <f t="shared" si="0"/>
        <v>0</v>
      </c>
      <c r="G10" s="120">
        <v>17249825</v>
      </c>
      <c r="H10" s="120">
        <v>7626051</v>
      </c>
      <c r="I10" s="120">
        <v>0</v>
      </c>
      <c r="J10" s="120">
        <v>21341</v>
      </c>
      <c r="K10" s="120">
        <f t="shared" si="10"/>
        <v>21341</v>
      </c>
      <c r="L10" s="120">
        <f t="shared" si="1"/>
        <v>7647392</v>
      </c>
      <c r="M10" s="120">
        <f>P10+S10-9600000</f>
        <v>2433</v>
      </c>
      <c r="N10" s="120">
        <v>9600000</v>
      </c>
      <c r="O10" s="120">
        <f t="shared" si="3"/>
        <v>43450175</v>
      </c>
      <c r="P10" s="120">
        <f t="shared" si="4"/>
        <v>9602433</v>
      </c>
      <c r="Q10" s="120"/>
      <c r="R10" s="120"/>
      <c r="S10" s="120">
        <f t="shared" si="5"/>
        <v>0</v>
      </c>
      <c r="T10" s="120">
        <f t="shared" si="6"/>
        <v>9600000</v>
      </c>
      <c r="U10" s="120">
        <f t="shared" si="7"/>
        <v>0</v>
      </c>
      <c r="V10" s="120">
        <f t="shared" si="8"/>
        <v>0</v>
      </c>
      <c r="W10" s="120"/>
      <c r="X10" s="120"/>
      <c r="Y10" s="120"/>
      <c r="Z10" s="120"/>
      <c r="AA10" s="135"/>
      <c r="AB10" s="224" t="s">
        <v>310</v>
      </c>
      <c r="AC10" s="135">
        <v>930000</v>
      </c>
      <c r="AD10" s="449"/>
      <c r="AE10" s="449"/>
      <c r="AF10" s="449"/>
      <c r="AG10" s="449"/>
      <c r="AH10" s="449"/>
      <c r="AI10" s="449"/>
      <c r="AJ10" s="449"/>
      <c r="AK10" s="449"/>
      <c r="AL10" s="449"/>
      <c r="AM10" s="449"/>
      <c r="AN10" s="449">
        <f t="shared" si="11"/>
        <v>0</v>
      </c>
      <c r="AO10" s="449">
        <f t="shared" si="9"/>
        <v>0</v>
      </c>
      <c r="AP10" s="449">
        <f t="shared" si="12"/>
        <v>0</v>
      </c>
      <c r="AQ10" s="655"/>
      <c r="AR10" s="324"/>
      <c r="AS10" s="324"/>
      <c r="AT10" s="324"/>
      <c r="AU10" s="324"/>
      <c r="AV10" s="449">
        <f t="shared" si="13"/>
        <v>0</v>
      </c>
      <c r="AW10" s="655"/>
      <c r="AX10" s="324"/>
      <c r="AY10" s="324"/>
      <c r="AZ10" s="324"/>
      <c r="BA10" s="324"/>
    </row>
    <row r="11" spans="1:53" s="134" customFormat="1" ht="30" customHeight="1">
      <c r="A11" s="135">
        <f t="shared" si="14"/>
        <v>6</v>
      </c>
      <c r="B11" s="135">
        <v>1704</v>
      </c>
      <c r="C11" s="135" t="s">
        <v>909</v>
      </c>
      <c r="D11" s="120">
        <v>5784000</v>
      </c>
      <c r="E11" s="120">
        <v>5784000</v>
      </c>
      <c r="F11" s="120">
        <f t="shared" si="0"/>
        <v>0</v>
      </c>
      <c r="G11" s="120">
        <v>890000</v>
      </c>
      <c r="H11" s="120">
        <v>257171</v>
      </c>
      <c r="I11" s="120">
        <v>0</v>
      </c>
      <c r="J11" s="120">
        <v>562556</v>
      </c>
      <c r="K11" s="120">
        <f t="shared" si="10"/>
        <v>562556</v>
      </c>
      <c r="L11" s="120">
        <f t="shared" si="1"/>
        <v>819727</v>
      </c>
      <c r="M11" s="120">
        <f t="shared" si="2"/>
        <v>760273</v>
      </c>
      <c r="N11" s="120"/>
      <c r="O11" s="120">
        <f t="shared" si="3"/>
        <v>4204000</v>
      </c>
      <c r="P11" s="120">
        <f t="shared" si="4"/>
        <v>70273</v>
      </c>
      <c r="Q11" s="120">
        <v>690000</v>
      </c>
      <c r="R11" s="120"/>
      <c r="S11" s="120">
        <f t="shared" si="5"/>
        <v>690000</v>
      </c>
      <c r="T11" s="120">
        <f t="shared" si="6"/>
        <v>0</v>
      </c>
      <c r="U11" s="120">
        <f t="shared" si="7"/>
        <v>0</v>
      </c>
      <c r="V11" s="120">
        <f t="shared" si="8"/>
        <v>0</v>
      </c>
      <c r="W11" s="120"/>
      <c r="X11" s="120"/>
      <c r="Y11" s="120"/>
      <c r="Z11" s="120"/>
      <c r="AA11" s="135"/>
      <c r="AB11" s="214" t="s">
        <v>910</v>
      </c>
      <c r="AC11" s="135">
        <v>930000</v>
      </c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>
        <f t="shared" si="11"/>
        <v>0</v>
      </c>
      <c r="AO11" s="449">
        <f t="shared" si="9"/>
        <v>0</v>
      </c>
      <c r="AP11" s="449">
        <f t="shared" si="12"/>
        <v>0</v>
      </c>
      <c r="AQ11" s="655"/>
      <c r="AR11" s="324"/>
      <c r="AS11" s="324"/>
      <c r="AT11" s="324"/>
      <c r="AU11" s="324"/>
      <c r="AV11" s="449">
        <f t="shared" si="13"/>
        <v>0</v>
      </c>
      <c r="AW11" s="655"/>
      <c r="AX11" s="324"/>
      <c r="AY11" s="324"/>
      <c r="AZ11" s="324"/>
      <c r="BA11" s="324"/>
    </row>
    <row r="12" spans="1:53" s="452" customFormat="1" ht="30" customHeight="1">
      <c r="A12" s="135">
        <f t="shared" si="14"/>
        <v>7</v>
      </c>
      <c r="B12" s="448">
        <v>1805</v>
      </c>
      <c r="C12" s="448" t="s">
        <v>94</v>
      </c>
      <c r="D12" s="449">
        <v>2250000</v>
      </c>
      <c r="E12" s="449">
        <v>2250000</v>
      </c>
      <c r="F12" s="449">
        <f t="shared" si="0"/>
        <v>0</v>
      </c>
      <c r="G12" s="449">
        <v>850000</v>
      </c>
      <c r="H12" s="449">
        <v>38266</v>
      </c>
      <c r="I12" s="449">
        <v>0</v>
      </c>
      <c r="J12" s="449">
        <v>5343</v>
      </c>
      <c r="K12" s="449">
        <f t="shared" si="10"/>
        <v>5343</v>
      </c>
      <c r="L12" s="449">
        <f t="shared" si="1"/>
        <v>43609</v>
      </c>
      <c r="M12" s="120">
        <f>P12+S12-800000</f>
        <v>6391</v>
      </c>
      <c r="N12" s="449">
        <v>800000</v>
      </c>
      <c r="O12" s="449">
        <f>D12-L12-M12-N12</f>
        <v>1400000</v>
      </c>
      <c r="P12" s="449">
        <f>G12-L12</f>
        <v>806391</v>
      </c>
      <c r="Q12" s="449"/>
      <c r="R12" s="449"/>
      <c r="S12" s="449">
        <f>SUM(Q12:R12)</f>
        <v>0</v>
      </c>
      <c r="T12" s="449">
        <f>P12-M12+S12</f>
        <v>800000</v>
      </c>
      <c r="U12" s="449">
        <f>N12-T12</f>
        <v>0</v>
      </c>
      <c r="V12" s="449">
        <f>U12-AA12-W12-Z12</f>
        <v>0</v>
      </c>
      <c r="W12" s="449"/>
      <c r="X12" s="449"/>
      <c r="Y12" s="449"/>
      <c r="Z12" s="449"/>
      <c r="AA12" s="448"/>
      <c r="AB12" s="448" t="s">
        <v>381</v>
      </c>
      <c r="AC12" s="448">
        <v>742000</v>
      </c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>
        <f t="shared" si="11"/>
        <v>0</v>
      </c>
      <c r="AO12" s="449">
        <f t="shared" si="9"/>
        <v>0</v>
      </c>
      <c r="AP12" s="449">
        <f t="shared" si="12"/>
        <v>0</v>
      </c>
      <c r="AQ12" s="655"/>
      <c r="AR12" s="324"/>
      <c r="AS12" s="324"/>
      <c r="AT12" s="324"/>
      <c r="AU12" s="324"/>
      <c r="AV12" s="449">
        <f t="shared" si="13"/>
        <v>0</v>
      </c>
      <c r="AW12" s="655"/>
      <c r="AX12" s="324"/>
      <c r="AY12" s="324"/>
      <c r="AZ12" s="324"/>
      <c r="BA12" s="324"/>
    </row>
    <row r="13" spans="1:53" s="134" customFormat="1" ht="30" customHeight="1">
      <c r="A13" s="135">
        <f t="shared" si="14"/>
        <v>8</v>
      </c>
      <c r="B13" s="469">
        <v>1983</v>
      </c>
      <c r="C13" s="135" t="s">
        <v>120</v>
      </c>
      <c r="D13" s="120">
        <v>800000</v>
      </c>
      <c r="E13" s="120">
        <v>800000</v>
      </c>
      <c r="F13" s="120">
        <f t="shared" si="0"/>
        <v>0</v>
      </c>
      <c r="G13" s="120">
        <v>100000</v>
      </c>
      <c r="H13" s="120">
        <v>10249</v>
      </c>
      <c r="I13" s="120">
        <v>0</v>
      </c>
      <c r="J13" s="120">
        <v>0</v>
      </c>
      <c r="K13" s="120">
        <f t="shared" si="10"/>
        <v>0</v>
      </c>
      <c r="L13" s="120">
        <f t="shared" si="1"/>
        <v>10249</v>
      </c>
      <c r="M13" s="120">
        <f t="shared" si="2"/>
        <v>89751</v>
      </c>
      <c r="N13" s="120"/>
      <c r="O13" s="120">
        <f t="shared" si="3"/>
        <v>700000</v>
      </c>
      <c r="P13" s="120">
        <f t="shared" si="4"/>
        <v>89751</v>
      </c>
      <c r="Q13" s="120"/>
      <c r="R13" s="120"/>
      <c r="S13" s="120">
        <f t="shared" si="5"/>
        <v>0</v>
      </c>
      <c r="T13" s="120">
        <f t="shared" si="6"/>
        <v>0</v>
      </c>
      <c r="U13" s="120">
        <f t="shared" si="7"/>
        <v>0</v>
      </c>
      <c r="V13" s="120">
        <f t="shared" si="8"/>
        <v>0</v>
      </c>
      <c r="W13" s="120"/>
      <c r="X13" s="120"/>
      <c r="Y13" s="120"/>
      <c r="Z13" s="120"/>
      <c r="AA13" s="135"/>
      <c r="AB13" s="214" t="s">
        <v>240</v>
      </c>
      <c r="AC13" s="135">
        <v>930000</v>
      </c>
      <c r="AD13" s="449"/>
      <c r="AE13" s="449"/>
      <c r="AF13" s="449"/>
      <c r="AG13" s="449"/>
      <c r="AH13" s="449"/>
      <c r="AI13" s="449"/>
      <c r="AJ13" s="449"/>
      <c r="AK13" s="449"/>
      <c r="AL13" s="449"/>
      <c r="AM13" s="449"/>
      <c r="AN13" s="449">
        <f t="shared" si="11"/>
        <v>0</v>
      </c>
      <c r="AO13" s="449">
        <f t="shared" si="9"/>
        <v>0</v>
      </c>
      <c r="AP13" s="449">
        <f t="shared" si="12"/>
        <v>0</v>
      </c>
      <c r="AQ13" s="655"/>
      <c r="AR13" s="324"/>
      <c r="AS13" s="324"/>
      <c r="AT13" s="324"/>
      <c r="AU13" s="324"/>
      <c r="AV13" s="449">
        <f t="shared" si="13"/>
        <v>0</v>
      </c>
      <c r="AW13" s="655"/>
      <c r="AX13" s="324"/>
      <c r="AY13" s="324"/>
      <c r="AZ13" s="324"/>
      <c r="BA13" s="324"/>
    </row>
    <row r="14" spans="1:53" s="134" customFormat="1" ht="30" customHeight="1">
      <c r="A14" s="135">
        <f t="shared" si="14"/>
        <v>9</v>
      </c>
      <c r="B14" s="469">
        <v>1993</v>
      </c>
      <c r="C14" s="135" t="s">
        <v>128</v>
      </c>
      <c r="D14" s="120">
        <v>6000000</v>
      </c>
      <c r="E14" s="120">
        <v>6000000</v>
      </c>
      <c r="F14" s="120">
        <f t="shared" si="0"/>
        <v>0</v>
      </c>
      <c r="G14" s="120">
        <v>6000000</v>
      </c>
      <c r="H14" s="120">
        <v>3768953</v>
      </c>
      <c r="I14" s="120">
        <v>280567</v>
      </c>
      <c r="J14" s="120">
        <v>0</v>
      </c>
      <c r="K14" s="120">
        <f t="shared" si="10"/>
        <v>280567</v>
      </c>
      <c r="L14" s="120">
        <f t="shared" si="1"/>
        <v>4049520</v>
      </c>
      <c r="M14" s="120">
        <f t="shared" si="2"/>
        <v>1950480</v>
      </c>
      <c r="N14" s="120"/>
      <c r="O14" s="120">
        <f t="shared" si="3"/>
        <v>0</v>
      </c>
      <c r="P14" s="120">
        <f t="shared" si="4"/>
        <v>1950480</v>
      </c>
      <c r="Q14" s="120"/>
      <c r="R14" s="120"/>
      <c r="S14" s="120">
        <f t="shared" si="5"/>
        <v>0</v>
      </c>
      <c r="T14" s="120">
        <f t="shared" si="6"/>
        <v>0</v>
      </c>
      <c r="U14" s="120">
        <f t="shared" si="7"/>
        <v>0</v>
      </c>
      <c r="V14" s="120">
        <f t="shared" si="8"/>
        <v>0</v>
      </c>
      <c r="W14" s="120"/>
      <c r="X14" s="120"/>
      <c r="Y14" s="120"/>
      <c r="Z14" s="120"/>
      <c r="AA14" s="135"/>
      <c r="AB14" s="224" t="s">
        <v>290</v>
      </c>
      <c r="AC14" s="135">
        <v>930000</v>
      </c>
      <c r="AD14" s="449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>
        <f t="shared" si="11"/>
        <v>0</v>
      </c>
      <c r="AO14" s="449">
        <f t="shared" si="9"/>
        <v>0</v>
      </c>
      <c r="AP14" s="449">
        <f t="shared" si="12"/>
        <v>0</v>
      </c>
      <c r="AQ14" s="655"/>
      <c r="AR14" s="324"/>
      <c r="AS14" s="324"/>
      <c r="AT14" s="324"/>
      <c r="AU14" s="324"/>
      <c r="AV14" s="449">
        <f t="shared" si="13"/>
        <v>0</v>
      </c>
      <c r="AW14" s="655"/>
      <c r="AX14" s="324"/>
      <c r="AY14" s="324"/>
      <c r="AZ14" s="324"/>
      <c r="BA14" s="324"/>
    </row>
    <row r="15" spans="1:53" s="134" customFormat="1" ht="30" customHeight="1">
      <c r="A15" s="135">
        <f t="shared" si="14"/>
        <v>10</v>
      </c>
      <c r="B15" s="469">
        <v>2055</v>
      </c>
      <c r="C15" s="135" t="s">
        <v>286</v>
      </c>
      <c r="D15" s="120">
        <v>220000</v>
      </c>
      <c r="E15" s="120">
        <v>220000</v>
      </c>
      <c r="F15" s="120">
        <f t="shared" si="0"/>
        <v>0</v>
      </c>
      <c r="G15" s="120">
        <v>200000</v>
      </c>
      <c r="H15" s="120">
        <v>122292</v>
      </c>
      <c r="I15" s="120">
        <v>0</v>
      </c>
      <c r="J15" s="120">
        <v>0</v>
      </c>
      <c r="K15" s="120">
        <f t="shared" si="10"/>
        <v>0</v>
      </c>
      <c r="L15" s="120">
        <f t="shared" si="1"/>
        <v>122292</v>
      </c>
      <c r="M15" s="120">
        <f>P15+S15-70000</f>
        <v>7708</v>
      </c>
      <c r="N15" s="120">
        <v>70000</v>
      </c>
      <c r="O15" s="120">
        <f t="shared" si="3"/>
        <v>20000</v>
      </c>
      <c r="P15" s="120">
        <f t="shared" si="4"/>
        <v>77708</v>
      </c>
      <c r="Q15" s="120"/>
      <c r="R15" s="120"/>
      <c r="S15" s="120">
        <f t="shared" si="5"/>
        <v>0</v>
      </c>
      <c r="T15" s="120">
        <f t="shared" si="6"/>
        <v>70000</v>
      </c>
      <c r="U15" s="120">
        <f t="shared" si="7"/>
        <v>0</v>
      </c>
      <c r="V15" s="120">
        <f t="shared" si="8"/>
        <v>0</v>
      </c>
      <c r="W15" s="120"/>
      <c r="X15" s="120"/>
      <c r="Y15" s="120"/>
      <c r="Z15" s="120"/>
      <c r="AA15" s="135"/>
      <c r="AB15" s="224" t="s">
        <v>311</v>
      </c>
      <c r="AC15" s="135">
        <v>930000</v>
      </c>
      <c r="AD15" s="449"/>
      <c r="AE15" s="449"/>
      <c r="AF15" s="449"/>
      <c r="AG15" s="449"/>
      <c r="AH15" s="449"/>
      <c r="AI15" s="449"/>
      <c r="AJ15" s="449"/>
      <c r="AK15" s="449"/>
      <c r="AL15" s="449"/>
      <c r="AM15" s="449"/>
      <c r="AN15" s="449">
        <f t="shared" si="11"/>
        <v>0</v>
      </c>
      <c r="AO15" s="449">
        <f t="shared" si="9"/>
        <v>0</v>
      </c>
      <c r="AP15" s="449">
        <f t="shared" si="12"/>
        <v>0</v>
      </c>
      <c r="AQ15" s="655"/>
      <c r="AR15" s="324"/>
      <c r="AS15" s="324"/>
      <c r="AT15" s="324"/>
      <c r="AU15" s="324"/>
      <c r="AV15" s="449">
        <f t="shared" si="13"/>
        <v>0</v>
      </c>
      <c r="AW15" s="655"/>
      <c r="AX15" s="324"/>
      <c r="AY15" s="324"/>
      <c r="AZ15" s="324"/>
      <c r="BA15" s="324"/>
    </row>
    <row r="16" spans="1:53" s="134" customFormat="1" ht="30" customHeight="1">
      <c r="A16" s="135">
        <f t="shared" si="14"/>
        <v>11</v>
      </c>
      <c r="B16" s="469">
        <v>2072</v>
      </c>
      <c r="C16" s="135" t="s">
        <v>339</v>
      </c>
      <c r="D16" s="120">
        <v>100000</v>
      </c>
      <c r="E16" s="120">
        <v>100000</v>
      </c>
      <c r="F16" s="120">
        <f>D16-E16</f>
        <v>0</v>
      </c>
      <c r="G16" s="120">
        <v>100000</v>
      </c>
      <c r="H16" s="120">
        <v>33398</v>
      </c>
      <c r="I16" s="120">
        <v>0</v>
      </c>
      <c r="J16" s="120">
        <v>0</v>
      </c>
      <c r="K16" s="120">
        <f t="shared" si="10"/>
        <v>0</v>
      </c>
      <c r="L16" s="120">
        <f t="shared" si="1"/>
        <v>33398</v>
      </c>
      <c r="M16" s="120">
        <f>P16+S16-60000</f>
        <v>6602</v>
      </c>
      <c r="N16" s="120">
        <v>60000</v>
      </c>
      <c r="O16" s="120">
        <f t="shared" si="3"/>
        <v>0</v>
      </c>
      <c r="P16" s="120">
        <f t="shared" si="4"/>
        <v>66602</v>
      </c>
      <c r="Q16" s="120"/>
      <c r="R16" s="120"/>
      <c r="S16" s="120">
        <f t="shared" si="5"/>
        <v>0</v>
      </c>
      <c r="T16" s="120">
        <f t="shared" si="6"/>
        <v>60000</v>
      </c>
      <c r="U16" s="120">
        <f t="shared" si="7"/>
        <v>0</v>
      </c>
      <c r="V16" s="120">
        <f t="shared" si="8"/>
        <v>0</v>
      </c>
      <c r="W16" s="120"/>
      <c r="X16" s="120"/>
      <c r="Y16" s="120"/>
      <c r="Z16" s="120"/>
      <c r="AA16" s="135"/>
      <c r="AB16" s="224" t="s">
        <v>312</v>
      </c>
      <c r="AC16" s="135">
        <v>930000</v>
      </c>
      <c r="AD16" s="449"/>
      <c r="AE16" s="449"/>
      <c r="AF16" s="449"/>
      <c r="AG16" s="449"/>
      <c r="AH16" s="449"/>
      <c r="AI16" s="449"/>
      <c r="AJ16" s="449"/>
      <c r="AK16" s="449"/>
      <c r="AL16" s="449"/>
      <c r="AM16" s="449"/>
      <c r="AN16" s="449">
        <f t="shared" si="11"/>
        <v>0</v>
      </c>
      <c r="AO16" s="449">
        <f t="shared" si="9"/>
        <v>0</v>
      </c>
      <c r="AP16" s="449">
        <f t="shared" si="12"/>
        <v>0</v>
      </c>
      <c r="AQ16" s="655"/>
      <c r="AR16" s="324"/>
      <c r="AS16" s="324"/>
      <c r="AT16" s="324"/>
      <c r="AU16" s="324"/>
      <c r="AV16" s="449">
        <f t="shared" si="13"/>
        <v>0</v>
      </c>
      <c r="AW16" s="655"/>
      <c r="AX16" s="324"/>
      <c r="AY16" s="324"/>
      <c r="AZ16" s="324"/>
      <c r="BA16" s="324"/>
    </row>
    <row r="17" spans="1:63" s="134" customFormat="1" ht="30" customHeight="1">
      <c r="A17" s="135">
        <f t="shared" si="14"/>
        <v>12</v>
      </c>
      <c r="B17" s="469">
        <v>2223</v>
      </c>
      <c r="C17" s="135" t="s">
        <v>442</v>
      </c>
      <c r="D17" s="120">
        <v>600000</v>
      </c>
      <c r="E17" s="120">
        <v>600000</v>
      </c>
      <c r="F17" s="120">
        <f>D17-E17</f>
        <v>0</v>
      </c>
      <c r="G17" s="120">
        <v>300000</v>
      </c>
      <c r="H17" s="120">
        <v>0</v>
      </c>
      <c r="I17" s="120">
        <v>0</v>
      </c>
      <c r="J17" s="120">
        <v>0</v>
      </c>
      <c r="K17" s="120">
        <f t="shared" si="10"/>
        <v>0</v>
      </c>
      <c r="L17" s="120">
        <f t="shared" si="1"/>
        <v>0</v>
      </c>
      <c r="M17" s="120">
        <f t="shared" si="2"/>
        <v>300000</v>
      </c>
      <c r="N17" s="120">
        <v>300000</v>
      </c>
      <c r="O17" s="120">
        <f t="shared" si="3"/>
        <v>0</v>
      </c>
      <c r="P17" s="120">
        <f t="shared" si="4"/>
        <v>300000</v>
      </c>
      <c r="Q17" s="120"/>
      <c r="R17" s="120"/>
      <c r="S17" s="120">
        <f t="shared" si="5"/>
        <v>0</v>
      </c>
      <c r="T17" s="120">
        <f t="shared" si="6"/>
        <v>0</v>
      </c>
      <c r="U17" s="120">
        <f t="shared" si="7"/>
        <v>300000</v>
      </c>
      <c r="V17" s="120">
        <f t="shared" si="8"/>
        <v>300000</v>
      </c>
      <c r="W17" s="120"/>
      <c r="X17" s="120"/>
      <c r="Y17" s="120"/>
      <c r="Z17" s="120"/>
      <c r="AA17" s="135"/>
      <c r="AB17" s="224" t="s">
        <v>443</v>
      </c>
      <c r="AC17" s="135">
        <v>930000</v>
      </c>
      <c r="AD17" s="449"/>
      <c r="AE17" s="449"/>
      <c r="AF17" s="449"/>
      <c r="AG17" s="449"/>
      <c r="AH17" s="449"/>
      <c r="AI17" s="449"/>
      <c r="AJ17" s="449"/>
      <c r="AK17" s="449"/>
      <c r="AL17" s="449"/>
      <c r="AM17" s="449"/>
      <c r="AN17" s="449">
        <f t="shared" si="11"/>
        <v>0</v>
      </c>
      <c r="AO17" s="449">
        <f t="shared" si="9"/>
        <v>300000</v>
      </c>
      <c r="AP17" s="449">
        <f t="shared" si="12"/>
        <v>0</v>
      </c>
      <c r="AQ17" s="655"/>
      <c r="AR17" s="324"/>
      <c r="AS17" s="324"/>
      <c r="AT17" s="324"/>
      <c r="AU17" s="324"/>
      <c r="AV17" s="449">
        <f t="shared" si="13"/>
        <v>0</v>
      </c>
      <c r="AW17" s="655"/>
      <c r="AX17" s="324"/>
      <c r="AY17" s="324"/>
      <c r="AZ17" s="324"/>
      <c r="BA17" s="324"/>
    </row>
    <row r="18" spans="1:63" s="456" customFormat="1" ht="30" customHeight="1">
      <c r="A18" s="512">
        <f>A17</f>
        <v>12</v>
      </c>
      <c r="B18" s="454"/>
      <c r="C18" s="454" t="s">
        <v>296</v>
      </c>
      <c r="D18" s="425">
        <f>SUM(D6:D17)</f>
        <v>121909000</v>
      </c>
      <c r="E18" s="425">
        <f t="shared" ref="E18:BA18" si="15">SUM(E6:E17)</f>
        <v>121909000</v>
      </c>
      <c r="F18" s="425">
        <f t="shared" si="15"/>
        <v>0</v>
      </c>
      <c r="G18" s="425">
        <f t="shared" si="15"/>
        <v>57501825</v>
      </c>
      <c r="H18" s="425">
        <f t="shared" si="15"/>
        <v>41310164</v>
      </c>
      <c r="I18" s="425">
        <f t="shared" si="15"/>
        <v>280567</v>
      </c>
      <c r="J18" s="425">
        <f t="shared" si="15"/>
        <v>589240</v>
      </c>
      <c r="K18" s="425">
        <f t="shared" si="15"/>
        <v>869807</v>
      </c>
      <c r="L18" s="425">
        <f t="shared" si="15"/>
        <v>42179971</v>
      </c>
      <c r="M18" s="425">
        <f t="shared" si="15"/>
        <v>3551854</v>
      </c>
      <c r="N18" s="425">
        <f t="shared" si="15"/>
        <v>13060000</v>
      </c>
      <c r="O18" s="425">
        <f t="shared" si="15"/>
        <v>63117175</v>
      </c>
      <c r="P18" s="425">
        <f t="shared" si="15"/>
        <v>15321854</v>
      </c>
      <c r="Q18" s="425">
        <f t="shared" si="15"/>
        <v>990000</v>
      </c>
      <c r="R18" s="425">
        <f t="shared" si="15"/>
        <v>0</v>
      </c>
      <c r="S18" s="425">
        <f t="shared" si="15"/>
        <v>990000</v>
      </c>
      <c r="T18" s="425">
        <f t="shared" si="15"/>
        <v>12760000</v>
      </c>
      <c r="U18" s="425">
        <f t="shared" si="15"/>
        <v>300000</v>
      </c>
      <c r="V18" s="425">
        <f t="shared" si="15"/>
        <v>300000</v>
      </c>
      <c r="W18" s="425">
        <f t="shared" si="15"/>
        <v>0</v>
      </c>
      <c r="X18" s="425">
        <f t="shared" si="15"/>
        <v>0</v>
      </c>
      <c r="Y18" s="425">
        <f t="shared" si="15"/>
        <v>0</v>
      </c>
      <c r="Z18" s="425">
        <f t="shared" si="15"/>
        <v>0</v>
      </c>
      <c r="AA18" s="425">
        <f t="shared" si="15"/>
        <v>0</v>
      </c>
      <c r="AB18" s="425">
        <f t="shared" si="15"/>
        <v>0</v>
      </c>
      <c r="AC18" s="425">
        <f t="shared" si="15"/>
        <v>10982000</v>
      </c>
      <c r="AD18" s="425">
        <f t="shared" si="15"/>
        <v>0</v>
      </c>
      <c r="AE18" s="425">
        <f t="shared" si="15"/>
        <v>0</v>
      </c>
      <c r="AF18" s="425">
        <f t="shared" si="15"/>
        <v>0</v>
      </c>
      <c r="AG18" s="425">
        <f t="shared" si="15"/>
        <v>0</v>
      </c>
      <c r="AH18" s="425">
        <f t="shared" si="15"/>
        <v>0</v>
      </c>
      <c r="AI18" s="425">
        <f t="shared" si="15"/>
        <v>0</v>
      </c>
      <c r="AJ18" s="425">
        <f t="shared" si="15"/>
        <v>0</v>
      </c>
      <c r="AK18" s="425">
        <f t="shared" si="15"/>
        <v>0</v>
      </c>
      <c r="AL18" s="425">
        <f t="shared" si="15"/>
        <v>0</v>
      </c>
      <c r="AM18" s="425">
        <f t="shared" si="15"/>
        <v>0</v>
      </c>
      <c r="AN18" s="425">
        <f t="shared" si="15"/>
        <v>0</v>
      </c>
      <c r="AO18" s="425">
        <f t="shared" si="15"/>
        <v>300000</v>
      </c>
      <c r="AP18" s="425">
        <f t="shared" si="15"/>
        <v>0</v>
      </c>
      <c r="AQ18" s="425">
        <f t="shared" si="15"/>
        <v>0</v>
      </c>
      <c r="AR18" s="425">
        <f t="shared" si="15"/>
        <v>0</v>
      </c>
      <c r="AS18" s="425">
        <f t="shared" si="15"/>
        <v>0</v>
      </c>
      <c r="AT18" s="425">
        <f t="shared" si="15"/>
        <v>0</v>
      </c>
      <c r="AU18" s="425">
        <f t="shared" si="15"/>
        <v>0</v>
      </c>
      <c r="AV18" s="425">
        <f t="shared" si="15"/>
        <v>0</v>
      </c>
      <c r="AW18" s="425">
        <f t="shared" si="15"/>
        <v>0</v>
      </c>
      <c r="AX18" s="425">
        <f t="shared" si="15"/>
        <v>0</v>
      </c>
      <c r="AY18" s="425">
        <f t="shared" si="15"/>
        <v>0</v>
      </c>
      <c r="AZ18" s="425">
        <f t="shared" si="15"/>
        <v>0</v>
      </c>
      <c r="BA18" s="425">
        <f t="shared" si="15"/>
        <v>0</v>
      </c>
      <c r="BB18" s="374"/>
      <c r="BC18" s="374"/>
      <c r="BD18" s="374"/>
      <c r="BE18" s="374"/>
      <c r="BF18" s="374"/>
      <c r="BG18" s="374"/>
      <c r="BH18" s="374"/>
      <c r="BI18" s="374"/>
      <c r="BJ18" s="374"/>
      <c r="BK18" s="374"/>
    </row>
  </sheetData>
  <sheetProtection formatCells="0" formatColumns="0" formatRows="0" insertColumns="0" insertRows="0" insertHyperlinks="0" deleteColumns="0" deleteRows="0" sort="0" autoFilter="0" pivotTables="0"/>
  <mergeCells count="5">
    <mergeCell ref="V4:AA4"/>
    <mergeCell ref="AD4:AO4"/>
    <mergeCell ref="AP4:AU4"/>
    <mergeCell ref="AV4:BA4"/>
    <mergeCell ref="T4:U4"/>
  </mergeCells>
  <conditionalFormatting sqref="AB5">
    <cfRule type="cellIs" dxfId="2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1"/>
  <sheetViews>
    <sheetView showZeros="0" rightToLeft="1" zoomScaleNormal="100" workbookViewId="0">
      <pane xSplit="3" ySplit="5" topLeftCell="D6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9.109375" defaultRowHeight="18"/>
  <cols>
    <col min="1" max="1" width="3.6640625" style="464" customWidth="1"/>
    <col min="2" max="2" width="5.6640625" style="465" customWidth="1"/>
    <col min="3" max="3" width="24.88671875" style="465" customWidth="1"/>
    <col min="4" max="4" width="10.6640625" style="467" hidden="1" customWidth="1"/>
    <col min="5" max="5" width="10.109375" style="467" hidden="1" customWidth="1"/>
    <col min="6" max="6" width="8.33203125" style="467" hidden="1" customWidth="1"/>
    <col min="7" max="7" width="11.109375" style="467" hidden="1" customWidth="1"/>
    <col min="8" max="8" width="10.109375" style="467" hidden="1" customWidth="1"/>
    <col min="9" max="9" width="6.6640625" style="467" hidden="1" customWidth="1"/>
    <col min="10" max="11" width="9.109375" style="467" hidden="1" customWidth="1"/>
    <col min="12" max="15" width="9.6640625" style="467" hidden="1" customWidth="1"/>
    <col min="16" max="16" width="10.109375" style="467" hidden="1" customWidth="1"/>
    <col min="17" max="18" width="13.5546875" style="467" hidden="1" customWidth="1"/>
    <col min="19" max="19" width="8.44140625" style="467" hidden="1" customWidth="1"/>
    <col min="20" max="20" width="11.6640625" style="467" customWidth="1"/>
    <col min="21" max="23" width="11.6640625" style="465" customWidth="1"/>
    <col min="24" max="24" width="6.44140625" style="465" hidden="1" customWidth="1"/>
    <col min="25" max="25" width="7.44140625" style="465" hidden="1" customWidth="1"/>
    <col min="26" max="26" width="7.88671875" style="465" hidden="1" customWidth="1"/>
    <col min="27" max="27" width="11.6640625" style="465" customWidth="1"/>
    <col min="28" max="28" width="31.5546875" style="468" hidden="1" customWidth="1"/>
    <col min="29" max="29" width="7" style="465" hidden="1" customWidth="1"/>
    <col min="30" max="39" width="10.6640625" style="542" hidden="1" customWidth="1"/>
    <col min="40" max="41" width="10.6640625" style="542" customWidth="1"/>
    <col min="42" max="42" width="13.33203125" style="465" customWidth="1"/>
    <col min="43" max="43" width="13.109375" style="547" customWidth="1"/>
    <col min="44" max="46" width="10.6640625" style="465" hidden="1" customWidth="1"/>
    <col min="47" max="47" width="12.44140625" style="465" customWidth="1"/>
    <col min="48" max="48" width="10.6640625" style="465" hidden="1" customWidth="1"/>
    <col min="49" max="49" width="10.6640625" style="547" hidden="1" customWidth="1"/>
    <col min="50" max="53" width="10.6640625" style="465" hidden="1" customWidth="1"/>
    <col min="54" max="56" width="0" style="465" hidden="1" customWidth="1"/>
    <col min="57" max="16384" width="9.109375" style="465"/>
  </cols>
  <sheetData>
    <row r="1" spans="1:53" s="542" customFormat="1">
      <c r="A1" s="897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541"/>
      <c r="Y1" s="541"/>
      <c r="Z1" s="541"/>
      <c r="AB1" s="543"/>
      <c r="AQ1" s="547"/>
      <c r="AW1" s="547"/>
    </row>
    <row r="2" spans="1:53">
      <c r="A2" s="154" t="s">
        <v>1284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53">
      <c r="A3" s="154"/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53" ht="15.6">
      <c r="T4" s="914" t="s">
        <v>1581</v>
      </c>
      <c r="U4" s="915"/>
      <c r="V4" s="912" t="s">
        <v>79</v>
      </c>
      <c r="W4" s="912"/>
      <c r="X4" s="912"/>
      <c r="Y4" s="912"/>
      <c r="Z4" s="912"/>
      <c r="AA4" s="912"/>
      <c r="AD4" s="912" t="s">
        <v>198</v>
      </c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28" t="s">
        <v>1096</v>
      </c>
      <c r="AQ4" s="929"/>
      <c r="AR4" s="929"/>
      <c r="AS4" s="929"/>
      <c r="AT4" s="929"/>
      <c r="AU4" s="930"/>
      <c r="AV4" s="878" t="s">
        <v>1097</v>
      </c>
      <c r="AW4" s="878"/>
      <c r="AX4" s="878"/>
      <c r="AY4" s="878"/>
      <c r="AZ4" s="878"/>
      <c r="BA4" s="878"/>
    </row>
    <row r="5" spans="1:53" s="547" customFormat="1" ht="69">
      <c r="A5" s="545" t="s">
        <v>0</v>
      </c>
      <c r="B5" s="545" t="s">
        <v>1</v>
      </c>
      <c r="C5" s="545" t="s">
        <v>2</v>
      </c>
      <c r="D5" s="545" t="s">
        <v>3</v>
      </c>
      <c r="E5" s="545" t="s">
        <v>4</v>
      </c>
      <c r="F5" s="545" t="s">
        <v>5</v>
      </c>
      <c r="G5" s="545" t="s">
        <v>6</v>
      </c>
      <c r="H5" s="545" t="s">
        <v>7</v>
      </c>
      <c r="I5" s="545" t="s">
        <v>9</v>
      </c>
      <c r="J5" s="545" t="s">
        <v>125</v>
      </c>
      <c r="K5" s="545" t="s">
        <v>10</v>
      </c>
      <c r="L5" s="545" t="s">
        <v>11</v>
      </c>
      <c r="M5" s="545" t="s">
        <v>707</v>
      </c>
      <c r="N5" s="545" t="s">
        <v>708</v>
      </c>
      <c r="O5" s="421" t="s">
        <v>709</v>
      </c>
      <c r="P5" s="421" t="s">
        <v>12</v>
      </c>
      <c r="Q5" s="421" t="s">
        <v>710</v>
      </c>
      <c r="R5" s="421" t="s">
        <v>711</v>
      </c>
      <c r="S5" s="421" t="s">
        <v>712</v>
      </c>
      <c r="T5" s="421" t="s">
        <v>713</v>
      </c>
      <c r="U5" s="421" t="s">
        <v>714</v>
      </c>
      <c r="V5" s="545" t="s">
        <v>13</v>
      </c>
      <c r="W5" s="545" t="s">
        <v>14</v>
      </c>
      <c r="X5" s="545" t="s">
        <v>15</v>
      </c>
      <c r="Y5" s="545" t="s">
        <v>214</v>
      </c>
      <c r="Z5" s="545" t="s">
        <v>502</v>
      </c>
      <c r="AA5" s="545" t="s">
        <v>75</v>
      </c>
      <c r="AB5" s="687" t="s">
        <v>242</v>
      </c>
      <c r="AC5" s="545" t="s">
        <v>16</v>
      </c>
      <c r="AD5" s="585" t="s">
        <v>1016</v>
      </c>
      <c r="AE5" s="585" t="s">
        <v>1017</v>
      </c>
      <c r="AF5" s="585" t="s">
        <v>1018</v>
      </c>
      <c r="AG5" s="585" t="s">
        <v>1019</v>
      </c>
      <c r="AH5" s="585" t="s">
        <v>1020</v>
      </c>
      <c r="AI5" s="585" t="s">
        <v>1021</v>
      </c>
      <c r="AJ5" s="585" t="s">
        <v>1022</v>
      </c>
      <c r="AK5" s="585" t="s">
        <v>1023</v>
      </c>
      <c r="AL5" s="585" t="s">
        <v>1024</v>
      </c>
      <c r="AM5" s="585" t="s">
        <v>1025</v>
      </c>
      <c r="AN5" s="585" t="s">
        <v>1579</v>
      </c>
      <c r="AO5" s="585" t="s">
        <v>1580</v>
      </c>
      <c r="AP5" s="421" t="s">
        <v>13</v>
      </c>
      <c r="AQ5" s="421" t="s">
        <v>14</v>
      </c>
      <c r="AR5" s="421" t="s">
        <v>15</v>
      </c>
      <c r="AS5" s="421" t="s">
        <v>214</v>
      </c>
      <c r="AT5" s="421" t="s">
        <v>502</v>
      </c>
      <c r="AU5" s="421" t="s">
        <v>75</v>
      </c>
      <c r="AV5" s="421" t="s">
        <v>13</v>
      </c>
      <c r="AW5" s="421" t="s">
        <v>14</v>
      </c>
      <c r="AX5" s="421" t="s">
        <v>15</v>
      </c>
      <c r="AY5" s="421" t="s">
        <v>214</v>
      </c>
      <c r="AZ5" s="421" t="s">
        <v>502</v>
      </c>
      <c r="BA5" s="421" t="s">
        <v>75</v>
      </c>
    </row>
    <row r="6" spans="1:53" s="452" customFormat="1" ht="25.2" customHeight="1">
      <c r="A6" s="448">
        <v>1</v>
      </c>
      <c r="B6" s="448">
        <v>529</v>
      </c>
      <c r="C6" s="135" t="s">
        <v>56</v>
      </c>
      <c r="D6" s="120">
        <v>700000</v>
      </c>
      <c r="E6" s="120">
        <v>700000</v>
      </c>
      <c r="F6" s="120">
        <f t="shared" ref="F6:F12" si="0">D6-E6</f>
        <v>0</v>
      </c>
      <c r="G6" s="120">
        <v>700000</v>
      </c>
      <c r="H6" s="120">
        <v>511921</v>
      </c>
      <c r="I6" s="120">
        <v>0</v>
      </c>
      <c r="J6" s="120">
        <v>0</v>
      </c>
      <c r="K6" s="120">
        <f>I6+J6</f>
        <v>0</v>
      </c>
      <c r="L6" s="120">
        <f>H6+K6</f>
        <v>511921</v>
      </c>
      <c r="M6" s="120">
        <f>P6+S6-180000</f>
        <v>8079</v>
      </c>
      <c r="N6" s="120">
        <v>180000</v>
      </c>
      <c r="O6" s="120">
        <f>D6-L6-M6-N6</f>
        <v>0</v>
      </c>
      <c r="P6" s="120">
        <f>G6-L6</f>
        <v>188079</v>
      </c>
      <c r="Q6" s="120"/>
      <c r="R6" s="120"/>
      <c r="S6" s="120">
        <f>SUM(Q6:R6)</f>
        <v>0</v>
      </c>
      <c r="T6" s="120">
        <f>P6-M6+S6</f>
        <v>180000</v>
      </c>
      <c r="U6" s="120">
        <f>N6-T6</f>
        <v>0</v>
      </c>
      <c r="V6" s="120">
        <f>U6-W6-Z6-AA6</f>
        <v>0</v>
      </c>
      <c r="W6" s="120"/>
      <c r="X6" s="120"/>
      <c r="Y6" s="120"/>
      <c r="Z6" s="120"/>
      <c r="AA6" s="120"/>
      <c r="AB6" s="469" t="s">
        <v>903</v>
      </c>
      <c r="AC6" s="448">
        <v>840000</v>
      </c>
      <c r="AD6" s="449"/>
      <c r="AE6" s="449"/>
      <c r="AF6" s="449"/>
      <c r="AG6" s="449"/>
      <c r="AH6" s="449"/>
      <c r="AI6" s="449"/>
      <c r="AJ6" s="449"/>
      <c r="AK6" s="449"/>
      <c r="AL6" s="449"/>
      <c r="AM6" s="449"/>
      <c r="AN6" s="449">
        <f>SUM(AD6:AG6)</f>
        <v>0</v>
      </c>
      <c r="AO6" s="449">
        <f t="shared" ref="AO6:AO15" si="1">U6-AN6</f>
        <v>0</v>
      </c>
      <c r="AP6" s="449"/>
      <c r="AQ6" s="449">
        <f>AN6-AP6-AU6</f>
        <v>0</v>
      </c>
      <c r="AR6" s="449"/>
      <c r="AS6" s="449"/>
      <c r="AT6" s="449"/>
      <c r="AU6" s="449"/>
      <c r="AV6" s="449"/>
      <c r="AW6" s="449">
        <f t="shared" ref="AW6:AW16" si="2">AM6-AV6-BA6</f>
        <v>0</v>
      </c>
      <c r="AX6" s="449"/>
      <c r="AY6" s="449"/>
      <c r="AZ6" s="449"/>
      <c r="BA6" s="449"/>
    </row>
    <row r="7" spans="1:53" s="452" customFormat="1" ht="25.2" customHeight="1">
      <c r="A7" s="469">
        <f>A6+1</f>
        <v>2</v>
      </c>
      <c r="B7" s="448">
        <v>1032</v>
      </c>
      <c r="C7" s="135" t="s">
        <v>116</v>
      </c>
      <c r="D7" s="120">
        <v>40500000</v>
      </c>
      <c r="E7" s="120">
        <v>40500000</v>
      </c>
      <c r="F7" s="120">
        <f t="shared" si="0"/>
        <v>0</v>
      </c>
      <c r="G7" s="120">
        <v>34862968</v>
      </c>
      <c r="H7" s="120">
        <v>32843480</v>
      </c>
      <c r="I7" s="120">
        <v>0</v>
      </c>
      <c r="J7" s="120">
        <v>604751</v>
      </c>
      <c r="K7" s="120">
        <f t="shared" ref="K7:K13" si="3">I7+J7</f>
        <v>604751</v>
      </c>
      <c r="L7" s="120">
        <f t="shared" ref="L7:L13" si="4">H7+K7</f>
        <v>33448231</v>
      </c>
      <c r="M7" s="120">
        <f t="shared" ref="M7:M15" si="5">P7+S7</f>
        <v>1414737</v>
      </c>
      <c r="N7" s="120">
        <f>7200000-4200000</f>
        <v>3000000</v>
      </c>
      <c r="O7" s="120">
        <f t="shared" ref="O7:O13" si="6">D7-L7-M7-N7</f>
        <v>2637032</v>
      </c>
      <c r="P7" s="120">
        <f t="shared" ref="P7:P13" si="7">G7-L7</f>
        <v>1414737</v>
      </c>
      <c r="Q7" s="120"/>
      <c r="R7" s="120"/>
      <c r="S7" s="120">
        <f t="shared" ref="S7:S13" si="8">SUM(Q7:R7)</f>
        <v>0</v>
      </c>
      <c r="T7" s="120">
        <f t="shared" ref="T7:T13" si="9">P7-M7+S7</f>
        <v>0</v>
      </c>
      <c r="U7" s="120">
        <f t="shared" ref="U7:U13" si="10">N7-T7</f>
        <v>3000000</v>
      </c>
      <c r="V7" s="120"/>
      <c r="W7" s="120">
        <f>U7-V7-AA7</f>
        <v>3000000</v>
      </c>
      <c r="X7" s="120"/>
      <c r="Y7" s="120"/>
      <c r="Z7" s="120"/>
      <c r="AA7" s="120"/>
      <c r="AB7" s="469" t="s">
        <v>647</v>
      </c>
      <c r="AC7" s="448">
        <v>742000</v>
      </c>
      <c r="AD7" s="449"/>
      <c r="AE7" s="449"/>
      <c r="AF7" s="449">
        <f>500000+500000</f>
        <v>1000000</v>
      </c>
      <c r="AG7" s="449"/>
      <c r="AH7" s="449">
        <v>750000</v>
      </c>
      <c r="AI7" s="449">
        <v>800000</v>
      </c>
      <c r="AJ7" s="449"/>
      <c r="AK7" s="449">
        <v>450000</v>
      </c>
      <c r="AL7" s="449"/>
      <c r="AM7" s="449"/>
      <c r="AN7" s="449">
        <f>SUM(AD7:AM7)</f>
        <v>3000000</v>
      </c>
      <c r="AO7" s="449">
        <f t="shared" si="1"/>
        <v>0</v>
      </c>
      <c r="AP7" s="449"/>
      <c r="AQ7" s="449">
        <f t="shared" ref="AQ7:AQ15" si="11">AN7-AP7-AU7</f>
        <v>3000000</v>
      </c>
      <c r="AR7" s="449"/>
      <c r="AS7" s="449"/>
      <c r="AT7" s="449"/>
      <c r="AU7" s="449"/>
      <c r="AV7" s="449"/>
      <c r="AW7" s="449">
        <f t="shared" si="2"/>
        <v>0</v>
      </c>
      <c r="AX7" s="449"/>
      <c r="AY7" s="449"/>
      <c r="AZ7" s="449"/>
      <c r="BA7" s="449"/>
    </row>
    <row r="8" spans="1:53" s="548" customFormat="1" ht="25.2" customHeight="1">
      <c r="A8" s="469">
        <f t="shared" ref="A8:A15" si="12">A7+1</f>
        <v>3</v>
      </c>
      <c r="B8" s="469">
        <v>1130</v>
      </c>
      <c r="C8" s="135" t="s">
        <v>31</v>
      </c>
      <c r="D8" s="120">
        <v>16000000</v>
      </c>
      <c r="E8" s="120">
        <v>16000000</v>
      </c>
      <c r="F8" s="120">
        <f t="shared" si="0"/>
        <v>0</v>
      </c>
      <c r="G8" s="120">
        <f>14581894+500000</f>
        <v>15081894</v>
      </c>
      <c r="H8" s="120">
        <v>14325698</v>
      </c>
      <c r="I8" s="120">
        <v>0</v>
      </c>
      <c r="J8" s="120">
        <f>825148-175657</f>
        <v>649491</v>
      </c>
      <c r="K8" s="120">
        <f t="shared" si="3"/>
        <v>649491</v>
      </c>
      <c r="L8" s="120">
        <f t="shared" si="4"/>
        <v>14975189</v>
      </c>
      <c r="M8" s="120">
        <f t="shared" si="5"/>
        <v>306705</v>
      </c>
      <c r="N8" s="120">
        <f>1200000-800000</f>
        <v>400000</v>
      </c>
      <c r="O8" s="120">
        <f t="shared" si="6"/>
        <v>318106</v>
      </c>
      <c r="P8" s="120">
        <f t="shared" si="7"/>
        <v>106705</v>
      </c>
      <c r="Q8" s="120"/>
      <c r="R8" s="120">
        <v>200000</v>
      </c>
      <c r="S8" s="120">
        <f t="shared" si="8"/>
        <v>200000</v>
      </c>
      <c r="T8" s="120">
        <f t="shared" si="9"/>
        <v>0</v>
      </c>
      <c r="U8" s="120">
        <f t="shared" si="10"/>
        <v>400000</v>
      </c>
      <c r="V8" s="120">
        <f>U8-W8-Z8-AA8</f>
        <v>0</v>
      </c>
      <c r="W8" s="120">
        <v>400000</v>
      </c>
      <c r="X8" s="120"/>
      <c r="Y8" s="120"/>
      <c r="Z8" s="120"/>
      <c r="AA8" s="120"/>
      <c r="AB8" s="469" t="s">
        <v>904</v>
      </c>
      <c r="AC8" s="469">
        <v>742000</v>
      </c>
      <c r="AD8" s="449"/>
      <c r="AE8" s="449"/>
      <c r="AF8" s="449">
        <v>250000</v>
      </c>
      <c r="AG8" s="449"/>
      <c r="AH8" s="449">
        <v>100000</v>
      </c>
      <c r="AI8" s="449"/>
      <c r="AJ8" s="449"/>
      <c r="AK8" s="449"/>
      <c r="AL8" s="449"/>
      <c r="AM8" s="449">
        <v>50000</v>
      </c>
      <c r="AN8" s="449">
        <f t="shared" ref="AN8:AN15" si="13">SUM(AD8:AM8)</f>
        <v>400000</v>
      </c>
      <c r="AO8" s="449">
        <f t="shared" si="1"/>
        <v>0</v>
      </c>
      <c r="AP8" s="449"/>
      <c r="AQ8" s="449">
        <f t="shared" si="11"/>
        <v>400000</v>
      </c>
      <c r="AR8" s="449"/>
      <c r="AS8" s="449"/>
      <c r="AT8" s="449"/>
      <c r="AU8" s="449"/>
      <c r="AV8" s="449"/>
      <c r="AW8" s="449">
        <f t="shared" si="2"/>
        <v>50000</v>
      </c>
      <c r="AX8" s="449"/>
      <c r="AY8" s="449"/>
      <c r="AZ8" s="449"/>
      <c r="BA8" s="449"/>
    </row>
    <row r="9" spans="1:53" s="548" customFormat="1" ht="25.2" customHeight="1">
      <c r="A9" s="469">
        <f t="shared" si="12"/>
        <v>4</v>
      </c>
      <c r="B9" s="469">
        <v>1259</v>
      </c>
      <c r="C9" s="135" t="s">
        <v>49</v>
      </c>
      <c r="D9" s="120">
        <f>5460000+50000</f>
        <v>5510000</v>
      </c>
      <c r="E9" s="120">
        <v>5460000</v>
      </c>
      <c r="F9" s="120">
        <f t="shared" si="0"/>
        <v>50000</v>
      </c>
      <c r="G9" s="120">
        <v>4810000</v>
      </c>
      <c r="H9" s="120">
        <v>4594915</v>
      </c>
      <c r="I9" s="120">
        <v>0</v>
      </c>
      <c r="J9" s="120">
        <v>214530</v>
      </c>
      <c r="K9" s="120">
        <f t="shared" si="3"/>
        <v>214530</v>
      </c>
      <c r="L9" s="120">
        <f t="shared" si="4"/>
        <v>4809445</v>
      </c>
      <c r="M9" s="120">
        <f t="shared" si="5"/>
        <v>200555</v>
      </c>
      <c r="N9" s="120">
        <v>500000</v>
      </c>
      <c r="O9" s="120">
        <f t="shared" si="6"/>
        <v>0</v>
      </c>
      <c r="P9" s="120">
        <f t="shared" si="7"/>
        <v>555</v>
      </c>
      <c r="Q9" s="120">
        <v>200000</v>
      </c>
      <c r="R9" s="120"/>
      <c r="S9" s="120">
        <f t="shared" si="8"/>
        <v>200000</v>
      </c>
      <c r="T9" s="120">
        <f t="shared" si="9"/>
        <v>0</v>
      </c>
      <c r="U9" s="120">
        <f t="shared" si="10"/>
        <v>500000</v>
      </c>
      <c r="V9" s="120">
        <f>U9-W9-Z9-AA9</f>
        <v>0</v>
      </c>
      <c r="W9" s="120">
        <v>500000</v>
      </c>
      <c r="X9" s="120"/>
      <c r="Y9" s="120"/>
      <c r="Z9" s="120"/>
      <c r="AA9" s="120"/>
      <c r="AB9" s="469" t="s">
        <v>237</v>
      </c>
      <c r="AC9" s="469">
        <v>760000</v>
      </c>
      <c r="AD9" s="449"/>
      <c r="AE9" s="449"/>
      <c r="AF9" s="449"/>
      <c r="AG9" s="449"/>
      <c r="AH9" s="449"/>
      <c r="AI9" s="449">
        <v>100000</v>
      </c>
      <c r="AJ9" s="449"/>
      <c r="AK9" s="449"/>
      <c r="AL9" s="449">
        <v>200000</v>
      </c>
      <c r="AM9" s="449">
        <v>200000</v>
      </c>
      <c r="AN9" s="449">
        <f t="shared" si="13"/>
        <v>500000</v>
      </c>
      <c r="AO9" s="449">
        <f t="shared" si="1"/>
        <v>0</v>
      </c>
      <c r="AP9" s="449"/>
      <c r="AQ9" s="449">
        <f t="shared" si="11"/>
        <v>500000</v>
      </c>
      <c r="AR9" s="449"/>
      <c r="AS9" s="449"/>
      <c r="AT9" s="449"/>
      <c r="AU9" s="449"/>
      <c r="AV9" s="449"/>
      <c r="AW9" s="449">
        <f t="shared" si="2"/>
        <v>200000</v>
      </c>
      <c r="AX9" s="449"/>
      <c r="AY9" s="449"/>
      <c r="AZ9" s="449"/>
      <c r="BA9" s="449"/>
    </row>
    <row r="10" spans="1:53" s="548" customFormat="1" ht="25.2" customHeight="1">
      <c r="A10" s="469">
        <f t="shared" si="12"/>
        <v>5</v>
      </c>
      <c r="B10" s="469">
        <v>1260</v>
      </c>
      <c r="C10" s="135" t="s">
        <v>50</v>
      </c>
      <c r="D10" s="120">
        <f>9608000+250000</f>
        <v>9858000</v>
      </c>
      <c r="E10" s="120">
        <v>9608000</v>
      </c>
      <c r="F10" s="120">
        <f t="shared" si="0"/>
        <v>250000</v>
      </c>
      <c r="G10" s="120">
        <v>9108000</v>
      </c>
      <c r="H10" s="120">
        <v>8981157</v>
      </c>
      <c r="I10" s="120">
        <v>0</v>
      </c>
      <c r="J10" s="120">
        <v>124521</v>
      </c>
      <c r="K10" s="120">
        <f t="shared" si="3"/>
        <v>124521</v>
      </c>
      <c r="L10" s="120">
        <f t="shared" si="4"/>
        <v>9105678</v>
      </c>
      <c r="M10" s="120">
        <f t="shared" si="5"/>
        <v>252322</v>
      </c>
      <c r="N10" s="120">
        <v>500000</v>
      </c>
      <c r="O10" s="120">
        <f t="shared" si="6"/>
        <v>0</v>
      </c>
      <c r="P10" s="120">
        <f t="shared" si="7"/>
        <v>2322</v>
      </c>
      <c r="Q10" s="120">
        <v>250000</v>
      </c>
      <c r="R10" s="120"/>
      <c r="S10" s="120">
        <f t="shared" si="8"/>
        <v>250000</v>
      </c>
      <c r="T10" s="120">
        <f t="shared" si="9"/>
        <v>0</v>
      </c>
      <c r="U10" s="120">
        <f t="shared" si="10"/>
        <v>500000</v>
      </c>
      <c r="V10" s="120">
        <f>U10-W10-Z10-AA10</f>
        <v>0</v>
      </c>
      <c r="W10" s="120">
        <v>500000</v>
      </c>
      <c r="X10" s="120"/>
      <c r="Y10" s="120"/>
      <c r="Z10" s="120"/>
      <c r="AA10" s="120"/>
      <c r="AB10" s="469" t="s">
        <v>238</v>
      </c>
      <c r="AC10" s="469">
        <v>760000</v>
      </c>
      <c r="AD10" s="449"/>
      <c r="AE10" s="449"/>
      <c r="AF10" s="449"/>
      <c r="AG10" s="449"/>
      <c r="AH10" s="449"/>
      <c r="AI10" s="449"/>
      <c r="AJ10" s="449"/>
      <c r="AK10" s="449"/>
      <c r="AL10" s="449"/>
      <c r="AM10" s="449">
        <f>300000+200000</f>
        <v>500000</v>
      </c>
      <c r="AN10" s="449">
        <f t="shared" si="13"/>
        <v>500000</v>
      </c>
      <c r="AO10" s="449">
        <f t="shared" si="1"/>
        <v>0</v>
      </c>
      <c r="AP10" s="449"/>
      <c r="AQ10" s="449">
        <f t="shared" si="11"/>
        <v>500000</v>
      </c>
      <c r="AR10" s="449"/>
      <c r="AS10" s="449"/>
      <c r="AT10" s="449"/>
      <c r="AU10" s="449"/>
      <c r="AV10" s="449"/>
      <c r="AW10" s="449">
        <f t="shared" si="2"/>
        <v>500000</v>
      </c>
      <c r="AX10" s="449"/>
      <c r="AY10" s="449"/>
      <c r="AZ10" s="449"/>
      <c r="BA10" s="449"/>
    </row>
    <row r="11" spans="1:53" s="548" customFormat="1" ht="25.2" customHeight="1">
      <c r="A11" s="469">
        <f t="shared" si="12"/>
        <v>6</v>
      </c>
      <c r="B11" s="469">
        <v>1422</v>
      </c>
      <c r="C11" s="135" t="s">
        <v>51</v>
      </c>
      <c r="D11" s="120">
        <v>30257000</v>
      </c>
      <c r="E11" s="120">
        <v>30257000</v>
      </c>
      <c r="F11" s="120">
        <f t="shared" si="0"/>
        <v>0</v>
      </c>
      <c r="G11" s="120">
        <v>14182000</v>
      </c>
      <c r="H11" s="120">
        <v>7257000</v>
      </c>
      <c r="I11" s="120">
        <v>0</v>
      </c>
      <c r="J11" s="120">
        <v>0</v>
      </c>
      <c r="K11" s="120">
        <f t="shared" si="3"/>
        <v>0</v>
      </c>
      <c r="L11" s="120">
        <f t="shared" si="4"/>
        <v>7257000</v>
      </c>
      <c r="M11" s="120">
        <f t="shared" si="5"/>
        <v>6925000</v>
      </c>
      <c r="N11" s="120"/>
      <c r="O11" s="120">
        <f t="shared" si="6"/>
        <v>16075000</v>
      </c>
      <c r="P11" s="120">
        <f t="shared" si="7"/>
        <v>6925000</v>
      </c>
      <c r="Q11" s="120"/>
      <c r="R11" s="120"/>
      <c r="S11" s="120">
        <f t="shared" si="8"/>
        <v>0</v>
      </c>
      <c r="T11" s="120">
        <f t="shared" si="9"/>
        <v>0</v>
      </c>
      <c r="U11" s="120">
        <f t="shared" si="10"/>
        <v>0</v>
      </c>
      <c r="V11" s="120">
        <f>U11-W11-Z11-AA11</f>
        <v>0</v>
      </c>
      <c r="W11" s="120"/>
      <c r="X11" s="120"/>
      <c r="Y11" s="120"/>
      <c r="Z11" s="120"/>
      <c r="AA11" s="120"/>
      <c r="AB11" s="469" t="s">
        <v>306</v>
      </c>
      <c r="AC11" s="469">
        <v>730000</v>
      </c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>
        <f t="shared" si="13"/>
        <v>0</v>
      </c>
      <c r="AO11" s="449">
        <f t="shared" si="1"/>
        <v>0</v>
      </c>
      <c r="AP11" s="449"/>
      <c r="AQ11" s="449">
        <f t="shared" si="11"/>
        <v>0</v>
      </c>
      <c r="AR11" s="449"/>
      <c r="AS11" s="449"/>
      <c r="AT11" s="449"/>
      <c r="AU11" s="449"/>
      <c r="AV11" s="449"/>
      <c r="AW11" s="449">
        <f t="shared" si="2"/>
        <v>0</v>
      </c>
      <c r="AX11" s="449"/>
      <c r="AY11" s="449"/>
      <c r="AZ11" s="449"/>
      <c r="BA11" s="449"/>
    </row>
    <row r="12" spans="1:53" s="548" customFormat="1" ht="25.2" customHeight="1">
      <c r="A12" s="469">
        <f t="shared" si="12"/>
        <v>7</v>
      </c>
      <c r="B12" s="469">
        <v>1688</v>
      </c>
      <c r="C12" s="135" t="s">
        <v>52</v>
      </c>
      <c r="D12" s="120">
        <v>15133000</v>
      </c>
      <c r="E12" s="120">
        <v>15133000</v>
      </c>
      <c r="F12" s="120">
        <f t="shared" si="0"/>
        <v>0</v>
      </c>
      <c r="G12" s="120">
        <v>15133000</v>
      </c>
      <c r="H12" s="120">
        <v>15133000</v>
      </c>
      <c r="I12" s="120">
        <v>0</v>
      </c>
      <c r="J12" s="120">
        <v>0</v>
      </c>
      <c r="K12" s="120">
        <f t="shared" si="3"/>
        <v>0</v>
      </c>
      <c r="L12" s="120">
        <f t="shared" si="4"/>
        <v>15133000</v>
      </c>
      <c r="M12" s="120">
        <f t="shared" si="5"/>
        <v>0</v>
      </c>
      <c r="N12" s="120"/>
      <c r="O12" s="120">
        <f t="shared" si="6"/>
        <v>0</v>
      </c>
      <c r="P12" s="120">
        <f t="shared" si="7"/>
        <v>0</v>
      </c>
      <c r="Q12" s="120"/>
      <c r="R12" s="120"/>
      <c r="S12" s="120">
        <f t="shared" si="8"/>
        <v>0</v>
      </c>
      <c r="T12" s="120">
        <f t="shared" si="9"/>
        <v>0</v>
      </c>
      <c r="U12" s="120">
        <f t="shared" si="10"/>
        <v>0</v>
      </c>
      <c r="V12" s="120">
        <f>U12-W12-Z12-AA12</f>
        <v>0</v>
      </c>
      <c r="W12" s="120"/>
      <c r="X12" s="120"/>
      <c r="Y12" s="120"/>
      <c r="Z12" s="120"/>
      <c r="AA12" s="120"/>
      <c r="AB12" s="469" t="s">
        <v>307</v>
      </c>
      <c r="AC12" s="469">
        <v>990000</v>
      </c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>
        <f t="shared" si="13"/>
        <v>0</v>
      </c>
      <c r="AO12" s="449">
        <f t="shared" si="1"/>
        <v>0</v>
      </c>
      <c r="AP12" s="449"/>
      <c r="AQ12" s="449">
        <f t="shared" si="11"/>
        <v>0</v>
      </c>
      <c r="AR12" s="449"/>
      <c r="AS12" s="449"/>
      <c r="AT12" s="449"/>
      <c r="AU12" s="449"/>
      <c r="AV12" s="449"/>
      <c r="AW12" s="449">
        <f t="shared" si="2"/>
        <v>0</v>
      </c>
      <c r="AX12" s="449"/>
      <c r="AY12" s="449"/>
      <c r="AZ12" s="449"/>
      <c r="BA12" s="449"/>
    </row>
    <row r="13" spans="1:53" s="548" customFormat="1" ht="28.2" customHeight="1">
      <c r="A13" s="469">
        <f t="shared" si="12"/>
        <v>8</v>
      </c>
      <c r="B13" s="469">
        <v>2100</v>
      </c>
      <c r="C13" s="135" t="s">
        <v>305</v>
      </c>
      <c r="D13" s="120">
        <f>3421663-285000+24940</f>
        <v>3161603</v>
      </c>
      <c r="E13" s="120">
        <v>3421663</v>
      </c>
      <c r="F13" s="120">
        <f>D13-E13</f>
        <v>-260060</v>
      </c>
      <c r="G13" s="120">
        <v>3576663</v>
      </c>
      <c r="H13" s="120">
        <v>3111033</v>
      </c>
      <c r="I13" s="120">
        <v>0</v>
      </c>
      <c r="J13" s="120">
        <v>23384</v>
      </c>
      <c r="K13" s="120">
        <f t="shared" si="3"/>
        <v>23384</v>
      </c>
      <c r="L13" s="120">
        <f t="shared" si="4"/>
        <v>3134417</v>
      </c>
      <c r="M13" s="120">
        <f>P13+S13-440000+9940+15000-2635</f>
        <v>24551</v>
      </c>
      <c r="N13" s="120"/>
      <c r="O13" s="120">
        <f t="shared" si="6"/>
        <v>2635</v>
      </c>
      <c r="P13" s="120">
        <f t="shared" si="7"/>
        <v>442246</v>
      </c>
      <c r="Q13" s="120"/>
      <c r="R13" s="120"/>
      <c r="S13" s="120">
        <f t="shared" si="8"/>
        <v>0</v>
      </c>
      <c r="T13" s="120">
        <f t="shared" si="9"/>
        <v>417695</v>
      </c>
      <c r="U13" s="120">
        <f t="shared" si="10"/>
        <v>-417695</v>
      </c>
      <c r="V13" s="120">
        <f>-415060-2635</f>
        <v>-417695</v>
      </c>
      <c r="W13" s="120">
        <f>U13-V13</f>
        <v>0</v>
      </c>
      <c r="X13" s="120"/>
      <c r="Y13" s="120"/>
      <c r="Z13" s="120"/>
      <c r="AA13" s="120"/>
      <c r="AB13" s="469" t="s">
        <v>682</v>
      </c>
      <c r="AC13" s="469">
        <v>742000</v>
      </c>
      <c r="AD13" s="449"/>
      <c r="AE13" s="449"/>
      <c r="AF13" s="449"/>
      <c r="AG13" s="449"/>
      <c r="AH13" s="449">
        <v>-417695</v>
      </c>
      <c r="AI13" s="449"/>
      <c r="AJ13" s="449"/>
      <c r="AK13" s="449"/>
      <c r="AL13" s="449"/>
      <c r="AM13" s="449"/>
      <c r="AN13" s="449">
        <f t="shared" si="13"/>
        <v>-417695</v>
      </c>
      <c r="AO13" s="449">
        <f t="shared" si="1"/>
        <v>0</v>
      </c>
      <c r="AP13" s="449">
        <v>-417695</v>
      </c>
      <c r="AQ13" s="449">
        <f t="shared" si="11"/>
        <v>0</v>
      </c>
      <c r="AR13" s="449"/>
      <c r="AS13" s="449"/>
      <c r="AT13" s="449"/>
      <c r="AU13" s="449"/>
      <c r="AV13" s="449"/>
      <c r="AW13" s="449">
        <f t="shared" si="2"/>
        <v>0</v>
      </c>
      <c r="AX13" s="449"/>
      <c r="AY13" s="449"/>
      <c r="AZ13" s="449"/>
      <c r="BA13" s="449"/>
    </row>
    <row r="14" spans="1:53" s="452" customFormat="1" ht="29.4" customHeight="1">
      <c r="A14" s="469">
        <f t="shared" si="12"/>
        <v>9</v>
      </c>
      <c r="B14" s="455">
        <v>2222</v>
      </c>
      <c r="C14" s="135" t="s">
        <v>1090</v>
      </c>
      <c r="D14" s="120">
        <v>8000000</v>
      </c>
      <c r="E14" s="120">
        <v>8000000</v>
      </c>
      <c r="F14" s="120">
        <f>D14-E14</f>
        <v>0</v>
      </c>
      <c r="G14" s="120">
        <v>8000000</v>
      </c>
      <c r="H14" s="120">
        <v>2172946</v>
      </c>
      <c r="I14" s="120">
        <v>0</v>
      </c>
      <c r="J14" s="120">
        <v>1217798</v>
      </c>
      <c r="K14" s="120">
        <f>SUM(I14:J14)</f>
        <v>1217798</v>
      </c>
      <c r="L14" s="120">
        <f>H14+K14</f>
        <v>3390744</v>
      </c>
      <c r="M14" s="120">
        <f>P14+S14-3560000+2635</f>
        <v>1051891</v>
      </c>
      <c r="N14" s="120"/>
      <c r="O14" s="120">
        <f>D14-L14-M14-N14</f>
        <v>3557365</v>
      </c>
      <c r="P14" s="120">
        <f>G14-L14</f>
        <v>4609256</v>
      </c>
      <c r="Q14" s="120"/>
      <c r="R14" s="120"/>
      <c r="S14" s="120">
        <f>SUM(Q14:R14)</f>
        <v>0</v>
      </c>
      <c r="T14" s="120">
        <f>P14-M14+S14</f>
        <v>3557365</v>
      </c>
      <c r="U14" s="120">
        <f>N14-T14</f>
        <v>-3557365</v>
      </c>
      <c r="V14" s="120"/>
      <c r="W14" s="120">
        <f>U14-V14</f>
        <v>-3557365</v>
      </c>
      <c r="X14" s="120"/>
      <c r="Y14" s="120"/>
      <c r="Z14" s="120"/>
      <c r="AA14" s="120"/>
      <c r="AB14" s="469" t="s">
        <v>915</v>
      </c>
      <c r="AC14" s="448">
        <v>742000</v>
      </c>
      <c r="AD14" s="449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>
        <f t="shared" si="13"/>
        <v>0</v>
      </c>
      <c r="AO14" s="449">
        <f t="shared" si="1"/>
        <v>-3557365</v>
      </c>
      <c r="AP14" s="449"/>
      <c r="AQ14" s="449">
        <f t="shared" si="11"/>
        <v>0</v>
      </c>
      <c r="AR14" s="449"/>
      <c r="AS14" s="449"/>
      <c r="AT14" s="449"/>
      <c r="AU14" s="449"/>
      <c r="AV14" s="449"/>
      <c r="AW14" s="449">
        <f t="shared" si="2"/>
        <v>0</v>
      </c>
      <c r="AX14" s="449"/>
      <c r="AY14" s="449"/>
      <c r="AZ14" s="449"/>
      <c r="BA14" s="449"/>
    </row>
    <row r="15" spans="1:53" s="452" customFormat="1" ht="28.2" customHeight="1">
      <c r="A15" s="469">
        <f t="shared" si="12"/>
        <v>10</v>
      </c>
      <c r="B15" s="455">
        <v>20080</v>
      </c>
      <c r="C15" s="458" t="s">
        <v>914</v>
      </c>
      <c r="D15" s="120">
        <v>8000000</v>
      </c>
      <c r="E15" s="120"/>
      <c r="F15" s="120">
        <f>D15-E15</f>
        <v>8000000</v>
      </c>
      <c r="G15" s="120"/>
      <c r="H15" s="120"/>
      <c r="I15" s="120">
        <v>0</v>
      </c>
      <c r="J15" s="120"/>
      <c r="K15" s="120">
        <f>SUM(I15:J15)</f>
        <v>0</v>
      </c>
      <c r="L15" s="120">
        <f>H15+K15</f>
        <v>0</v>
      </c>
      <c r="M15" s="120">
        <f t="shared" si="5"/>
        <v>0</v>
      </c>
      <c r="N15" s="120">
        <v>4000000</v>
      </c>
      <c r="O15" s="120">
        <f>D15-L15-M15-N15</f>
        <v>4000000</v>
      </c>
      <c r="P15" s="120">
        <f>G15-L15</f>
        <v>0</v>
      </c>
      <c r="Q15" s="120"/>
      <c r="R15" s="120"/>
      <c r="S15" s="120">
        <f>SUM(Q15:R15)</f>
        <v>0</v>
      </c>
      <c r="T15" s="120">
        <f>P15-M15+S15</f>
        <v>0</v>
      </c>
      <c r="U15" s="120">
        <f>N15-T15</f>
        <v>4000000</v>
      </c>
      <c r="V15" s="120"/>
      <c r="W15" s="120">
        <f>U15-V15</f>
        <v>4000000</v>
      </c>
      <c r="X15" s="120"/>
      <c r="Y15" s="120"/>
      <c r="Z15" s="120"/>
      <c r="AA15" s="120"/>
      <c r="AB15" s="458" t="s">
        <v>916</v>
      </c>
      <c r="AC15" s="448">
        <v>742000</v>
      </c>
      <c r="AD15" s="449"/>
      <c r="AE15" s="449"/>
      <c r="AF15" s="449"/>
      <c r="AG15" s="449"/>
      <c r="AH15" s="449"/>
      <c r="AI15" s="449"/>
      <c r="AJ15" s="449"/>
      <c r="AK15" s="449">
        <v>50000</v>
      </c>
      <c r="AL15" s="449"/>
      <c r="AM15" s="449"/>
      <c r="AN15" s="449">
        <f t="shared" si="13"/>
        <v>50000</v>
      </c>
      <c r="AO15" s="449">
        <f t="shared" si="1"/>
        <v>3950000</v>
      </c>
      <c r="AP15" s="449"/>
      <c r="AQ15" s="449">
        <f t="shared" si="11"/>
        <v>50000</v>
      </c>
      <c r="AR15" s="449"/>
      <c r="AS15" s="449"/>
      <c r="AT15" s="449"/>
      <c r="AU15" s="449"/>
      <c r="AV15" s="449"/>
      <c r="AW15" s="449">
        <f t="shared" si="2"/>
        <v>0</v>
      </c>
      <c r="AX15" s="449"/>
      <c r="AY15" s="449"/>
      <c r="AZ15" s="449"/>
      <c r="BA15" s="449"/>
    </row>
    <row r="16" spans="1:53" s="551" customFormat="1" ht="25.2" customHeight="1">
      <c r="A16" s="549">
        <f>A15</f>
        <v>10</v>
      </c>
      <c r="B16" s="549"/>
      <c r="C16" s="454" t="s">
        <v>167</v>
      </c>
      <c r="D16" s="550">
        <f>SUM(D6:D15)</f>
        <v>137119603</v>
      </c>
      <c r="E16" s="550">
        <f t="shared" ref="E16:BA16" si="14">SUM(E6:E15)</f>
        <v>129079663</v>
      </c>
      <c r="F16" s="550">
        <f t="shared" si="14"/>
        <v>8039940</v>
      </c>
      <c r="G16" s="550">
        <f t="shared" si="14"/>
        <v>105454525</v>
      </c>
      <c r="H16" s="550">
        <f t="shared" si="14"/>
        <v>88931150</v>
      </c>
      <c r="I16" s="550">
        <f t="shared" si="14"/>
        <v>0</v>
      </c>
      <c r="J16" s="550">
        <f t="shared" si="14"/>
        <v>2834475</v>
      </c>
      <c r="K16" s="550">
        <f t="shared" si="14"/>
        <v>2834475</v>
      </c>
      <c r="L16" s="550">
        <f t="shared" si="14"/>
        <v>91765625</v>
      </c>
      <c r="M16" s="550">
        <f t="shared" si="14"/>
        <v>10183840</v>
      </c>
      <c r="N16" s="550">
        <f t="shared" si="14"/>
        <v>8580000</v>
      </c>
      <c r="O16" s="550">
        <f t="shared" si="14"/>
        <v>26590138</v>
      </c>
      <c r="P16" s="550">
        <f t="shared" si="14"/>
        <v>13688900</v>
      </c>
      <c r="Q16" s="550">
        <f t="shared" si="14"/>
        <v>450000</v>
      </c>
      <c r="R16" s="550">
        <f t="shared" si="14"/>
        <v>200000</v>
      </c>
      <c r="S16" s="550">
        <f t="shared" si="14"/>
        <v>650000</v>
      </c>
      <c r="T16" s="550">
        <f t="shared" si="14"/>
        <v>4155060</v>
      </c>
      <c r="U16" s="550">
        <f t="shared" si="14"/>
        <v>4424940</v>
      </c>
      <c r="V16" s="550">
        <f t="shared" si="14"/>
        <v>-417695</v>
      </c>
      <c r="W16" s="550">
        <f t="shared" si="14"/>
        <v>4842635</v>
      </c>
      <c r="X16" s="550">
        <f t="shared" si="14"/>
        <v>0</v>
      </c>
      <c r="Y16" s="550">
        <f t="shared" si="14"/>
        <v>0</v>
      </c>
      <c r="Z16" s="550">
        <f t="shared" si="14"/>
        <v>0</v>
      </c>
      <c r="AA16" s="550">
        <f t="shared" si="14"/>
        <v>0</v>
      </c>
      <c r="AB16" s="550">
        <f t="shared" si="14"/>
        <v>0</v>
      </c>
      <c r="AC16" s="550">
        <f t="shared" si="14"/>
        <v>7790000</v>
      </c>
      <c r="AD16" s="550">
        <f t="shared" si="14"/>
        <v>0</v>
      </c>
      <c r="AE16" s="550">
        <f t="shared" si="14"/>
        <v>0</v>
      </c>
      <c r="AF16" s="550">
        <f t="shared" si="14"/>
        <v>1250000</v>
      </c>
      <c r="AG16" s="550">
        <f t="shared" si="14"/>
        <v>0</v>
      </c>
      <c r="AH16" s="550">
        <f t="shared" si="14"/>
        <v>432305</v>
      </c>
      <c r="AI16" s="550">
        <f t="shared" si="14"/>
        <v>900000</v>
      </c>
      <c r="AJ16" s="550">
        <f t="shared" si="14"/>
        <v>0</v>
      </c>
      <c r="AK16" s="550">
        <f t="shared" si="14"/>
        <v>500000</v>
      </c>
      <c r="AL16" s="550">
        <f t="shared" si="14"/>
        <v>200000</v>
      </c>
      <c r="AM16" s="550">
        <f t="shared" si="14"/>
        <v>750000</v>
      </c>
      <c r="AN16" s="550">
        <f t="shared" si="14"/>
        <v>4032305</v>
      </c>
      <c r="AO16" s="550">
        <f t="shared" si="14"/>
        <v>392635</v>
      </c>
      <c r="AP16" s="550">
        <f t="shared" si="14"/>
        <v>-417695</v>
      </c>
      <c r="AQ16" s="550">
        <f t="shared" si="14"/>
        <v>4450000</v>
      </c>
      <c r="AR16" s="550">
        <f t="shared" si="14"/>
        <v>0</v>
      </c>
      <c r="AS16" s="550">
        <f t="shared" si="14"/>
        <v>0</v>
      </c>
      <c r="AT16" s="550">
        <f t="shared" si="14"/>
        <v>0</v>
      </c>
      <c r="AU16" s="550">
        <f t="shared" si="14"/>
        <v>0</v>
      </c>
      <c r="AV16" s="550">
        <f t="shared" si="14"/>
        <v>0</v>
      </c>
      <c r="AW16" s="449">
        <f t="shared" si="2"/>
        <v>750000</v>
      </c>
      <c r="AX16" s="550">
        <f t="shared" si="14"/>
        <v>0</v>
      </c>
      <c r="AY16" s="550">
        <f t="shared" si="14"/>
        <v>0</v>
      </c>
      <c r="AZ16" s="550">
        <f t="shared" si="14"/>
        <v>0</v>
      </c>
      <c r="BA16" s="550">
        <f t="shared" si="14"/>
        <v>0</v>
      </c>
    </row>
    <row r="17" spans="1:62" s="551" customFormat="1" ht="25.2" customHeight="1">
      <c r="A17" s="549"/>
      <c r="B17" s="549"/>
      <c r="C17" s="454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49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</row>
    <row r="18" spans="1:62" ht="25.2" hidden="1" customHeight="1">
      <c r="A18" s="557"/>
      <c r="B18" s="470"/>
      <c r="C18" s="470"/>
      <c r="D18" s="492"/>
      <c r="E18" s="492"/>
      <c r="F18" s="492"/>
      <c r="G18" s="492"/>
      <c r="H18" s="492"/>
      <c r="I18" s="492"/>
      <c r="J18" s="492"/>
      <c r="K18" s="492"/>
      <c r="L18" s="492">
        <f>K16+H16</f>
        <v>91765625</v>
      </c>
      <c r="M18" s="492">
        <f>P18+S16-T16</f>
        <v>10183840</v>
      </c>
      <c r="N18" s="492"/>
      <c r="O18" s="492"/>
      <c r="P18" s="492">
        <f>G16-L18</f>
        <v>13688900</v>
      </c>
      <c r="Q18" s="492"/>
      <c r="R18" s="492"/>
      <c r="S18" s="492"/>
      <c r="T18" s="492"/>
      <c r="U18" s="470"/>
      <c r="V18" s="470"/>
      <c r="W18" s="470"/>
      <c r="X18" s="470"/>
      <c r="Y18" s="470"/>
      <c r="Z18" s="470"/>
      <c r="AA18" s="470"/>
      <c r="AB18" s="495"/>
      <c r="AC18" s="470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</row>
    <row r="19" spans="1:62" s="491" customFormat="1" ht="25.2" customHeight="1">
      <c r="A19" s="552"/>
      <c r="B19" s="552"/>
      <c r="C19" s="553" t="s">
        <v>77</v>
      </c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2"/>
      <c r="V19" s="552"/>
      <c r="W19" s="552"/>
      <c r="X19" s="552"/>
      <c r="Y19" s="552"/>
      <c r="Z19" s="552"/>
      <c r="AA19" s="552"/>
      <c r="AB19" s="469"/>
      <c r="AC19" s="552"/>
      <c r="AD19" s="552"/>
      <c r="AE19" s="552"/>
      <c r="AF19" s="552"/>
      <c r="AG19" s="552"/>
      <c r="AH19" s="552"/>
      <c r="AI19" s="552"/>
      <c r="AJ19" s="552"/>
      <c r="AK19" s="552"/>
      <c r="AL19" s="552"/>
      <c r="AM19" s="552"/>
      <c r="AN19" s="552"/>
      <c r="AO19" s="552"/>
      <c r="AP19" s="552"/>
      <c r="AQ19" s="552"/>
      <c r="AR19" s="552"/>
      <c r="AS19" s="552"/>
      <c r="AT19" s="552"/>
      <c r="AU19" s="552"/>
      <c r="AV19" s="552"/>
      <c r="AW19" s="552"/>
      <c r="AX19" s="552"/>
      <c r="AY19" s="552"/>
      <c r="AZ19" s="552"/>
      <c r="BA19" s="552"/>
    </row>
    <row r="20" spans="1:62" s="157" customFormat="1" ht="25.2" customHeight="1">
      <c r="A20" s="448">
        <v>1</v>
      </c>
      <c r="B20" s="448">
        <v>1134</v>
      </c>
      <c r="C20" s="135" t="s">
        <v>53</v>
      </c>
      <c r="D20" s="120">
        <f>2805000+100000</f>
        <v>2905000</v>
      </c>
      <c r="E20" s="449">
        <v>2805000</v>
      </c>
      <c r="F20" s="449">
        <f t="shared" ref="F20:F27" si="15">D20-E20</f>
        <v>100000</v>
      </c>
      <c r="G20" s="449">
        <v>2755000</v>
      </c>
      <c r="H20" s="449">
        <v>2582388</v>
      </c>
      <c r="I20" s="449">
        <v>0</v>
      </c>
      <c r="J20" s="449">
        <v>106673</v>
      </c>
      <c r="K20" s="449">
        <f>I20+J20</f>
        <v>106673</v>
      </c>
      <c r="L20" s="120">
        <f>H20+K20</f>
        <v>2689061</v>
      </c>
      <c r="M20" s="120">
        <f>P20+S20-60000</f>
        <v>5939</v>
      </c>
      <c r="N20" s="120">
        <f>150000+60000</f>
        <v>210000</v>
      </c>
      <c r="O20" s="120">
        <f t="shared" ref="O20:O27" si="16">D20-L20-M20-N20</f>
        <v>0</v>
      </c>
      <c r="P20" s="120">
        <f t="shared" ref="P20:P27" si="17">G20-L20</f>
        <v>65939</v>
      </c>
      <c r="Q20" s="120"/>
      <c r="R20" s="120"/>
      <c r="S20" s="120">
        <f t="shared" ref="S20:S27" si="18">SUM(Q20:R20)</f>
        <v>0</v>
      </c>
      <c r="T20" s="120">
        <f t="shared" ref="T20:T27" si="19">P20-M20+S20</f>
        <v>60000</v>
      </c>
      <c r="U20" s="120">
        <f t="shared" ref="U20:U27" si="20">N20-T20</f>
        <v>150000</v>
      </c>
      <c r="V20" s="120">
        <f>U20-W20-X20-Z20-AA20</f>
        <v>0</v>
      </c>
      <c r="W20" s="120">
        <v>150000</v>
      </c>
      <c r="X20" s="120"/>
      <c r="Y20" s="120"/>
      <c r="Z20" s="120"/>
      <c r="AA20" s="120"/>
      <c r="AB20" s="448" t="s">
        <v>905</v>
      </c>
      <c r="AC20" s="448">
        <v>746000</v>
      </c>
      <c r="AD20" s="449"/>
      <c r="AE20" s="449"/>
      <c r="AF20" s="449"/>
      <c r="AG20" s="449"/>
      <c r="AH20" s="449"/>
      <c r="AI20" s="449"/>
      <c r="AJ20" s="449"/>
      <c r="AK20" s="449"/>
      <c r="AL20" s="449"/>
      <c r="AM20" s="449">
        <v>100000</v>
      </c>
      <c r="AN20" s="449">
        <f>SUM(AD20:AM20)</f>
        <v>100000</v>
      </c>
      <c r="AO20" s="449">
        <f t="shared" ref="AO20:AO28" si="21">U20-AN20</f>
        <v>50000</v>
      </c>
      <c r="AP20" s="449"/>
      <c r="AQ20" s="449">
        <f>AN20-AP20-AU20</f>
        <v>100000</v>
      </c>
      <c r="AR20" s="449"/>
      <c r="AS20" s="449"/>
      <c r="AT20" s="449"/>
      <c r="AU20" s="449"/>
      <c r="AV20" s="449"/>
      <c r="AW20" s="449">
        <f t="shared" ref="AW20:AW28" si="22">AM20-AV20-BA20</f>
        <v>100000</v>
      </c>
      <c r="AX20" s="449"/>
      <c r="AY20" s="449"/>
      <c r="AZ20" s="449"/>
      <c r="BA20" s="449"/>
      <c r="BB20" s="318"/>
      <c r="BC20" s="318"/>
      <c r="BD20" s="318"/>
    </row>
    <row r="21" spans="1:62" s="157" customFormat="1" ht="27.6">
      <c r="A21" s="448">
        <f>1+A20</f>
        <v>2</v>
      </c>
      <c r="B21" s="448">
        <v>1345</v>
      </c>
      <c r="C21" s="135" t="s">
        <v>1091</v>
      </c>
      <c r="D21" s="120">
        <v>883000</v>
      </c>
      <c r="E21" s="449">
        <v>883000</v>
      </c>
      <c r="F21" s="449">
        <f t="shared" si="15"/>
        <v>0</v>
      </c>
      <c r="G21" s="449">
        <v>883000</v>
      </c>
      <c r="H21" s="449">
        <v>842424</v>
      </c>
      <c r="I21" s="449">
        <v>0</v>
      </c>
      <c r="J21" s="449">
        <v>16672</v>
      </c>
      <c r="K21" s="449">
        <f t="shared" ref="K21:K27" si="23">I21+J21</f>
        <v>16672</v>
      </c>
      <c r="L21" s="120">
        <f t="shared" ref="L21:L27" si="24">H21+K21</f>
        <v>859096</v>
      </c>
      <c r="M21" s="120">
        <f>P21+S21</f>
        <v>23904</v>
      </c>
      <c r="N21" s="120"/>
      <c r="O21" s="120">
        <f t="shared" si="16"/>
        <v>0</v>
      </c>
      <c r="P21" s="120">
        <f t="shared" si="17"/>
        <v>23904</v>
      </c>
      <c r="Q21" s="120"/>
      <c r="R21" s="120"/>
      <c r="S21" s="120">
        <f t="shared" si="18"/>
        <v>0</v>
      </c>
      <c r="T21" s="120">
        <f t="shared" si="19"/>
        <v>0</v>
      </c>
      <c r="U21" s="120">
        <f t="shared" si="20"/>
        <v>0</v>
      </c>
      <c r="V21" s="120"/>
      <c r="W21" s="120">
        <f t="shared" ref="W21:W26" si="25">U21-V21-AA21</f>
        <v>0</v>
      </c>
      <c r="X21" s="120"/>
      <c r="Y21" s="120"/>
      <c r="Z21" s="120"/>
      <c r="AA21" s="120"/>
      <c r="AB21" s="448" t="s">
        <v>393</v>
      </c>
      <c r="AC21" s="448">
        <v>870000</v>
      </c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>
        <f t="shared" ref="AN21:AN28" si="26">SUM(AD21:AM21)</f>
        <v>0</v>
      </c>
      <c r="AO21" s="449">
        <f t="shared" si="21"/>
        <v>0</v>
      </c>
      <c r="AP21" s="449"/>
      <c r="AQ21" s="449">
        <f t="shared" ref="AQ21:AQ28" si="27">AM21-AP21-AU21</f>
        <v>0</v>
      </c>
      <c r="AR21" s="449"/>
      <c r="AS21" s="449"/>
      <c r="AT21" s="449"/>
      <c r="AU21" s="449"/>
      <c r="AV21" s="449"/>
      <c r="AW21" s="449">
        <f t="shared" si="22"/>
        <v>0</v>
      </c>
      <c r="AX21" s="449"/>
      <c r="AY21" s="449"/>
      <c r="AZ21" s="449"/>
      <c r="BA21" s="449"/>
      <c r="BB21" s="318"/>
      <c r="BC21" s="318"/>
      <c r="BD21" s="318"/>
    </row>
    <row r="22" spans="1:62" s="157" customFormat="1" ht="25.2" customHeight="1">
      <c r="A22" s="448">
        <f t="shared" ref="A22:A28" si="28">1+A21</f>
        <v>3</v>
      </c>
      <c r="B22" s="448">
        <v>1598</v>
      </c>
      <c r="C22" s="135" t="s">
        <v>54</v>
      </c>
      <c r="D22" s="120">
        <f>666500+100000-50000</f>
        <v>716500</v>
      </c>
      <c r="E22" s="120">
        <v>666500</v>
      </c>
      <c r="F22" s="120">
        <f t="shared" si="15"/>
        <v>50000</v>
      </c>
      <c r="G22" s="120">
        <v>616500</v>
      </c>
      <c r="H22" s="120">
        <v>525252</v>
      </c>
      <c r="I22" s="120">
        <v>0</v>
      </c>
      <c r="J22" s="120">
        <v>72515</v>
      </c>
      <c r="K22" s="120">
        <f t="shared" si="23"/>
        <v>72515</v>
      </c>
      <c r="L22" s="120">
        <f t="shared" si="24"/>
        <v>597767</v>
      </c>
      <c r="M22" s="120">
        <f>P22+S22</f>
        <v>18733</v>
      </c>
      <c r="N22" s="120">
        <f>150000-50000</f>
        <v>100000</v>
      </c>
      <c r="O22" s="120">
        <f t="shared" si="16"/>
        <v>0</v>
      </c>
      <c r="P22" s="120">
        <f t="shared" si="17"/>
        <v>18733</v>
      </c>
      <c r="Q22" s="120"/>
      <c r="R22" s="120"/>
      <c r="S22" s="120">
        <f t="shared" si="18"/>
        <v>0</v>
      </c>
      <c r="T22" s="120">
        <f t="shared" si="19"/>
        <v>0</v>
      </c>
      <c r="U22" s="120">
        <f t="shared" si="20"/>
        <v>100000</v>
      </c>
      <c r="V22" s="120"/>
      <c r="W22" s="120">
        <f t="shared" si="25"/>
        <v>153304</v>
      </c>
      <c r="X22" s="120"/>
      <c r="Y22" s="120"/>
      <c r="Z22" s="120"/>
      <c r="AA22" s="120">
        <f>-29304-24000</f>
        <v>-53304</v>
      </c>
      <c r="AB22" s="448" t="s">
        <v>415</v>
      </c>
      <c r="AC22" s="448">
        <v>870000</v>
      </c>
      <c r="AD22" s="449"/>
      <c r="AE22" s="449"/>
      <c r="AF22" s="449"/>
      <c r="AG22" s="449"/>
      <c r="AH22" s="449"/>
      <c r="AI22" s="449"/>
      <c r="AJ22" s="329"/>
      <c r="AK22" s="449"/>
      <c r="AL22" s="449"/>
      <c r="AM22" s="449">
        <f>100000-28000</f>
        <v>72000</v>
      </c>
      <c r="AN22" s="449">
        <f t="shared" si="26"/>
        <v>72000</v>
      </c>
      <c r="AO22" s="449">
        <f t="shared" si="21"/>
        <v>28000</v>
      </c>
      <c r="AP22" s="449"/>
      <c r="AQ22" s="449">
        <f t="shared" si="27"/>
        <v>125304</v>
      </c>
      <c r="AR22" s="449"/>
      <c r="AS22" s="449"/>
      <c r="AT22" s="449"/>
      <c r="AU22" s="120">
        <f>-29304-24000</f>
        <v>-53304</v>
      </c>
      <c r="AV22" s="449"/>
      <c r="AW22" s="449">
        <f t="shared" si="22"/>
        <v>72000</v>
      </c>
      <c r="AX22" s="449"/>
      <c r="AY22" s="449"/>
      <c r="AZ22" s="449"/>
      <c r="BA22" s="120"/>
      <c r="BB22" s="318"/>
      <c r="BC22" s="318"/>
      <c r="BD22" s="318"/>
    </row>
    <row r="23" spans="1:62" s="157" customFormat="1" ht="25.2" customHeight="1">
      <c r="A23" s="448">
        <f t="shared" si="28"/>
        <v>4</v>
      </c>
      <c r="B23" s="448">
        <v>1817</v>
      </c>
      <c r="C23" s="135" t="s">
        <v>95</v>
      </c>
      <c r="D23" s="120">
        <f>872000+68000</f>
        <v>940000</v>
      </c>
      <c r="E23" s="120">
        <v>872000</v>
      </c>
      <c r="F23" s="120">
        <f t="shared" si="15"/>
        <v>68000</v>
      </c>
      <c r="G23" s="120">
        <v>840000</v>
      </c>
      <c r="H23" s="120">
        <v>709989</v>
      </c>
      <c r="I23" s="120">
        <v>0</v>
      </c>
      <c r="J23" s="120">
        <v>102262</v>
      </c>
      <c r="K23" s="120">
        <f t="shared" si="23"/>
        <v>102262</v>
      </c>
      <c r="L23" s="120">
        <f t="shared" si="24"/>
        <v>812251</v>
      </c>
      <c r="M23" s="120">
        <f>P23+S23</f>
        <v>27749</v>
      </c>
      <c r="N23" s="120">
        <v>100000</v>
      </c>
      <c r="O23" s="120">
        <f t="shared" si="16"/>
        <v>0</v>
      </c>
      <c r="P23" s="120">
        <f t="shared" si="17"/>
        <v>27749</v>
      </c>
      <c r="Q23" s="120"/>
      <c r="R23" s="120"/>
      <c r="S23" s="120">
        <f t="shared" si="18"/>
        <v>0</v>
      </c>
      <c r="T23" s="120">
        <f t="shared" si="19"/>
        <v>0</v>
      </c>
      <c r="U23" s="120">
        <f t="shared" si="20"/>
        <v>100000</v>
      </c>
      <c r="V23" s="120"/>
      <c r="W23" s="120">
        <f t="shared" si="25"/>
        <v>0</v>
      </c>
      <c r="X23" s="120"/>
      <c r="Y23" s="120"/>
      <c r="Z23" s="120"/>
      <c r="AA23" s="120">
        <v>100000</v>
      </c>
      <c r="AB23" s="448" t="s">
        <v>517</v>
      </c>
      <c r="AC23" s="448">
        <v>810000</v>
      </c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>
        <f t="shared" si="26"/>
        <v>0</v>
      </c>
      <c r="AO23" s="449">
        <f t="shared" si="21"/>
        <v>100000</v>
      </c>
      <c r="AP23" s="449"/>
      <c r="AQ23" s="449">
        <f t="shared" si="27"/>
        <v>0</v>
      </c>
      <c r="AR23" s="449"/>
      <c r="AS23" s="449"/>
      <c r="AT23" s="449"/>
      <c r="AU23" s="449"/>
      <c r="AV23" s="449"/>
      <c r="AW23" s="449">
        <f t="shared" si="22"/>
        <v>0</v>
      </c>
      <c r="AX23" s="449"/>
      <c r="AY23" s="449"/>
      <c r="AZ23" s="449"/>
      <c r="BA23" s="449"/>
      <c r="BB23" s="318"/>
      <c r="BC23" s="318"/>
      <c r="BD23" s="318"/>
    </row>
    <row r="24" spans="1:62" s="157" customFormat="1" ht="25.2" customHeight="1">
      <c r="A24" s="448">
        <f t="shared" si="28"/>
        <v>5</v>
      </c>
      <c r="B24" s="448">
        <v>1922</v>
      </c>
      <c r="C24" s="135" t="s">
        <v>112</v>
      </c>
      <c r="D24" s="120">
        <v>330000</v>
      </c>
      <c r="E24" s="120">
        <v>330000</v>
      </c>
      <c r="F24" s="120">
        <f t="shared" si="15"/>
        <v>0</v>
      </c>
      <c r="G24" s="120">
        <v>200000</v>
      </c>
      <c r="H24" s="120">
        <v>95338</v>
      </c>
      <c r="I24" s="120">
        <v>0</v>
      </c>
      <c r="J24" s="120"/>
      <c r="K24" s="120">
        <f t="shared" si="23"/>
        <v>0</v>
      </c>
      <c r="L24" s="120">
        <f t="shared" si="24"/>
        <v>95338</v>
      </c>
      <c r="M24" s="120">
        <f>P24+S24</f>
        <v>104662</v>
      </c>
      <c r="N24" s="120">
        <f>130000-130000</f>
        <v>0</v>
      </c>
      <c r="O24" s="120">
        <f t="shared" si="16"/>
        <v>130000</v>
      </c>
      <c r="P24" s="120">
        <f t="shared" si="17"/>
        <v>104662</v>
      </c>
      <c r="Q24" s="120"/>
      <c r="R24" s="120"/>
      <c r="S24" s="120">
        <f t="shared" si="18"/>
        <v>0</v>
      </c>
      <c r="T24" s="120">
        <f t="shared" si="19"/>
        <v>0</v>
      </c>
      <c r="U24" s="120">
        <f t="shared" si="20"/>
        <v>0</v>
      </c>
      <c r="V24" s="120"/>
      <c r="W24" s="120">
        <f t="shared" si="25"/>
        <v>0</v>
      </c>
      <c r="X24" s="120"/>
      <c r="Y24" s="120"/>
      <c r="Z24" s="120"/>
      <c r="AA24" s="120"/>
      <c r="AB24" s="448" t="s">
        <v>906</v>
      </c>
      <c r="AC24" s="448">
        <v>870000</v>
      </c>
      <c r="AD24" s="449"/>
      <c r="AE24" s="449"/>
      <c r="AF24" s="449"/>
      <c r="AG24" s="449"/>
      <c r="AH24" s="449"/>
      <c r="AI24" s="449"/>
      <c r="AJ24" s="449"/>
      <c r="AK24" s="449"/>
      <c r="AL24" s="449"/>
      <c r="AM24" s="449"/>
      <c r="AN24" s="449">
        <f t="shared" si="26"/>
        <v>0</v>
      </c>
      <c r="AO24" s="449">
        <f t="shared" si="21"/>
        <v>0</v>
      </c>
      <c r="AP24" s="449"/>
      <c r="AQ24" s="449">
        <f t="shared" si="27"/>
        <v>0</v>
      </c>
      <c r="AR24" s="449"/>
      <c r="AS24" s="449"/>
      <c r="AT24" s="449"/>
      <c r="AU24" s="449"/>
      <c r="AV24" s="449"/>
      <c r="AW24" s="449">
        <f t="shared" si="22"/>
        <v>0</v>
      </c>
      <c r="AX24" s="449"/>
      <c r="AY24" s="449"/>
      <c r="AZ24" s="449"/>
      <c r="BA24" s="449"/>
      <c r="BB24" s="318"/>
      <c r="BC24" s="318"/>
      <c r="BD24" s="318"/>
    </row>
    <row r="25" spans="1:62" s="157" customFormat="1" ht="25.2" customHeight="1">
      <c r="A25" s="448">
        <f t="shared" si="28"/>
        <v>6</v>
      </c>
      <c r="B25" s="448">
        <v>2066</v>
      </c>
      <c r="C25" s="135" t="s">
        <v>1266</v>
      </c>
      <c r="D25" s="120">
        <v>112500</v>
      </c>
      <c r="E25" s="120">
        <v>112500</v>
      </c>
      <c r="F25" s="120">
        <f t="shared" si="15"/>
        <v>0</v>
      </c>
      <c r="G25" s="120">
        <v>112500</v>
      </c>
      <c r="H25" s="120">
        <v>111299</v>
      </c>
      <c r="I25" s="120">
        <v>0</v>
      </c>
      <c r="J25" s="120">
        <v>0</v>
      </c>
      <c r="K25" s="120">
        <f t="shared" si="23"/>
        <v>0</v>
      </c>
      <c r="L25" s="120">
        <f t="shared" si="24"/>
        <v>111299</v>
      </c>
      <c r="M25" s="120">
        <f>P25+S25</f>
        <v>1201</v>
      </c>
      <c r="N25" s="120"/>
      <c r="O25" s="120">
        <f t="shared" si="16"/>
        <v>0</v>
      </c>
      <c r="P25" s="120">
        <f t="shared" si="17"/>
        <v>1201</v>
      </c>
      <c r="Q25" s="120"/>
      <c r="R25" s="120"/>
      <c r="S25" s="120">
        <f t="shared" si="18"/>
        <v>0</v>
      </c>
      <c r="T25" s="120">
        <f t="shared" si="19"/>
        <v>0</v>
      </c>
      <c r="U25" s="120">
        <f t="shared" si="20"/>
        <v>0</v>
      </c>
      <c r="V25" s="120"/>
      <c r="W25" s="120">
        <f t="shared" si="25"/>
        <v>0</v>
      </c>
      <c r="X25" s="120"/>
      <c r="Y25" s="120"/>
      <c r="Z25" s="120"/>
      <c r="AA25" s="120"/>
      <c r="AB25" s="448" t="s">
        <v>457</v>
      </c>
      <c r="AC25" s="448">
        <v>732000</v>
      </c>
      <c r="AD25" s="449"/>
      <c r="AE25" s="449"/>
      <c r="AF25" s="449"/>
      <c r="AG25" s="449"/>
      <c r="AH25" s="449"/>
      <c r="AI25" s="449"/>
      <c r="AJ25" s="449"/>
      <c r="AK25" s="449"/>
      <c r="AL25" s="449"/>
      <c r="AM25" s="449"/>
      <c r="AN25" s="449">
        <f t="shared" si="26"/>
        <v>0</v>
      </c>
      <c r="AO25" s="449">
        <f t="shared" si="21"/>
        <v>0</v>
      </c>
      <c r="AP25" s="449"/>
      <c r="AQ25" s="449">
        <f t="shared" si="27"/>
        <v>0</v>
      </c>
      <c r="AR25" s="449"/>
      <c r="AS25" s="449"/>
      <c r="AT25" s="449"/>
      <c r="AU25" s="449"/>
      <c r="AV25" s="449"/>
      <c r="AW25" s="449">
        <f t="shared" si="22"/>
        <v>0</v>
      </c>
      <c r="AX25" s="449"/>
      <c r="AY25" s="449"/>
      <c r="AZ25" s="449"/>
      <c r="BA25" s="449"/>
      <c r="BB25" s="318"/>
      <c r="BC25" s="318"/>
      <c r="BD25" s="318"/>
    </row>
    <row r="26" spans="1:62" s="556" customFormat="1" ht="25.2" customHeight="1">
      <c r="A26" s="448">
        <f t="shared" si="28"/>
        <v>7</v>
      </c>
      <c r="B26" s="455">
        <v>2168</v>
      </c>
      <c r="C26" s="135" t="s">
        <v>401</v>
      </c>
      <c r="D26" s="120">
        <v>100000</v>
      </c>
      <c r="E26" s="120">
        <v>100000</v>
      </c>
      <c r="F26" s="120">
        <f t="shared" si="15"/>
        <v>0</v>
      </c>
      <c r="G26" s="120">
        <v>100000</v>
      </c>
      <c r="H26" s="120">
        <v>0</v>
      </c>
      <c r="I26" s="120">
        <v>0</v>
      </c>
      <c r="J26" s="120">
        <v>0</v>
      </c>
      <c r="K26" s="120">
        <f t="shared" si="23"/>
        <v>0</v>
      </c>
      <c r="L26" s="120">
        <f t="shared" si="24"/>
        <v>0</v>
      </c>
      <c r="M26" s="120">
        <f>P26+S26-90000</f>
        <v>10000</v>
      </c>
      <c r="N26" s="120">
        <v>90000</v>
      </c>
      <c r="O26" s="120">
        <f t="shared" si="16"/>
        <v>0</v>
      </c>
      <c r="P26" s="120">
        <f t="shared" si="17"/>
        <v>100000</v>
      </c>
      <c r="Q26" s="120"/>
      <c r="R26" s="120"/>
      <c r="S26" s="120">
        <f t="shared" si="18"/>
        <v>0</v>
      </c>
      <c r="T26" s="120">
        <f t="shared" si="19"/>
        <v>90000</v>
      </c>
      <c r="U26" s="120">
        <f t="shared" si="20"/>
        <v>0</v>
      </c>
      <c r="V26" s="120"/>
      <c r="W26" s="120">
        <f t="shared" si="25"/>
        <v>0</v>
      </c>
      <c r="X26" s="120"/>
      <c r="Y26" s="120"/>
      <c r="Z26" s="120"/>
      <c r="AA26" s="120"/>
      <c r="AB26" s="448" t="s">
        <v>766</v>
      </c>
      <c r="AC26" s="448">
        <v>746000</v>
      </c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>
        <f t="shared" si="26"/>
        <v>0</v>
      </c>
      <c r="AO26" s="449">
        <f t="shared" si="21"/>
        <v>0</v>
      </c>
      <c r="AP26" s="449"/>
      <c r="AQ26" s="449">
        <f t="shared" si="27"/>
        <v>0</v>
      </c>
      <c r="AR26" s="449"/>
      <c r="AS26" s="449"/>
      <c r="AT26" s="449"/>
      <c r="AU26" s="449"/>
      <c r="AV26" s="449"/>
      <c r="AW26" s="449">
        <f t="shared" si="22"/>
        <v>0</v>
      </c>
      <c r="AX26" s="449"/>
      <c r="AY26" s="449"/>
      <c r="AZ26" s="449"/>
      <c r="BA26" s="449"/>
      <c r="BB26" s="555"/>
      <c r="BC26" s="555"/>
      <c r="BD26" s="555"/>
    </row>
    <row r="27" spans="1:62" s="556" customFormat="1" ht="25.2" customHeight="1">
      <c r="A27" s="448">
        <f t="shared" si="28"/>
        <v>8</v>
      </c>
      <c r="B27" s="455">
        <v>20019</v>
      </c>
      <c r="C27" s="135" t="s">
        <v>609</v>
      </c>
      <c r="D27" s="120">
        <v>100000</v>
      </c>
      <c r="E27" s="120">
        <v>100000</v>
      </c>
      <c r="F27" s="120">
        <f t="shared" si="15"/>
        <v>0</v>
      </c>
      <c r="G27" s="120">
        <v>100000</v>
      </c>
      <c r="H27" s="120">
        <v>0</v>
      </c>
      <c r="I27" s="120">
        <v>0</v>
      </c>
      <c r="J27" s="120">
        <v>1000</v>
      </c>
      <c r="K27" s="120">
        <f t="shared" si="23"/>
        <v>1000</v>
      </c>
      <c r="L27" s="120">
        <f t="shared" si="24"/>
        <v>1000</v>
      </c>
      <c r="M27" s="120">
        <f>P27+S27-90000</f>
        <v>9000</v>
      </c>
      <c r="N27" s="120">
        <v>90000</v>
      </c>
      <c r="O27" s="120">
        <f t="shared" si="16"/>
        <v>0</v>
      </c>
      <c r="P27" s="120">
        <f t="shared" si="17"/>
        <v>99000</v>
      </c>
      <c r="Q27" s="120"/>
      <c r="R27" s="120"/>
      <c r="S27" s="120">
        <f t="shared" si="18"/>
        <v>0</v>
      </c>
      <c r="T27" s="120">
        <f t="shared" si="19"/>
        <v>90000</v>
      </c>
      <c r="U27" s="120">
        <f t="shared" si="20"/>
        <v>0</v>
      </c>
      <c r="V27" s="120"/>
      <c r="W27" s="120">
        <f>U27-V27-AA27</f>
        <v>0</v>
      </c>
      <c r="X27" s="120"/>
      <c r="Y27" s="120"/>
      <c r="Z27" s="120"/>
      <c r="AA27" s="120"/>
      <c r="AB27" s="448" t="s">
        <v>697</v>
      </c>
      <c r="AC27" s="448">
        <v>870000</v>
      </c>
      <c r="AD27" s="449"/>
      <c r="AE27" s="449"/>
      <c r="AF27" s="449"/>
      <c r="AG27" s="449"/>
      <c r="AH27" s="449"/>
      <c r="AI27" s="449"/>
      <c r="AJ27" s="449"/>
      <c r="AK27" s="449"/>
      <c r="AL27" s="449"/>
      <c r="AM27" s="449"/>
      <c r="AN27" s="449">
        <f t="shared" si="26"/>
        <v>0</v>
      </c>
      <c r="AO27" s="449">
        <f t="shared" si="21"/>
        <v>0</v>
      </c>
      <c r="AP27" s="449"/>
      <c r="AQ27" s="449">
        <f t="shared" si="27"/>
        <v>0</v>
      </c>
      <c r="AR27" s="449"/>
      <c r="AS27" s="449"/>
      <c r="AT27" s="449"/>
      <c r="AU27" s="449"/>
      <c r="AV27" s="449"/>
      <c r="AW27" s="449">
        <f t="shared" si="22"/>
        <v>0</v>
      </c>
      <c r="AX27" s="449"/>
      <c r="AY27" s="449"/>
      <c r="AZ27" s="449"/>
      <c r="BA27" s="449"/>
      <c r="BB27" s="555"/>
      <c r="BC27" s="555"/>
      <c r="BD27" s="555"/>
    </row>
    <row r="28" spans="1:62" s="452" customFormat="1" ht="25.2" customHeight="1">
      <c r="A28" s="448">
        <f t="shared" si="28"/>
        <v>9</v>
      </c>
      <c r="B28" s="455">
        <v>20079</v>
      </c>
      <c r="C28" s="135" t="s">
        <v>756</v>
      </c>
      <c r="D28" s="120">
        <v>100000</v>
      </c>
      <c r="E28" s="120"/>
      <c r="F28" s="120">
        <f>D28-E28</f>
        <v>100000</v>
      </c>
      <c r="G28" s="120"/>
      <c r="H28" s="120"/>
      <c r="I28" s="120"/>
      <c r="J28" s="120"/>
      <c r="K28" s="120"/>
      <c r="L28" s="120"/>
      <c r="M28" s="120"/>
      <c r="N28" s="120">
        <v>100000</v>
      </c>
      <c r="O28" s="120">
        <f>D28-L28-M28-N28</f>
        <v>0</v>
      </c>
      <c r="P28" s="120"/>
      <c r="Q28" s="120"/>
      <c r="R28" s="120"/>
      <c r="S28" s="120"/>
      <c r="T28" s="120"/>
      <c r="U28" s="120">
        <f>N28-T28</f>
        <v>100000</v>
      </c>
      <c r="V28" s="120">
        <f>U28-AA28-W28-Z28</f>
        <v>0</v>
      </c>
      <c r="W28" s="120">
        <v>100000</v>
      </c>
      <c r="X28" s="120"/>
      <c r="Y28" s="120"/>
      <c r="Z28" s="120"/>
      <c r="AA28" s="120"/>
      <c r="AB28" s="448" t="s">
        <v>902</v>
      </c>
      <c r="AC28" s="448">
        <v>870000</v>
      </c>
      <c r="AD28" s="449"/>
      <c r="AE28" s="449"/>
      <c r="AF28" s="449"/>
      <c r="AG28" s="449"/>
      <c r="AH28" s="449"/>
      <c r="AI28" s="449"/>
      <c r="AJ28" s="449"/>
      <c r="AK28" s="449"/>
      <c r="AL28" s="449"/>
      <c r="AM28" s="449">
        <v>50000</v>
      </c>
      <c r="AN28" s="449">
        <f t="shared" si="26"/>
        <v>50000</v>
      </c>
      <c r="AO28" s="449">
        <f t="shared" si="21"/>
        <v>50000</v>
      </c>
      <c r="AP28" s="449"/>
      <c r="AQ28" s="449">
        <f t="shared" si="27"/>
        <v>50000</v>
      </c>
      <c r="AR28" s="449"/>
      <c r="AS28" s="449"/>
      <c r="AT28" s="449"/>
      <c r="AU28" s="449"/>
      <c r="AV28" s="449"/>
      <c r="AW28" s="449">
        <f t="shared" si="22"/>
        <v>50000</v>
      </c>
      <c r="AX28" s="449"/>
      <c r="AY28" s="449"/>
      <c r="AZ28" s="449"/>
      <c r="BA28" s="449"/>
      <c r="BB28" s="272"/>
      <c r="BC28" s="272"/>
      <c r="BD28" s="272"/>
      <c r="BE28" s="272"/>
      <c r="BF28" s="272"/>
      <c r="BG28" s="272"/>
      <c r="BH28" s="272"/>
      <c r="BI28" s="272"/>
      <c r="BJ28" s="272"/>
    </row>
    <row r="29" spans="1:62" s="473" customFormat="1" ht="25.2" customHeight="1">
      <c r="A29" s="454">
        <f>A28</f>
        <v>9</v>
      </c>
      <c r="B29" s="454"/>
      <c r="C29" s="454" t="s">
        <v>757</v>
      </c>
      <c r="D29" s="459">
        <f>SUM(D20:D28)</f>
        <v>6187000</v>
      </c>
      <c r="E29" s="459">
        <f t="shared" ref="E29:BA29" si="29">SUM(E20:E28)</f>
        <v>5869000</v>
      </c>
      <c r="F29" s="459">
        <f t="shared" si="29"/>
        <v>318000</v>
      </c>
      <c r="G29" s="459">
        <f t="shared" si="29"/>
        <v>5607000</v>
      </c>
      <c r="H29" s="459">
        <f t="shared" si="29"/>
        <v>4866690</v>
      </c>
      <c r="I29" s="459">
        <f t="shared" si="29"/>
        <v>0</v>
      </c>
      <c r="J29" s="459">
        <f t="shared" si="29"/>
        <v>299122</v>
      </c>
      <c r="K29" s="459">
        <f t="shared" si="29"/>
        <v>299122</v>
      </c>
      <c r="L29" s="459">
        <f t="shared" si="29"/>
        <v>5165812</v>
      </c>
      <c r="M29" s="459">
        <f t="shared" si="29"/>
        <v>201188</v>
      </c>
      <c r="N29" s="459">
        <f t="shared" si="29"/>
        <v>690000</v>
      </c>
      <c r="O29" s="459">
        <f t="shared" si="29"/>
        <v>130000</v>
      </c>
      <c r="P29" s="459">
        <f t="shared" si="29"/>
        <v>441188</v>
      </c>
      <c r="Q29" s="459">
        <f t="shared" si="29"/>
        <v>0</v>
      </c>
      <c r="R29" s="459">
        <f t="shared" si="29"/>
        <v>0</v>
      </c>
      <c r="S29" s="459">
        <f t="shared" si="29"/>
        <v>0</v>
      </c>
      <c r="T29" s="459">
        <f t="shared" si="29"/>
        <v>240000</v>
      </c>
      <c r="U29" s="459">
        <f t="shared" si="29"/>
        <v>450000</v>
      </c>
      <c r="V29" s="459">
        <f t="shared" si="29"/>
        <v>0</v>
      </c>
      <c r="W29" s="459">
        <f t="shared" si="29"/>
        <v>403304</v>
      </c>
      <c r="X29" s="459">
        <f t="shared" si="29"/>
        <v>0</v>
      </c>
      <c r="Y29" s="459">
        <f t="shared" si="29"/>
        <v>0</v>
      </c>
      <c r="Z29" s="459">
        <f t="shared" si="29"/>
        <v>0</v>
      </c>
      <c r="AA29" s="459">
        <f t="shared" si="29"/>
        <v>46696</v>
      </c>
      <c r="AB29" s="459">
        <f t="shared" si="29"/>
        <v>0</v>
      </c>
      <c r="AC29" s="459">
        <f t="shared" si="29"/>
        <v>7384000</v>
      </c>
      <c r="AD29" s="459">
        <f t="shared" si="29"/>
        <v>0</v>
      </c>
      <c r="AE29" s="459">
        <f t="shared" si="29"/>
        <v>0</v>
      </c>
      <c r="AF29" s="459">
        <f t="shared" si="29"/>
        <v>0</v>
      </c>
      <c r="AG29" s="459">
        <f t="shared" si="29"/>
        <v>0</v>
      </c>
      <c r="AH29" s="459">
        <f t="shared" si="29"/>
        <v>0</v>
      </c>
      <c r="AI29" s="459">
        <f t="shared" si="29"/>
        <v>0</v>
      </c>
      <c r="AJ29" s="459">
        <f t="shared" si="29"/>
        <v>0</v>
      </c>
      <c r="AK29" s="459">
        <f t="shared" si="29"/>
        <v>0</v>
      </c>
      <c r="AL29" s="459">
        <f t="shared" si="29"/>
        <v>0</v>
      </c>
      <c r="AM29" s="459">
        <f t="shared" si="29"/>
        <v>222000</v>
      </c>
      <c r="AN29" s="459">
        <f t="shared" si="29"/>
        <v>222000</v>
      </c>
      <c r="AO29" s="459">
        <f t="shared" si="29"/>
        <v>228000</v>
      </c>
      <c r="AP29" s="459">
        <f t="shared" si="29"/>
        <v>0</v>
      </c>
      <c r="AQ29" s="459">
        <f t="shared" si="29"/>
        <v>275304</v>
      </c>
      <c r="AR29" s="459">
        <f t="shared" si="29"/>
        <v>0</v>
      </c>
      <c r="AS29" s="459">
        <f t="shared" si="29"/>
        <v>0</v>
      </c>
      <c r="AT29" s="459">
        <f t="shared" si="29"/>
        <v>0</v>
      </c>
      <c r="AU29" s="459">
        <f t="shared" si="29"/>
        <v>-53304</v>
      </c>
      <c r="AV29" s="459">
        <f t="shared" si="29"/>
        <v>0</v>
      </c>
      <c r="AW29" s="459">
        <f t="shared" si="29"/>
        <v>222000</v>
      </c>
      <c r="AX29" s="459">
        <f t="shared" si="29"/>
        <v>0</v>
      </c>
      <c r="AY29" s="459">
        <f t="shared" si="29"/>
        <v>0</v>
      </c>
      <c r="AZ29" s="459">
        <f t="shared" si="29"/>
        <v>0</v>
      </c>
      <c r="BA29" s="459">
        <f t="shared" si="29"/>
        <v>0</v>
      </c>
      <c r="BB29" s="359"/>
      <c r="BC29" s="359"/>
      <c r="BD29" s="359"/>
      <c r="BE29" s="359"/>
      <c r="BF29" s="359"/>
      <c r="BG29" s="359"/>
      <c r="BH29" s="359"/>
      <c r="BI29" s="359"/>
      <c r="BJ29" s="359"/>
    </row>
    <row r="30" spans="1:62" ht="25.2" customHeight="1">
      <c r="A30" s="557"/>
      <c r="B30" s="470"/>
      <c r="C30" s="470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</row>
    <row r="31" spans="1:62" s="473" customFormat="1" ht="25.2" customHeight="1">
      <c r="A31" s="459">
        <f>A29+A16</f>
        <v>19</v>
      </c>
      <c r="B31" s="454"/>
      <c r="C31" s="454" t="s">
        <v>299</v>
      </c>
      <c r="D31" s="459">
        <f t="shared" ref="D31:BA31" si="30">D29+D16</f>
        <v>143306603</v>
      </c>
      <c r="E31" s="459">
        <f t="shared" si="30"/>
        <v>134948663</v>
      </c>
      <c r="F31" s="459">
        <f t="shared" si="30"/>
        <v>8357940</v>
      </c>
      <c r="G31" s="459">
        <f t="shared" si="30"/>
        <v>111061525</v>
      </c>
      <c r="H31" s="459">
        <f t="shared" si="30"/>
        <v>93797840</v>
      </c>
      <c r="I31" s="459">
        <f t="shared" si="30"/>
        <v>0</v>
      </c>
      <c r="J31" s="459">
        <f t="shared" si="30"/>
        <v>3133597</v>
      </c>
      <c r="K31" s="459">
        <f t="shared" si="30"/>
        <v>3133597</v>
      </c>
      <c r="L31" s="459">
        <f t="shared" si="30"/>
        <v>96931437</v>
      </c>
      <c r="M31" s="459">
        <f t="shared" si="30"/>
        <v>10385028</v>
      </c>
      <c r="N31" s="459">
        <f t="shared" si="30"/>
        <v>9270000</v>
      </c>
      <c r="O31" s="459">
        <f t="shared" si="30"/>
        <v>26720138</v>
      </c>
      <c r="P31" s="459">
        <f t="shared" si="30"/>
        <v>14130088</v>
      </c>
      <c r="Q31" s="459">
        <f t="shared" si="30"/>
        <v>450000</v>
      </c>
      <c r="R31" s="459">
        <f t="shared" si="30"/>
        <v>200000</v>
      </c>
      <c r="S31" s="459">
        <f t="shared" si="30"/>
        <v>650000</v>
      </c>
      <c r="T31" s="459">
        <f t="shared" si="30"/>
        <v>4395060</v>
      </c>
      <c r="U31" s="459">
        <f t="shared" si="30"/>
        <v>4874940</v>
      </c>
      <c r="V31" s="459">
        <f t="shared" si="30"/>
        <v>-417695</v>
      </c>
      <c r="W31" s="459">
        <f t="shared" si="30"/>
        <v>5245939</v>
      </c>
      <c r="X31" s="459">
        <f t="shared" si="30"/>
        <v>0</v>
      </c>
      <c r="Y31" s="459">
        <f t="shared" si="30"/>
        <v>0</v>
      </c>
      <c r="Z31" s="459">
        <f t="shared" si="30"/>
        <v>0</v>
      </c>
      <c r="AA31" s="459">
        <f t="shared" si="30"/>
        <v>46696</v>
      </c>
      <c r="AB31" s="459">
        <f t="shared" si="30"/>
        <v>0</v>
      </c>
      <c r="AC31" s="459">
        <f t="shared" si="30"/>
        <v>15174000</v>
      </c>
      <c r="AD31" s="459">
        <f t="shared" si="30"/>
        <v>0</v>
      </c>
      <c r="AE31" s="459">
        <f t="shared" si="30"/>
        <v>0</v>
      </c>
      <c r="AF31" s="459">
        <f t="shared" si="30"/>
        <v>1250000</v>
      </c>
      <c r="AG31" s="459">
        <f t="shared" si="30"/>
        <v>0</v>
      </c>
      <c r="AH31" s="459">
        <f t="shared" si="30"/>
        <v>432305</v>
      </c>
      <c r="AI31" s="459">
        <f t="shared" si="30"/>
        <v>900000</v>
      </c>
      <c r="AJ31" s="459">
        <f t="shared" si="30"/>
        <v>0</v>
      </c>
      <c r="AK31" s="459">
        <f t="shared" si="30"/>
        <v>500000</v>
      </c>
      <c r="AL31" s="459">
        <f t="shared" si="30"/>
        <v>200000</v>
      </c>
      <c r="AM31" s="459">
        <f t="shared" si="30"/>
        <v>972000</v>
      </c>
      <c r="AN31" s="459">
        <f t="shared" si="30"/>
        <v>4254305</v>
      </c>
      <c r="AO31" s="459">
        <f t="shared" si="30"/>
        <v>620635</v>
      </c>
      <c r="AP31" s="459">
        <f t="shared" si="30"/>
        <v>-417695</v>
      </c>
      <c r="AQ31" s="459">
        <f t="shared" si="30"/>
        <v>4725304</v>
      </c>
      <c r="AR31" s="459">
        <f t="shared" si="30"/>
        <v>0</v>
      </c>
      <c r="AS31" s="459">
        <f t="shared" si="30"/>
        <v>0</v>
      </c>
      <c r="AT31" s="459">
        <f t="shared" si="30"/>
        <v>0</v>
      </c>
      <c r="AU31" s="459">
        <f t="shared" si="30"/>
        <v>-53304</v>
      </c>
      <c r="AV31" s="459">
        <f t="shared" si="30"/>
        <v>0</v>
      </c>
      <c r="AW31" s="459">
        <f t="shared" si="30"/>
        <v>972000</v>
      </c>
      <c r="AX31" s="459">
        <f t="shared" si="30"/>
        <v>0</v>
      </c>
      <c r="AY31" s="459">
        <f t="shared" si="30"/>
        <v>0</v>
      </c>
      <c r="AZ31" s="459">
        <f t="shared" si="30"/>
        <v>0</v>
      </c>
      <c r="BA31" s="459">
        <f t="shared" si="30"/>
        <v>0</v>
      </c>
      <c r="BB31" s="359"/>
      <c r="BC31" s="359"/>
      <c r="BD31" s="359"/>
      <c r="BE31" s="359"/>
      <c r="BF31" s="359"/>
      <c r="BG31" s="359"/>
      <c r="BH31" s="359"/>
      <c r="BI31" s="359"/>
      <c r="BJ31" s="359"/>
    </row>
  </sheetData>
  <sheetProtection formatCells="0" formatColumns="0" formatRows="0" insertColumns="0" insertRows="0" insertHyperlinks="0" deleteColumns="0" deleteRows="0" sort="0" autoFilter="0" pivotTables="0"/>
  <mergeCells count="6">
    <mergeCell ref="A1:W1"/>
    <mergeCell ref="V4:AA4"/>
    <mergeCell ref="AD4:AO4"/>
    <mergeCell ref="AP4:AU4"/>
    <mergeCell ref="AV4:BA4"/>
    <mergeCell ref="T4:U4"/>
  </mergeCells>
  <conditionalFormatting sqref="AB5">
    <cfRule type="cellIs" dxfId="1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  <rowBreaks count="1" manualBreakCount="1">
    <brk id="16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6"/>
  <sheetViews>
    <sheetView showZeros="0" rightToLeft="1" zoomScaleNormal="100" zoomScaleSheetLayoutView="75" workbookViewId="0">
      <pane xSplit="5" ySplit="6" topLeftCell="F7" activePane="bottomRight" state="frozen"/>
      <selection activeCell="T10" sqref="T10"/>
      <selection pane="topRight" activeCell="T10" sqref="T10"/>
      <selection pane="bottomLeft" activeCell="T10" sqref="T10"/>
      <selection pane="bottomRight" activeCell="T10" sqref="T10"/>
    </sheetView>
  </sheetViews>
  <sheetFormatPr defaultColWidth="14" defaultRowHeight="22.8"/>
  <cols>
    <col min="1" max="1" width="11.33203125" style="692" hidden="1" customWidth="1"/>
    <col min="2" max="2" width="10.6640625" style="692" hidden="1" customWidth="1"/>
    <col min="3" max="3" width="4.5546875" style="692" customWidth="1"/>
    <col min="4" max="4" width="6" style="692" customWidth="1"/>
    <col min="5" max="5" width="18.5546875" style="692" customWidth="1"/>
    <col min="6" max="7" width="13" style="692" hidden="1" customWidth="1"/>
    <col min="8" max="8" width="11.33203125" style="692" hidden="1" customWidth="1"/>
    <col min="9" max="9" width="11.88671875" style="692" hidden="1" customWidth="1"/>
    <col min="10" max="10" width="11.33203125" style="692" hidden="1" customWidth="1"/>
    <col min="11" max="11" width="10.109375" style="692" hidden="1" customWidth="1"/>
    <col min="12" max="12" width="9.33203125" style="692" hidden="1" customWidth="1"/>
    <col min="13" max="13" width="10.33203125" style="692" hidden="1" customWidth="1"/>
    <col min="14" max="15" width="11.33203125" style="692" hidden="1" customWidth="1"/>
    <col min="16" max="16" width="19.109375" style="692" hidden="1" customWidth="1"/>
    <col min="17" max="17" width="10.6640625" style="692" hidden="1" customWidth="1"/>
    <col min="18" max="18" width="11.33203125" style="692" hidden="1" customWidth="1"/>
    <col min="19" max="19" width="11.88671875" style="692" hidden="1" customWidth="1"/>
    <col min="20" max="20" width="11.33203125" style="692" bestFit="1" customWidth="1"/>
    <col min="21" max="21" width="11.33203125" style="692" customWidth="1"/>
    <col min="22" max="22" width="11.5546875" style="692" customWidth="1"/>
    <col min="23" max="23" width="11.6640625" style="690" customWidth="1"/>
    <col min="24" max="24" width="10.33203125" style="692" customWidth="1"/>
    <col min="25" max="25" width="27.88671875" style="692" hidden="1" customWidth="1"/>
    <col min="26" max="27" width="9.6640625" style="692" hidden="1" customWidth="1"/>
    <col min="28" max="35" width="12.109375" style="692" hidden="1" customWidth="1"/>
    <col min="36" max="37" width="11.109375" style="692" customWidth="1"/>
    <col min="38" max="38" width="11.33203125" style="692" hidden="1" customWidth="1"/>
    <col min="39" max="39" width="10.88671875" style="692" hidden="1" customWidth="1"/>
    <col min="40" max="40" width="11.6640625" style="690" hidden="1" customWidth="1"/>
    <col min="41" max="41" width="10.33203125" style="692" hidden="1" customWidth="1"/>
    <col min="42" max="42" width="11.33203125" style="692" customWidth="1"/>
    <col min="43" max="43" width="10.6640625" style="692" customWidth="1"/>
    <col min="44" max="44" width="11.6640625" style="733" customWidth="1"/>
    <col min="45" max="45" width="11.6640625" style="733" hidden="1" customWidth="1"/>
    <col min="46" max="46" width="11.6640625" style="690" hidden="1" customWidth="1"/>
    <col min="47" max="47" width="10.44140625" style="692" customWidth="1"/>
    <col min="48" max="48" width="10.33203125" style="690" customWidth="1"/>
    <col min="49" max="49" width="11.6640625" style="690" customWidth="1"/>
    <col min="50" max="50" width="30.6640625" style="690" customWidth="1"/>
    <col min="51" max="51" width="19.6640625" style="690" customWidth="1"/>
    <col min="52" max="55" width="12.109375" style="692" customWidth="1"/>
    <col min="56" max="56" width="10.109375" style="692" customWidth="1"/>
    <col min="57" max="59" width="10.109375" style="692" bestFit="1" customWidth="1"/>
    <col min="60" max="60" width="9.6640625" style="692" customWidth="1"/>
    <col min="61" max="61" width="10.109375" style="692" customWidth="1"/>
    <col min="62" max="62" width="14" style="692"/>
    <col min="63" max="64" width="13.33203125" style="692" customWidth="1"/>
    <col min="65" max="67" width="9.6640625" style="692" customWidth="1"/>
    <col min="68" max="68" width="13.33203125" style="692" customWidth="1"/>
    <col min="69" max="70" width="14" style="692"/>
    <col min="71" max="73" width="13.33203125" style="692" customWidth="1"/>
    <col min="74" max="82" width="10.33203125" style="692" customWidth="1"/>
    <col min="83" max="16384" width="14" style="692"/>
  </cols>
  <sheetData>
    <row r="1" spans="1:82" ht="15" customHeight="1">
      <c r="A1" s="688"/>
      <c r="B1" s="51"/>
      <c r="C1" s="51"/>
      <c r="D1" s="689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X1" s="51"/>
      <c r="Y1" s="39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O1" s="51"/>
      <c r="AP1" s="51"/>
      <c r="AQ1" s="51"/>
      <c r="AU1" s="51"/>
      <c r="AZ1" s="157"/>
      <c r="BA1" s="157"/>
      <c r="BB1" s="157"/>
      <c r="BC1" s="157"/>
      <c r="BD1" s="157"/>
      <c r="BE1" s="157"/>
      <c r="BF1" s="157"/>
      <c r="BG1" s="157"/>
      <c r="BH1" s="691"/>
      <c r="BI1" s="691"/>
      <c r="BJ1" s="691"/>
      <c r="BK1" s="691"/>
      <c r="BL1" s="691"/>
      <c r="BM1" s="691"/>
      <c r="BN1" s="691"/>
      <c r="BO1" s="691"/>
      <c r="BP1" s="51"/>
      <c r="BQ1" s="51"/>
      <c r="BR1" s="51"/>
      <c r="BS1" s="51"/>
      <c r="BT1" s="51"/>
      <c r="BU1" s="51"/>
      <c r="BV1" s="688"/>
      <c r="BW1" s="688"/>
      <c r="BX1" s="688"/>
      <c r="BY1" s="688"/>
      <c r="BZ1" s="688"/>
      <c r="CA1" s="688"/>
      <c r="CB1" s="688"/>
      <c r="CC1" s="688"/>
      <c r="CD1" s="688"/>
    </row>
    <row r="2" spans="1:82">
      <c r="B2" s="691"/>
      <c r="C2" s="932" t="s">
        <v>1283</v>
      </c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32"/>
      <c r="P2" s="932"/>
      <c r="Q2" s="932"/>
      <c r="R2" s="932"/>
      <c r="S2" s="932"/>
      <c r="T2" s="932"/>
      <c r="U2" s="932"/>
      <c r="V2" s="932"/>
      <c r="W2" s="932"/>
      <c r="X2" s="932"/>
      <c r="Y2" s="932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3"/>
      <c r="AO2" s="691"/>
      <c r="AP2" s="691"/>
      <c r="AQ2" s="693"/>
      <c r="AU2" s="691"/>
      <c r="AZ2" s="157"/>
      <c r="BA2" s="157"/>
      <c r="BB2" s="157"/>
      <c r="BC2" s="157"/>
      <c r="BD2" s="157"/>
      <c r="BE2" s="157"/>
      <c r="BF2" s="157"/>
      <c r="BG2" s="157"/>
      <c r="BH2" s="691"/>
      <c r="BI2" s="691"/>
      <c r="BJ2" s="691"/>
      <c r="BK2" s="691"/>
      <c r="BL2" s="691"/>
      <c r="BM2" s="691"/>
      <c r="BN2" s="691"/>
      <c r="BO2" s="691"/>
      <c r="BP2" s="51"/>
      <c r="BQ2" s="51"/>
      <c r="BR2" s="51"/>
      <c r="BS2" s="51"/>
      <c r="BT2" s="51"/>
      <c r="BU2" s="51"/>
      <c r="BV2" s="688"/>
      <c r="BW2" s="688"/>
      <c r="BX2" s="688"/>
      <c r="BY2" s="688"/>
      <c r="BZ2" s="688"/>
      <c r="CA2" s="688"/>
      <c r="CB2" s="688"/>
      <c r="CC2" s="688"/>
      <c r="CD2" s="688"/>
    </row>
    <row r="3" spans="1:82" ht="17.25" customHeight="1">
      <c r="A3" s="690"/>
      <c r="B3" s="431"/>
      <c r="C3" s="431"/>
      <c r="D3" s="69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X3" s="431"/>
      <c r="Y3" s="392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393"/>
      <c r="AL3" s="431"/>
      <c r="AM3" s="431"/>
      <c r="AO3" s="431"/>
      <c r="AP3" s="431"/>
      <c r="AQ3" s="431"/>
      <c r="AU3" s="431"/>
      <c r="AZ3" s="157"/>
      <c r="BA3" s="157"/>
      <c r="BB3" s="157"/>
      <c r="BC3" s="157"/>
      <c r="BD3" s="157"/>
      <c r="BE3" s="157"/>
      <c r="BF3" s="157"/>
      <c r="BG3" s="157"/>
      <c r="BH3" s="691"/>
      <c r="BI3" s="691"/>
      <c r="BJ3" s="691"/>
      <c r="BK3" s="691"/>
      <c r="BL3" s="691"/>
      <c r="BM3" s="691"/>
      <c r="BN3" s="691"/>
      <c r="BO3" s="691"/>
      <c r="BP3" s="51"/>
      <c r="BQ3" s="51"/>
      <c r="BR3" s="51"/>
      <c r="BS3" s="51"/>
      <c r="BT3" s="51"/>
      <c r="BU3" s="51"/>
      <c r="BV3" s="688"/>
      <c r="BW3" s="688"/>
      <c r="BX3" s="688"/>
      <c r="BY3" s="688"/>
      <c r="BZ3" s="688"/>
      <c r="CA3" s="688"/>
      <c r="CB3" s="688"/>
      <c r="CC3" s="688"/>
      <c r="CD3" s="688"/>
    </row>
    <row r="4" spans="1:82" ht="16.2" customHeight="1">
      <c r="A4" s="694"/>
      <c r="B4" s="863"/>
      <c r="C4" s="140"/>
      <c r="D4" s="847"/>
      <c r="E4" s="140"/>
      <c r="F4" s="931" t="s">
        <v>205</v>
      </c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848"/>
      <c r="R4" s="140"/>
      <c r="S4" s="931" t="s">
        <v>206</v>
      </c>
      <c r="T4" s="931"/>
      <c r="U4" s="931"/>
      <c r="V4" s="931"/>
      <c r="W4" s="931"/>
      <c r="X4" s="931"/>
      <c r="Y4" s="849"/>
      <c r="Z4" s="933" t="s">
        <v>198</v>
      </c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5"/>
      <c r="AL4" s="931" t="s">
        <v>1105</v>
      </c>
      <c r="AM4" s="931"/>
      <c r="AN4" s="931"/>
      <c r="AO4" s="931"/>
      <c r="AP4" s="931" t="s">
        <v>1609</v>
      </c>
      <c r="AQ4" s="931"/>
      <c r="AR4" s="931"/>
      <c r="AS4" s="931"/>
      <c r="AT4" s="931"/>
      <c r="AU4" s="931"/>
      <c r="AZ4" s="157"/>
      <c r="BA4" s="157"/>
      <c r="BB4" s="157"/>
      <c r="BC4" s="157"/>
      <c r="BD4" s="157"/>
      <c r="BE4" s="157"/>
      <c r="BF4" s="157"/>
      <c r="BG4" s="157"/>
      <c r="BH4" s="691"/>
      <c r="BI4" s="691"/>
      <c r="BJ4" s="691"/>
      <c r="BK4" s="691"/>
      <c r="BL4" s="691"/>
      <c r="BM4" s="691"/>
      <c r="BN4" s="691"/>
      <c r="BO4" s="691"/>
      <c r="BP4" s="51"/>
      <c r="BQ4" s="51"/>
      <c r="BR4" s="51"/>
      <c r="BS4" s="51"/>
      <c r="BT4" s="51"/>
      <c r="BU4" s="51"/>
      <c r="BV4" s="688"/>
      <c r="BW4" s="688"/>
      <c r="BX4" s="688"/>
      <c r="BY4" s="688"/>
      <c r="BZ4" s="688"/>
      <c r="CA4" s="688"/>
      <c r="CB4" s="688"/>
      <c r="CC4" s="688"/>
      <c r="CD4" s="688"/>
    </row>
    <row r="5" spans="1:82" s="334" customFormat="1" ht="69">
      <c r="A5" s="696" t="s">
        <v>207</v>
      </c>
      <c r="B5" s="701" t="s">
        <v>208</v>
      </c>
      <c r="C5" s="850" t="s">
        <v>0</v>
      </c>
      <c r="D5" s="851" t="s">
        <v>1</v>
      </c>
      <c r="E5" s="851" t="s">
        <v>2</v>
      </c>
      <c r="F5" s="851" t="s">
        <v>209</v>
      </c>
      <c r="G5" s="851" t="s">
        <v>210</v>
      </c>
      <c r="H5" s="851" t="s">
        <v>211</v>
      </c>
      <c r="I5" s="851" t="s">
        <v>778</v>
      </c>
      <c r="J5" s="421" t="s">
        <v>7</v>
      </c>
      <c r="K5" s="421" t="s">
        <v>9</v>
      </c>
      <c r="L5" s="421" t="s">
        <v>125</v>
      </c>
      <c r="M5" s="421" t="s">
        <v>10</v>
      </c>
      <c r="N5" s="851" t="s">
        <v>1106</v>
      </c>
      <c r="O5" s="851" t="s">
        <v>1107</v>
      </c>
      <c r="P5" s="851" t="s">
        <v>709</v>
      </c>
      <c r="Q5" s="851" t="s">
        <v>1108</v>
      </c>
      <c r="R5" s="851" t="s">
        <v>1109</v>
      </c>
      <c r="S5" s="851" t="s">
        <v>1110</v>
      </c>
      <c r="T5" s="851" t="s">
        <v>1302</v>
      </c>
      <c r="U5" s="851" t="s">
        <v>13</v>
      </c>
      <c r="V5" s="851" t="s">
        <v>14</v>
      </c>
      <c r="W5" s="851" t="s">
        <v>15</v>
      </c>
      <c r="X5" s="851" t="s">
        <v>75</v>
      </c>
      <c r="Y5" s="137" t="s">
        <v>373</v>
      </c>
      <c r="Z5" s="851" t="s">
        <v>1111</v>
      </c>
      <c r="AA5" s="851" t="s">
        <v>1112</v>
      </c>
      <c r="AB5" s="851" t="s">
        <v>1113</v>
      </c>
      <c r="AC5" s="851" t="s">
        <v>1114</v>
      </c>
      <c r="AD5" s="851" t="s">
        <v>1115</v>
      </c>
      <c r="AE5" s="851" t="s">
        <v>1116</v>
      </c>
      <c r="AF5" s="851" t="s">
        <v>1117</v>
      </c>
      <c r="AG5" s="851" t="s">
        <v>1118</v>
      </c>
      <c r="AH5" s="851" t="s">
        <v>1119</v>
      </c>
      <c r="AI5" s="851" t="s">
        <v>1120</v>
      </c>
      <c r="AJ5" s="851" t="s">
        <v>1579</v>
      </c>
      <c r="AK5" s="851" t="s">
        <v>1580</v>
      </c>
      <c r="AL5" s="851" t="s">
        <v>13</v>
      </c>
      <c r="AM5" s="851" t="s">
        <v>14</v>
      </c>
      <c r="AN5" s="851" t="s">
        <v>15</v>
      </c>
      <c r="AO5" s="851" t="s">
        <v>75</v>
      </c>
      <c r="AP5" s="851" t="s">
        <v>13</v>
      </c>
      <c r="AQ5" s="851" t="s">
        <v>14</v>
      </c>
      <c r="AR5" s="851" t="s">
        <v>15</v>
      </c>
      <c r="AS5" s="851" t="s">
        <v>241</v>
      </c>
      <c r="AT5" s="851" t="s">
        <v>502</v>
      </c>
      <c r="AU5" s="851" t="s">
        <v>75</v>
      </c>
      <c r="AV5" s="690"/>
      <c r="AW5" s="690"/>
      <c r="AX5" s="690"/>
      <c r="AY5" s="690"/>
      <c r="AZ5" s="157"/>
      <c r="BA5" s="157"/>
      <c r="BB5" s="157"/>
      <c r="BC5" s="157"/>
      <c r="BD5" s="157"/>
      <c r="BE5" s="157"/>
      <c r="BF5" s="157"/>
      <c r="BG5" s="157"/>
      <c r="BH5" s="691"/>
      <c r="BI5" s="691"/>
      <c r="BJ5" s="691"/>
      <c r="BK5" s="691"/>
      <c r="BL5" s="691"/>
      <c r="BM5" s="691"/>
      <c r="BN5" s="691"/>
      <c r="BO5" s="691"/>
      <c r="BP5" s="51"/>
      <c r="BS5" s="51"/>
      <c r="BT5" s="51"/>
      <c r="BU5" s="51"/>
      <c r="BV5" s="688"/>
      <c r="BW5" s="688"/>
      <c r="BX5" s="688"/>
      <c r="BY5" s="688"/>
      <c r="BZ5" s="688"/>
      <c r="CA5" s="688"/>
      <c r="CB5" s="688"/>
      <c r="CC5" s="688"/>
      <c r="CD5" s="688"/>
    </row>
    <row r="6" spans="1:82" s="334" customFormat="1">
      <c r="A6" s="696"/>
      <c r="B6" s="701"/>
      <c r="C6" s="850"/>
      <c r="D6" s="135"/>
      <c r="E6" s="850"/>
      <c r="F6" s="851"/>
      <c r="G6" s="851"/>
      <c r="H6" s="851"/>
      <c r="I6" s="851"/>
      <c r="J6" s="851"/>
      <c r="K6" s="851"/>
      <c r="L6" s="851"/>
      <c r="M6" s="851"/>
      <c r="N6" s="851"/>
      <c r="O6" s="851"/>
      <c r="P6" s="851"/>
      <c r="Q6" s="851"/>
      <c r="R6" s="851"/>
      <c r="S6" s="851"/>
      <c r="T6" s="851"/>
      <c r="U6" s="851"/>
      <c r="V6" s="851"/>
      <c r="W6" s="851"/>
      <c r="X6" s="851"/>
      <c r="Y6" s="851"/>
      <c r="Z6" s="851"/>
      <c r="AA6" s="851"/>
      <c r="AB6" s="851"/>
      <c r="AC6" s="851"/>
      <c r="AD6" s="851"/>
      <c r="AE6" s="851"/>
      <c r="AF6" s="851"/>
      <c r="AG6" s="851"/>
      <c r="AH6" s="851"/>
      <c r="AI6" s="851"/>
      <c r="AJ6" s="851"/>
      <c r="AK6" s="851"/>
      <c r="AL6" s="851"/>
      <c r="AM6" s="851"/>
      <c r="AN6" s="851"/>
      <c r="AO6" s="349"/>
      <c r="AP6" s="851"/>
      <c r="AQ6" s="851"/>
      <c r="AR6" s="851"/>
      <c r="AS6" s="851"/>
      <c r="AT6" s="851"/>
      <c r="AU6" s="349"/>
      <c r="AV6" s="690"/>
      <c r="AW6" s="690"/>
      <c r="AX6" s="690"/>
      <c r="AY6" s="690"/>
      <c r="AZ6" s="157"/>
      <c r="BA6" s="157"/>
      <c r="BB6" s="157"/>
      <c r="BC6" s="157"/>
      <c r="BD6" s="157"/>
      <c r="BE6" s="157"/>
      <c r="BF6" s="157"/>
      <c r="BG6" s="157"/>
      <c r="BH6" s="691"/>
      <c r="BI6" s="691"/>
      <c r="BJ6" s="691"/>
      <c r="BK6" s="691"/>
      <c r="BL6" s="691"/>
      <c r="BM6" s="691"/>
      <c r="BN6" s="691"/>
      <c r="BO6" s="691"/>
      <c r="BP6" s="51"/>
      <c r="BS6" s="51"/>
      <c r="BT6" s="51"/>
      <c r="BU6" s="51"/>
      <c r="BV6" s="688"/>
      <c r="BW6" s="688"/>
      <c r="BX6" s="688"/>
      <c r="BY6" s="688"/>
      <c r="BZ6" s="688"/>
      <c r="CA6" s="688"/>
      <c r="CB6" s="688"/>
      <c r="CC6" s="688"/>
      <c r="CD6" s="688"/>
    </row>
    <row r="7" spans="1:82" s="61" customFormat="1" ht="22.95" customHeight="1">
      <c r="A7" s="694"/>
      <c r="B7" s="863"/>
      <c r="C7" s="140"/>
      <c r="D7" s="847"/>
      <c r="E7" s="852" t="s">
        <v>1121</v>
      </c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140"/>
      <c r="Y7" s="226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349"/>
      <c r="AP7" s="140"/>
      <c r="AQ7" s="140"/>
      <c r="AR7" s="140"/>
      <c r="AS7" s="140"/>
      <c r="AT7" s="140"/>
      <c r="AU7" s="349"/>
      <c r="AV7" s="690"/>
      <c r="AW7" s="690"/>
      <c r="AX7" s="690"/>
      <c r="AY7" s="690"/>
      <c r="AZ7" s="157"/>
      <c r="BA7" s="157"/>
      <c r="BB7" s="157"/>
      <c r="BC7" s="157"/>
      <c r="BD7" s="157"/>
      <c r="BE7" s="157"/>
      <c r="BF7" s="157"/>
      <c r="BG7" s="157"/>
      <c r="BH7" s="691"/>
      <c r="BI7" s="691"/>
      <c r="BJ7" s="691"/>
      <c r="BK7" s="691"/>
      <c r="BL7" s="691"/>
      <c r="BM7" s="691"/>
      <c r="BN7" s="691"/>
      <c r="BO7" s="691"/>
      <c r="BP7" s="51"/>
      <c r="BS7" s="51"/>
      <c r="BT7" s="51"/>
      <c r="BU7" s="51"/>
      <c r="BV7" s="688"/>
      <c r="BW7" s="688"/>
      <c r="BX7" s="688"/>
      <c r="BY7" s="688"/>
      <c r="BZ7" s="688"/>
      <c r="CA7" s="688"/>
      <c r="CB7" s="688"/>
      <c r="CC7" s="688"/>
      <c r="CD7" s="688"/>
    </row>
    <row r="8" spans="1:82" s="395" customFormat="1" ht="34.950000000000003" customHeight="1">
      <c r="A8" s="697" t="s">
        <v>1122</v>
      </c>
      <c r="B8" s="701" t="s">
        <v>1123</v>
      </c>
      <c r="C8" s="220">
        <v>1</v>
      </c>
      <c r="D8" s="220">
        <v>1587</v>
      </c>
      <c r="E8" s="235" t="s">
        <v>89</v>
      </c>
      <c r="F8" s="349">
        <v>34200000</v>
      </c>
      <c r="G8" s="349">
        <v>34200000</v>
      </c>
      <c r="H8" s="349">
        <f>F8-G8</f>
        <v>0</v>
      </c>
      <c r="I8" s="349">
        <v>12710000</v>
      </c>
      <c r="J8" s="349">
        <v>10204545.99</v>
      </c>
      <c r="K8" s="349"/>
      <c r="L8" s="349">
        <f>1290013.25+58050.6+152538.11+1002050.46</f>
        <v>2502652.42</v>
      </c>
      <c r="M8" s="349">
        <f>SUM(K8:L8)</f>
        <v>2502652.42</v>
      </c>
      <c r="N8" s="349">
        <f>M8+J8</f>
        <v>12707198.41</v>
      </c>
      <c r="O8" s="349">
        <f>2500000+350000+2802</f>
        <v>2852802</v>
      </c>
      <c r="P8" s="349">
        <f>F8-N8-O8</f>
        <v>18639999.59</v>
      </c>
      <c r="Q8" s="349">
        <f>I8-N8</f>
        <v>2801.589999999851</v>
      </c>
      <c r="R8" s="349">
        <f>O8-Q8</f>
        <v>2850000.41</v>
      </c>
      <c r="S8" s="349">
        <v>2500000</v>
      </c>
      <c r="T8" s="349">
        <f>R8-S8</f>
        <v>350000.41000000015</v>
      </c>
      <c r="U8" s="349">
        <f t="shared" ref="U8:U13" si="0">T8-V8-X8</f>
        <v>350000.41000000015</v>
      </c>
      <c r="V8" s="349"/>
      <c r="W8" s="349"/>
      <c r="X8" s="349"/>
      <c r="Y8" s="221" t="s">
        <v>1124</v>
      </c>
      <c r="Z8" s="349"/>
      <c r="AA8" s="349"/>
      <c r="AB8" s="349">
        <v>350000</v>
      </c>
      <c r="AC8" s="349"/>
      <c r="AD8" s="349"/>
      <c r="AE8" s="349"/>
      <c r="AF8" s="349"/>
      <c r="AG8" s="349"/>
      <c r="AH8" s="349"/>
      <c r="AI8" s="349"/>
      <c r="AJ8" s="349">
        <f>SUM(Z8:AI8)</f>
        <v>350000</v>
      </c>
      <c r="AK8" s="349">
        <f>T8-AJ8</f>
        <v>0.41000000014901161</v>
      </c>
      <c r="AL8" s="349">
        <f>AI8-AM8-AO8</f>
        <v>0</v>
      </c>
      <c r="AM8" s="349"/>
      <c r="AN8" s="349"/>
      <c r="AO8" s="349"/>
      <c r="AP8" s="349">
        <f t="shared" ref="AP8:AP20" si="1">AJ8-AQ8-AU8</f>
        <v>350000</v>
      </c>
      <c r="AQ8" s="349"/>
      <c r="AR8" s="349"/>
      <c r="AS8" s="349"/>
      <c r="AT8" s="349"/>
      <c r="AU8" s="349"/>
      <c r="AV8" s="698"/>
      <c r="AW8" s="698"/>
      <c r="AX8" s="698"/>
      <c r="AY8" s="698"/>
      <c r="AZ8" s="319"/>
      <c r="BA8" s="319"/>
      <c r="BB8" s="319"/>
      <c r="BC8" s="319"/>
      <c r="BD8" s="319"/>
      <c r="BE8" s="319"/>
      <c r="BF8" s="319"/>
      <c r="BG8" s="319"/>
      <c r="BH8" s="394"/>
      <c r="BI8" s="394"/>
      <c r="BJ8" s="394"/>
      <c r="BK8" s="394"/>
      <c r="BL8" s="394"/>
      <c r="BM8" s="394"/>
      <c r="BN8" s="394"/>
      <c r="BO8" s="394"/>
      <c r="BP8" s="122"/>
      <c r="BS8" s="122"/>
      <c r="BT8" s="122"/>
      <c r="BU8" s="122"/>
      <c r="BV8" s="699"/>
      <c r="BW8" s="699"/>
      <c r="BX8" s="699"/>
      <c r="BY8" s="699"/>
      <c r="BZ8" s="699"/>
      <c r="CA8" s="699"/>
      <c r="CB8" s="699"/>
      <c r="CC8" s="699"/>
      <c r="CD8" s="699"/>
    </row>
    <row r="9" spans="1:82" s="395" customFormat="1" ht="34.950000000000003" customHeight="1">
      <c r="A9" s="697" t="s">
        <v>1122</v>
      </c>
      <c r="B9" s="701" t="s">
        <v>1123</v>
      </c>
      <c r="C9" s="220">
        <f>1+C8</f>
        <v>2</v>
      </c>
      <c r="D9" s="220">
        <v>20057</v>
      </c>
      <c r="E9" s="235" t="s">
        <v>1125</v>
      </c>
      <c r="F9" s="349">
        <v>0</v>
      </c>
      <c r="G9" s="349">
        <v>350000</v>
      </c>
      <c r="H9" s="349">
        <f>F9-G9</f>
        <v>-350000</v>
      </c>
      <c r="I9" s="349"/>
      <c r="J9" s="349"/>
      <c r="K9" s="349"/>
      <c r="L9" s="349"/>
      <c r="M9" s="349">
        <f>SUM(K9:L9)</f>
        <v>0</v>
      </c>
      <c r="N9" s="349">
        <f>M9+J9</f>
        <v>0</v>
      </c>
      <c r="O9" s="349"/>
      <c r="P9" s="349">
        <f>F9-N9-O9</f>
        <v>0</v>
      </c>
      <c r="Q9" s="349">
        <f>I9-N9</f>
        <v>0</v>
      </c>
      <c r="R9" s="349">
        <f>O9-Q9</f>
        <v>0</v>
      </c>
      <c r="S9" s="349">
        <v>350000</v>
      </c>
      <c r="T9" s="349">
        <f>R9-S9</f>
        <v>-350000</v>
      </c>
      <c r="U9" s="349">
        <f t="shared" si="0"/>
        <v>-350000</v>
      </c>
      <c r="V9" s="349"/>
      <c r="W9" s="349"/>
      <c r="X9" s="349"/>
      <c r="Y9" s="221" t="s">
        <v>1126</v>
      </c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>
        <f t="shared" ref="AJ9:AJ14" si="2">SUM(Z9:AI9)</f>
        <v>0</v>
      </c>
      <c r="AK9" s="349">
        <f>T9-AJ9</f>
        <v>-350000</v>
      </c>
      <c r="AL9" s="349">
        <f t="shared" ref="AL9:AL20" si="3">AI9-AM9-AO9</f>
        <v>0</v>
      </c>
      <c r="AM9" s="349"/>
      <c r="AN9" s="349"/>
      <c r="AO9" s="349"/>
      <c r="AP9" s="349">
        <f t="shared" si="1"/>
        <v>0</v>
      </c>
      <c r="AQ9" s="349"/>
      <c r="AR9" s="349"/>
      <c r="AS9" s="349"/>
      <c r="AT9" s="349"/>
      <c r="AU9" s="349"/>
      <c r="AV9" s="698"/>
      <c r="AW9" s="698"/>
      <c r="AX9" s="698"/>
      <c r="AY9" s="698"/>
      <c r="AZ9" s="319"/>
      <c r="BA9" s="319"/>
      <c r="BB9" s="319"/>
      <c r="BC9" s="319"/>
      <c r="BD9" s="319"/>
      <c r="BE9" s="319"/>
      <c r="BF9" s="319"/>
      <c r="BG9" s="319"/>
      <c r="BH9" s="394"/>
      <c r="BI9" s="394"/>
      <c r="BJ9" s="394"/>
      <c r="BK9" s="394"/>
      <c r="BL9" s="394"/>
      <c r="BM9" s="394"/>
      <c r="BN9" s="394"/>
      <c r="BO9" s="394"/>
      <c r="BP9" s="122"/>
      <c r="BS9" s="122"/>
      <c r="BT9" s="122"/>
      <c r="BU9" s="122"/>
      <c r="BV9" s="699"/>
      <c r="BW9" s="699"/>
      <c r="BX9" s="699"/>
      <c r="BY9" s="699"/>
      <c r="BZ9" s="699"/>
      <c r="CA9" s="699"/>
      <c r="CB9" s="699"/>
      <c r="CC9" s="699"/>
      <c r="CD9" s="699"/>
    </row>
    <row r="10" spans="1:82" s="395" customFormat="1" ht="34.950000000000003" customHeight="1">
      <c r="A10" s="697" t="s">
        <v>1127</v>
      </c>
      <c r="B10" s="701" t="s">
        <v>1128</v>
      </c>
      <c r="C10" s="220">
        <f t="shared" ref="C10:C20" si="4">1+C9</f>
        <v>3</v>
      </c>
      <c r="D10" s="220">
        <v>626</v>
      </c>
      <c r="E10" s="235" t="s">
        <v>779</v>
      </c>
      <c r="F10" s="349">
        <v>34775000</v>
      </c>
      <c r="G10" s="349">
        <v>34775000</v>
      </c>
      <c r="H10" s="349">
        <f t="shared" ref="H10:H21" si="5">F10-G10</f>
        <v>0</v>
      </c>
      <c r="I10" s="349">
        <v>17775000</v>
      </c>
      <c r="J10" s="349">
        <v>14266512</v>
      </c>
      <c r="K10" s="349">
        <v>107406</v>
      </c>
      <c r="L10" s="349">
        <f>110049+289066</f>
        <v>399115</v>
      </c>
      <c r="M10" s="349">
        <f t="shared" ref="M10:M15" si="6">SUM(K10:L10)</f>
        <v>506521</v>
      </c>
      <c r="N10" s="349">
        <f t="shared" ref="N10:N21" si="7">M10+J10</f>
        <v>14773033</v>
      </c>
      <c r="O10" s="349">
        <f>3001967+6000000-141102</f>
        <v>8860865</v>
      </c>
      <c r="P10" s="349">
        <f t="shared" ref="P10:P21" si="8">F10-N10-O10</f>
        <v>11141102</v>
      </c>
      <c r="Q10" s="349">
        <f t="shared" ref="Q10:Q21" si="9">I10-N10</f>
        <v>3001967</v>
      </c>
      <c r="R10" s="349">
        <f t="shared" ref="R10:R21" si="10">O10-Q10</f>
        <v>5858898</v>
      </c>
      <c r="S10" s="349">
        <v>6000000</v>
      </c>
      <c r="T10" s="349">
        <f t="shared" ref="T10:T21" si="11">R10-S10</f>
        <v>-141102</v>
      </c>
      <c r="U10" s="349">
        <f t="shared" si="0"/>
        <v>0</v>
      </c>
      <c r="V10" s="349"/>
      <c r="W10" s="349"/>
      <c r="X10" s="349">
        <v>-141102</v>
      </c>
      <c r="Y10" s="221" t="s">
        <v>1129</v>
      </c>
      <c r="Z10" s="349"/>
      <c r="AA10" s="349"/>
      <c r="AB10" s="349"/>
      <c r="AC10" s="349">
        <f t="shared" ref="AC10:AC15" si="12">SUM(Y10:AA10)</f>
        <v>0</v>
      </c>
      <c r="AD10" s="349">
        <f t="shared" ref="AD10:AD15" si="13">SUM(Y10:AA10)</f>
        <v>0</v>
      </c>
      <c r="AE10" s="349">
        <v>-141102</v>
      </c>
      <c r="AF10" s="349"/>
      <c r="AG10" s="349"/>
      <c r="AH10" s="349"/>
      <c r="AI10" s="349"/>
      <c r="AJ10" s="349">
        <f t="shared" si="2"/>
        <v>-141102</v>
      </c>
      <c r="AK10" s="349">
        <f t="shared" ref="AK10:AK20" si="14">T10-AJ10</f>
        <v>0</v>
      </c>
      <c r="AL10" s="349">
        <f t="shared" si="3"/>
        <v>0</v>
      </c>
      <c r="AM10" s="349"/>
      <c r="AN10" s="349"/>
      <c r="AO10" s="349"/>
      <c r="AP10" s="349">
        <f t="shared" si="1"/>
        <v>0</v>
      </c>
      <c r="AQ10" s="349"/>
      <c r="AR10" s="349"/>
      <c r="AS10" s="349"/>
      <c r="AT10" s="349"/>
      <c r="AU10" s="349">
        <v>-141102</v>
      </c>
      <c r="AV10" s="698"/>
      <c r="AW10" s="698"/>
      <c r="AX10" s="698"/>
      <c r="AY10" s="319"/>
      <c r="AZ10" s="319"/>
      <c r="BA10" s="319"/>
      <c r="BB10" s="319"/>
      <c r="BC10" s="319"/>
      <c r="BD10" s="319"/>
      <c r="BE10" s="319"/>
      <c r="BF10" s="319"/>
      <c r="BG10" s="394"/>
      <c r="BH10" s="394"/>
      <c r="BI10" s="394"/>
      <c r="BJ10" s="394"/>
      <c r="BK10" s="394"/>
      <c r="BL10" s="394"/>
      <c r="BM10" s="394"/>
      <c r="BN10" s="394"/>
      <c r="BO10" s="122"/>
      <c r="BR10" s="122"/>
      <c r="BS10" s="122"/>
      <c r="BT10" s="122"/>
      <c r="BU10" s="699"/>
      <c r="BV10" s="699"/>
      <c r="BW10" s="699"/>
      <c r="BX10" s="699"/>
      <c r="BY10" s="699"/>
      <c r="BZ10" s="699"/>
      <c r="CA10" s="699"/>
      <c r="CB10" s="699"/>
      <c r="CC10" s="699"/>
    </row>
    <row r="11" spans="1:82" s="395" customFormat="1" ht="34.950000000000003" customHeight="1">
      <c r="A11" s="697" t="s">
        <v>1127</v>
      </c>
      <c r="B11" s="701" t="s">
        <v>1128</v>
      </c>
      <c r="C11" s="220">
        <f t="shared" si="4"/>
        <v>4</v>
      </c>
      <c r="D11" s="220">
        <v>608</v>
      </c>
      <c r="E11" s="235" t="s">
        <v>29</v>
      </c>
      <c r="F11" s="349">
        <v>8300000</v>
      </c>
      <c r="G11" s="349">
        <v>8300000</v>
      </c>
      <c r="H11" s="349">
        <f t="shared" si="5"/>
        <v>0</v>
      </c>
      <c r="I11" s="349">
        <v>6700000</v>
      </c>
      <c r="J11" s="349">
        <v>6394874</v>
      </c>
      <c r="K11" s="349"/>
      <c r="L11" s="349"/>
      <c r="M11" s="349">
        <f t="shared" si="6"/>
        <v>0</v>
      </c>
      <c r="N11" s="349">
        <f t="shared" si="7"/>
        <v>6394874</v>
      </c>
      <c r="O11" s="349">
        <f>800000+305126+150000</f>
        <v>1255126</v>
      </c>
      <c r="P11" s="349">
        <f t="shared" si="8"/>
        <v>650000</v>
      </c>
      <c r="Q11" s="349">
        <f t="shared" si="9"/>
        <v>305126</v>
      </c>
      <c r="R11" s="349">
        <f t="shared" si="10"/>
        <v>950000</v>
      </c>
      <c r="S11" s="349">
        <v>800000</v>
      </c>
      <c r="T11" s="349">
        <f t="shared" si="11"/>
        <v>150000</v>
      </c>
      <c r="U11" s="349">
        <f t="shared" si="0"/>
        <v>150000</v>
      </c>
      <c r="V11" s="349"/>
      <c r="W11" s="349"/>
      <c r="X11" s="349"/>
      <c r="Y11" s="221" t="s">
        <v>1130</v>
      </c>
      <c r="Z11" s="349"/>
      <c r="AA11" s="349"/>
      <c r="AB11" s="349"/>
      <c r="AC11" s="349">
        <f t="shared" si="12"/>
        <v>0</v>
      </c>
      <c r="AD11" s="349">
        <f t="shared" si="13"/>
        <v>0</v>
      </c>
      <c r="AE11" s="349">
        <v>150000</v>
      </c>
      <c r="AF11" s="349"/>
      <c r="AG11" s="349"/>
      <c r="AH11" s="349"/>
      <c r="AI11" s="349"/>
      <c r="AJ11" s="349">
        <f t="shared" si="2"/>
        <v>150000</v>
      </c>
      <c r="AK11" s="349">
        <f t="shared" si="14"/>
        <v>0</v>
      </c>
      <c r="AL11" s="349">
        <f t="shared" si="3"/>
        <v>0</v>
      </c>
      <c r="AM11" s="349"/>
      <c r="AN11" s="349"/>
      <c r="AO11" s="349"/>
      <c r="AP11" s="349">
        <f t="shared" si="1"/>
        <v>150000</v>
      </c>
      <c r="AQ11" s="349"/>
      <c r="AR11" s="349"/>
      <c r="AS11" s="349"/>
      <c r="AT11" s="349"/>
      <c r="AU11" s="349"/>
      <c r="AV11" s="698"/>
      <c r="AW11" s="698"/>
      <c r="AX11" s="698"/>
      <c r="AY11" s="319"/>
      <c r="AZ11" s="319"/>
      <c r="BA11" s="319"/>
      <c r="BB11" s="319"/>
      <c r="BC11" s="319"/>
      <c r="BD11" s="319"/>
      <c r="BE11" s="319"/>
      <c r="BF11" s="319"/>
      <c r="BG11" s="394"/>
      <c r="BH11" s="394"/>
      <c r="BI11" s="394"/>
      <c r="BJ11" s="394"/>
      <c r="BK11" s="394"/>
      <c r="BL11" s="394"/>
      <c r="BM11" s="394"/>
      <c r="BN11" s="394"/>
      <c r="BO11" s="122"/>
      <c r="BR11" s="122"/>
      <c r="BS11" s="122"/>
      <c r="BT11" s="122"/>
      <c r="BU11" s="699"/>
      <c r="BV11" s="699"/>
      <c r="BW11" s="699"/>
      <c r="BX11" s="699"/>
      <c r="BY11" s="699"/>
      <c r="BZ11" s="699"/>
      <c r="CA11" s="699"/>
      <c r="CB11" s="699"/>
      <c r="CC11" s="699"/>
    </row>
    <row r="12" spans="1:82" s="395" customFormat="1" ht="34.950000000000003" customHeight="1">
      <c r="A12" s="697" t="s">
        <v>1127</v>
      </c>
      <c r="B12" s="701" t="s">
        <v>1128</v>
      </c>
      <c r="C12" s="220">
        <f t="shared" si="4"/>
        <v>5</v>
      </c>
      <c r="D12" s="220">
        <v>2121</v>
      </c>
      <c r="E12" s="235" t="s">
        <v>322</v>
      </c>
      <c r="F12" s="349">
        <v>1290000</v>
      </c>
      <c r="G12" s="349">
        <v>1290000</v>
      </c>
      <c r="H12" s="349">
        <f t="shared" si="5"/>
        <v>0</v>
      </c>
      <c r="I12" s="349">
        <v>300000</v>
      </c>
      <c r="J12" s="349">
        <v>158135</v>
      </c>
      <c r="K12" s="349"/>
      <c r="L12" s="349"/>
      <c r="M12" s="349">
        <f t="shared" si="6"/>
        <v>0</v>
      </c>
      <c r="N12" s="349">
        <f t="shared" si="7"/>
        <v>158135</v>
      </c>
      <c r="O12" s="349">
        <f>141865+800000</f>
        <v>941865</v>
      </c>
      <c r="P12" s="349">
        <f t="shared" si="8"/>
        <v>190000</v>
      </c>
      <c r="Q12" s="349">
        <f t="shared" si="9"/>
        <v>141865</v>
      </c>
      <c r="R12" s="349">
        <f t="shared" si="10"/>
        <v>800000</v>
      </c>
      <c r="S12" s="349"/>
      <c r="T12" s="349">
        <f t="shared" si="11"/>
        <v>800000</v>
      </c>
      <c r="U12" s="349">
        <f t="shared" si="0"/>
        <v>431830</v>
      </c>
      <c r="V12" s="349"/>
      <c r="W12" s="349"/>
      <c r="X12" s="349">
        <f>-177830+546000</f>
        <v>368170</v>
      </c>
      <c r="Y12" s="221" t="s">
        <v>1131</v>
      </c>
      <c r="Z12" s="349"/>
      <c r="AA12" s="349"/>
      <c r="AB12" s="349"/>
      <c r="AC12" s="349">
        <f t="shared" si="12"/>
        <v>0</v>
      </c>
      <c r="AD12" s="349">
        <f t="shared" si="13"/>
        <v>0</v>
      </c>
      <c r="AE12" s="349">
        <v>800000</v>
      </c>
      <c r="AF12" s="349"/>
      <c r="AG12" s="349"/>
      <c r="AH12" s="349"/>
      <c r="AI12" s="349"/>
      <c r="AJ12" s="349">
        <f t="shared" si="2"/>
        <v>800000</v>
      </c>
      <c r="AK12" s="349">
        <f t="shared" si="14"/>
        <v>0</v>
      </c>
      <c r="AL12" s="349">
        <f t="shared" si="3"/>
        <v>0</v>
      </c>
      <c r="AM12" s="349"/>
      <c r="AN12" s="349"/>
      <c r="AO12" s="349"/>
      <c r="AP12" s="349">
        <f t="shared" si="1"/>
        <v>431830</v>
      </c>
      <c r="AQ12" s="349"/>
      <c r="AR12" s="349"/>
      <c r="AS12" s="349"/>
      <c r="AT12" s="349"/>
      <c r="AU12" s="349">
        <f>546000-177830</f>
        <v>368170</v>
      </c>
      <c r="AV12" s="698"/>
      <c r="AW12" s="698"/>
      <c r="AX12" s="698"/>
      <c r="AY12" s="319"/>
      <c r="AZ12" s="319"/>
      <c r="BA12" s="319"/>
      <c r="BB12" s="319"/>
      <c r="BC12" s="319"/>
      <c r="BD12" s="319"/>
      <c r="BE12" s="319"/>
      <c r="BF12" s="319"/>
      <c r="BG12" s="394"/>
      <c r="BH12" s="394"/>
      <c r="BI12" s="394"/>
      <c r="BJ12" s="394"/>
      <c r="BK12" s="394"/>
      <c r="BL12" s="394"/>
      <c r="BM12" s="394"/>
      <c r="BN12" s="394"/>
      <c r="BO12" s="122"/>
      <c r="BR12" s="122"/>
      <c r="BS12" s="122"/>
      <c r="BT12" s="122"/>
      <c r="BU12" s="699"/>
      <c r="BV12" s="699"/>
      <c r="BW12" s="699"/>
      <c r="BX12" s="699"/>
      <c r="BY12" s="699"/>
      <c r="BZ12" s="699"/>
      <c r="CA12" s="699"/>
      <c r="CB12" s="699"/>
      <c r="CC12" s="699"/>
    </row>
    <row r="13" spans="1:82" s="395" customFormat="1" ht="34.950000000000003" customHeight="1">
      <c r="A13" s="697" t="s">
        <v>1127</v>
      </c>
      <c r="B13" s="701" t="s">
        <v>1128</v>
      </c>
      <c r="C13" s="220">
        <f t="shared" si="4"/>
        <v>6</v>
      </c>
      <c r="D13" s="220">
        <v>2122</v>
      </c>
      <c r="E13" s="235" t="s">
        <v>362</v>
      </c>
      <c r="F13" s="349">
        <f>100000-32766</f>
        <v>67234</v>
      </c>
      <c r="G13" s="349">
        <v>100000</v>
      </c>
      <c r="H13" s="349">
        <f t="shared" si="5"/>
        <v>-32766</v>
      </c>
      <c r="I13" s="349">
        <v>100000</v>
      </c>
      <c r="J13" s="349">
        <v>53191</v>
      </c>
      <c r="K13" s="349"/>
      <c r="L13" s="349"/>
      <c r="M13" s="349">
        <f t="shared" si="6"/>
        <v>0</v>
      </c>
      <c r="N13" s="349">
        <f t="shared" si="7"/>
        <v>53191</v>
      </c>
      <c r="O13" s="349">
        <f>46809-32766</f>
        <v>14043</v>
      </c>
      <c r="P13" s="349">
        <f t="shared" si="8"/>
        <v>0</v>
      </c>
      <c r="Q13" s="349">
        <f t="shared" si="9"/>
        <v>46809</v>
      </c>
      <c r="R13" s="349">
        <f t="shared" si="10"/>
        <v>-32766</v>
      </c>
      <c r="S13" s="349"/>
      <c r="T13" s="349">
        <f t="shared" si="11"/>
        <v>-32766</v>
      </c>
      <c r="U13" s="349">
        <f t="shared" si="0"/>
        <v>0</v>
      </c>
      <c r="V13" s="349"/>
      <c r="W13" s="349"/>
      <c r="X13" s="349">
        <v>-32766</v>
      </c>
      <c r="Y13" s="221" t="s">
        <v>1129</v>
      </c>
      <c r="Z13" s="349"/>
      <c r="AA13" s="349"/>
      <c r="AB13" s="349"/>
      <c r="AC13" s="349">
        <f t="shared" si="12"/>
        <v>0</v>
      </c>
      <c r="AD13" s="349">
        <f t="shared" si="13"/>
        <v>0</v>
      </c>
      <c r="AE13" s="349">
        <v>-32766</v>
      </c>
      <c r="AF13" s="349"/>
      <c r="AG13" s="349"/>
      <c r="AH13" s="349"/>
      <c r="AI13" s="349"/>
      <c r="AJ13" s="349">
        <f t="shared" si="2"/>
        <v>-32766</v>
      </c>
      <c r="AK13" s="349">
        <f t="shared" si="14"/>
        <v>0</v>
      </c>
      <c r="AL13" s="349">
        <f t="shared" si="3"/>
        <v>0</v>
      </c>
      <c r="AM13" s="349"/>
      <c r="AN13" s="349"/>
      <c r="AO13" s="349"/>
      <c r="AP13" s="349">
        <f t="shared" si="1"/>
        <v>0</v>
      </c>
      <c r="AQ13" s="349"/>
      <c r="AR13" s="349"/>
      <c r="AS13" s="349"/>
      <c r="AT13" s="349"/>
      <c r="AU13" s="349">
        <v>-32766</v>
      </c>
      <c r="AV13" s="698"/>
      <c r="AW13" s="698"/>
      <c r="AX13" s="698"/>
      <c r="AY13" s="319"/>
      <c r="AZ13" s="319"/>
      <c r="BA13" s="319"/>
      <c r="BB13" s="319"/>
      <c r="BC13" s="319"/>
      <c r="BD13" s="319"/>
      <c r="BE13" s="319"/>
      <c r="BF13" s="319"/>
      <c r="BG13" s="394"/>
      <c r="BH13" s="394"/>
      <c r="BI13" s="394"/>
      <c r="BJ13" s="394"/>
      <c r="BK13" s="394"/>
      <c r="BL13" s="394"/>
      <c r="BM13" s="394"/>
      <c r="BN13" s="394"/>
      <c r="BO13" s="122"/>
      <c r="BR13" s="122"/>
      <c r="BS13" s="122"/>
      <c r="BT13" s="122"/>
      <c r="BU13" s="699"/>
      <c r="BV13" s="699"/>
      <c r="BW13" s="699"/>
      <c r="BX13" s="699"/>
      <c r="BY13" s="699"/>
      <c r="BZ13" s="699"/>
      <c r="CA13" s="699"/>
      <c r="CB13" s="699"/>
      <c r="CC13" s="699"/>
    </row>
    <row r="14" spans="1:82" s="395" customFormat="1" ht="34.950000000000003" customHeight="1">
      <c r="A14" s="697" t="s">
        <v>1127</v>
      </c>
      <c r="B14" s="701" t="s">
        <v>1128</v>
      </c>
      <c r="C14" s="220">
        <f t="shared" si="4"/>
        <v>7</v>
      </c>
      <c r="D14" s="220">
        <v>2112</v>
      </c>
      <c r="E14" s="235" t="s">
        <v>364</v>
      </c>
      <c r="F14" s="349">
        <v>7650000</v>
      </c>
      <c r="G14" s="349">
        <v>7650000</v>
      </c>
      <c r="H14" s="349">
        <f t="shared" si="5"/>
        <v>0</v>
      </c>
      <c r="I14" s="349">
        <v>1660000</v>
      </c>
      <c r="J14" s="349">
        <v>213687</v>
      </c>
      <c r="K14" s="349"/>
      <c r="L14" s="349">
        <v>331240</v>
      </c>
      <c r="M14" s="349">
        <f t="shared" si="6"/>
        <v>331240</v>
      </c>
      <c r="N14" s="349">
        <f t="shared" si="7"/>
        <v>544927</v>
      </c>
      <c r="O14" s="349">
        <f>1115073-430000</f>
        <v>685073</v>
      </c>
      <c r="P14" s="349">
        <f t="shared" si="8"/>
        <v>6420000</v>
      </c>
      <c r="Q14" s="349">
        <f t="shared" si="9"/>
        <v>1115073</v>
      </c>
      <c r="R14" s="349">
        <f t="shared" si="10"/>
        <v>-430000</v>
      </c>
      <c r="S14" s="349"/>
      <c r="T14" s="349">
        <f t="shared" si="11"/>
        <v>-430000</v>
      </c>
      <c r="U14" s="349">
        <v>500000</v>
      </c>
      <c r="V14" s="349">
        <f>T14-U14-X14</f>
        <v>-930000</v>
      </c>
      <c r="W14" s="349"/>
      <c r="X14" s="349"/>
      <c r="Y14" s="221" t="s">
        <v>1132</v>
      </c>
      <c r="Z14" s="349"/>
      <c r="AA14" s="349"/>
      <c r="AB14" s="349"/>
      <c r="AC14" s="349">
        <f t="shared" si="12"/>
        <v>0</v>
      </c>
      <c r="AD14" s="349">
        <f t="shared" si="13"/>
        <v>0</v>
      </c>
      <c r="AE14" s="349">
        <v>-430000</v>
      </c>
      <c r="AF14" s="349"/>
      <c r="AG14" s="349"/>
      <c r="AH14" s="349"/>
      <c r="AI14" s="349"/>
      <c r="AJ14" s="349">
        <f t="shared" si="2"/>
        <v>-430000</v>
      </c>
      <c r="AK14" s="349">
        <f t="shared" si="14"/>
        <v>0</v>
      </c>
      <c r="AL14" s="349">
        <f t="shared" si="3"/>
        <v>0</v>
      </c>
      <c r="AM14" s="349"/>
      <c r="AN14" s="349"/>
      <c r="AO14" s="349"/>
      <c r="AP14" s="349">
        <f t="shared" si="1"/>
        <v>500000</v>
      </c>
      <c r="AQ14" s="349">
        <v>-930000</v>
      </c>
      <c r="AR14" s="349"/>
      <c r="AS14" s="349"/>
      <c r="AT14" s="349"/>
      <c r="AU14" s="349"/>
      <c r="AV14" s="698"/>
      <c r="AW14" s="698"/>
      <c r="AX14" s="698"/>
      <c r="AY14" s="319"/>
      <c r="AZ14" s="319"/>
      <c r="BA14" s="319"/>
      <c r="BB14" s="319"/>
      <c r="BC14" s="319"/>
      <c r="BD14" s="319"/>
      <c r="BE14" s="319"/>
      <c r="BF14" s="319"/>
      <c r="BG14" s="394"/>
      <c r="BH14" s="394"/>
      <c r="BI14" s="394"/>
      <c r="BJ14" s="394"/>
      <c r="BK14" s="394"/>
      <c r="BL14" s="394"/>
      <c r="BM14" s="394"/>
      <c r="BN14" s="394"/>
      <c r="BO14" s="122"/>
      <c r="BR14" s="122"/>
      <c r="BS14" s="122"/>
      <c r="BT14" s="122"/>
      <c r="BU14" s="699"/>
      <c r="BV14" s="699"/>
      <c r="BW14" s="699"/>
      <c r="BX14" s="699"/>
      <c r="BY14" s="699"/>
      <c r="BZ14" s="699"/>
      <c r="CA14" s="699"/>
      <c r="CB14" s="699"/>
      <c r="CC14" s="699"/>
    </row>
    <row r="15" spans="1:82" s="395" customFormat="1" ht="34.950000000000003" customHeight="1">
      <c r="A15" s="697" t="s">
        <v>1127</v>
      </c>
      <c r="B15" s="701" t="s">
        <v>1128</v>
      </c>
      <c r="C15" s="220">
        <f t="shared" si="4"/>
        <v>8</v>
      </c>
      <c r="D15" s="220">
        <v>2142</v>
      </c>
      <c r="E15" s="235" t="s">
        <v>405</v>
      </c>
      <c r="F15" s="349">
        <f>2400000-150000</f>
        <v>2250000</v>
      </c>
      <c r="G15" s="349">
        <v>2400000</v>
      </c>
      <c r="H15" s="349">
        <f t="shared" si="5"/>
        <v>-150000</v>
      </c>
      <c r="I15" s="349">
        <v>2900000</v>
      </c>
      <c r="J15" s="349">
        <v>1942243</v>
      </c>
      <c r="K15" s="349"/>
      <c r="L15" s="349"/>
      <c r="M15" s="349">
        <f t="shared" si="6"/>
        <v>0</v>
      </c>
      <c r="N15" s="349">
        <f t="shared" si="7"/>
        <v>1942243</v>
      </c>
      <c r="O15" s="349">
        <f>957757-650000</f>
        <v>307757</v>
      </c>
      <c r="P15" s="349">
        <f t="shared" si="8"/>
        <v>0</v>
      </c>
      <c r="Q15" s="349">
        <f t="shared" si="9"/>
        <v>957757</v>
      </c>
      <c r="R15" s="349">
        <f t="shared" si="10"/>
        <v>-650000</v>
      </c>
      <c r="S15" s="349">
        <v>-500000</v>
      </c>
      <c r="T15" s="349">
        <f t="shared" si="11"/>
        <v>-150000</v>
      </c>
      <c r="U15" s="349">
        <f t="shared" ref="U15:U20" si="15">T15-V15-X15</f>
        <v>-150000</v>
      </c>
      <c r="V15" s="349"/>
      <c r="W15" s="349"/>
      <c r="X15" s="349"/>
      <c r="Y15" s="221" t="s">
        <v>1133</v>
      </c>
      <c r="Z15" s="349"/>
      <c r="AA15" s="349"/>
      <c r="AB15" s="349"/>
      <c r="AC15" s="349">
        <f t="shared" si="12"/>
        <v>0</v>
      </c>
      <c r="AD15" s="349">
        <f t="shared" si="13"/>
        <v>0</v>
      </c>
      <c r="AE15" s="349">
        <v>-150000</v>
      </c>
      <c r="AF15" s="349"/>
      <c r="AG15" s="349"/>
      <c r="AH15" s="349"/>
      <c r="AI15" s="349"/>
      <c r="AJ15" s="349">
        <f t="shared" ref="AJ15:AJ20" si="16">SUM(Z15:AI15)</f>
        <v>-150000</v>
      </c>
      <c r="AK15" s="349">
        <f t="shared" si="14"/>
        <v>0</v>
      </c>
      <c r="AL15" s="349">
        <f t="shared" si="3"/>
        <v>0</v>
      </c>
      <c r="AM15" s="349"/>
      <c r="AN15" s="349"/>
      <c r="AO15" s="349"/>
      <c r="AP15" s="349">
        <f t="shared" si="1"/>
        <v>-150000</v>
      </c>
      <c r="AQ15" s="349"/>
      <c r="AR15" s="349"/>
      <c r="AS15" s="349"/>
      <c r="AT15" s="349"/>
      <c r="AU15" s="349"/>
      <c r="AV15" s="698"/>
      <c r="AW15" s="698"/>
      <c r="AX15" s="698"/>
      <c r="AY15" s="319"/>
      <c r="AZ15" s="319"/>
      <c r="BA15" s="319"/>
      <c r="BB15" s="319"/>
      <c r="BC15" s="319"/>
      <c r="BD15" s="319"/>
      <c r="BE15" s="319"/>
      <c r="BF15" s="319"/>
      <c r="BG15" s="394"/>
      <c r="BH15" s="394"/>
      <c r="BI15" s="394"/>
      <c r="BJ15" s="394"/>
      <c r="BK15" s="394"/>
      <c r="BL15" s="394"/>
      <c r="BM15" s="394"/>
      <c r="BN15" s="394"/>
      <c r="BO15" s="122"/>
      <c r="BR15" s="122"/>
      <c r="BS15" s="122"/>
      <c r="BT15" s="122"/>
      <c r="BU15" s="699"/>
      <c r="BV15" s="699"/>
      <c r="BW15" s="699"/>
      <c r="BX15" s="699"/>
      <c r="BY15" s="699"/>
      <c r="BZ15" s="699"/>
      <c r="CA15" s="699"/>
      <c r="CB15" s="699"/>
      <c r="CC15" s="699"/>
    </row>
    <row r="16" spans="1:82" s="395" customFormat="1" ht="34.950000000000003" customHeight="1">
      <c r="A16" s="697" t="s">
        <v>1134</v>
      </c>
      <c r="B16" s="701" t="s">
        <v>1135</v>
      </c>
      <c r="C16" s="220">
        <f t="shared" si="4"/>
        <v>9</v>
      </c>
      <c r="D16" s="220">
        <v>2122</v>
      </c>
      <c r="E16" s="235" t="s">
        <v>362</v>
      </c>
      <c r="F16" s="349">
        <f>100000-32766-14000</f>
        <v>53234</v>
      </c>
      <c r="G16" s="349">
        <v>100000</v>
      </c>
      <c r="H16" s="349">
        <f t="shared" si="5"/>
        <v>-46766</v>
      </c>
      <c r="I16" s="349">
        <v>100000</v>
      </c>
      <c r="J16" s="349">
        <v>53191</v>
      </c>
      <c r="K16" s="349"/>
      <c r="L16" s="349"/>
      <c r="M16" s="349">
        <f t="shared" ref="M16:M21" si="17">SUM(K16:L16)</f>
        <v>0</v>
      </c>
      <c r="N16" s="349">
        <f t="shared" si="7"/>
        <v>53191</v>
      </c>
      <c r="O16" s="349">
        <f>46809-32766-14000</f>
        <v>43</v>
      </c>
      <c r="P16" s="349">
        <f t="shared" si="8"/>
        <v>0</v>
      </c>
      <c r="Q16" s="349">
        <f t="shared" si="9"/>
        <v>46809</v>
      </c>
      <c r="R16" s="349">
        <f t="shared" si="10"/>
        <v>-46766</v>
      </c>
      <c r="S16" s="349">
        <v>-32766</v>
      </c>
      <c r="T16" s="349">
        <f t="shared" si="11"/>
        <v>-14000</v>
      </c>
      <c r="U16" s="349">
        <f t="shared" si="15"/>
        <v>-14000</v>
      </c>
      <c r="V16" s="349"/>
      <c r="W16" s="349"/>
      <c r="X16" s="349"/>
      <c r="Y16" s="221" t="s">
        <v>1136</v>
      </c>
      <c r="Z16" s="349"/>
      <c r="AA16" s="349"/>
      <c r="AB16" s="349"/>
      <c r="AC16" s="349">
        <f>SUM(Z16:AB16)</f>
        <v>0</v>
      </c>
      <c r="AD16" s="349"/>
      <c r="AE16" s="349"/>
      <c r="AF16" s="349"/>
      <c r="AG16" s="349">
        <v>-14000</v>
      </c>
      <c r="AH16" s="349"/>
      <c r="AI16" s="349"/>
      <c r="AJ16" s="349">
        <f t="shared" si="16"/>
        <v>-14000</v>
      </c>
      <c r="AK16" s="349">
        <f t="shared" si="14"/>
        <v>0</v>
      </c>
      <c r="AL16" s="349">
        <f t="shared" si="3"/>
        <v>0</v>
      </c>
      <c r="AM16" s="853"/>
      <c r="AN16" s="853"/>
      <c r="AO16" s="349"/>
      <c r="AP16" s="349">
        <f t="shared" si="1"/>
        <v>-14000</v>
      </c>
      <c r="AQ16" s="854"/>
      <c r="AR16" s="853"/>
      <c r="AS16" s="853"/>
      <c r="AT16" s="853"/>
      <c r="AU16" s="854"/>
      <c r="AV16" s="319"/>
      <c r="AW16" s="319"/>
      <c r="AX16" s="319"/>
      <c r="AY16" s="319"/>
      <c r="AZ16" s="319"/>
      <c r="BA16" s="319"/>
      <c r="BB16" s="394"/>
      <c r="BC16" s="394"/>
      <c r="BD16" s="394"/>
      <c r="BE16" s="394"/>
      <c r="BF16" s="394"/>
      <c r="BG16" s="394"/>
      <c r="BH16" s="394"/>
      <c r="BI16" s="394"/>
      <c r="BJ16" s="122"/>
      <c r="BM16" s="122"/>
      <c r="BN16" s="122"/>
      <c r="BO16" s="122"/>
      <c r="BP16" s="699"/>
      <c r="BQ16" s="699"/>
      <c r="BR16" s="699"/>
      <c r="BS16" s="699"/>
      <c r="BT16" s="699"/>
      <c r="BU16" s="699"/>
      <c r="BV16" s="699"/>
      <c r="BW16" s="699"/>
      <c r="BX16" s="699"/>
    </row>
    <row r="17" spans="1:82" s="395" customFormat="1" ht="34.950000000000003" customHeight="1">
      <c r="A17" s="697" t="s">
        <v>1134</v>
      </c>
      <c r="B17" s="701" t="s">
        <v>1135</v>
      </c>
      <c r="C17" s="220">
        <f t="shared" si="4"/>
        <v>10</v>
      </c>
      <c r="D17" s="220">
        <v>2123</v>
      </c>
      <c r="E17" s="235" t="s">
        <v>363</v>
      </c>
      <c r="F17" s="349">
        <f>250000-158281+1000</f>
        <v>92719</v>
      </c>
      <c r="G17" s="349">
        <v>250000</v>
      </c>
      <c r="H17" s="349">
        <f t="shared" si="5"/>
        <v>-157281</v>
      </c>
      <c r="I17" s="349">
        <v>250000</v>
      </c>
      <c r="J17" s="349">
        <f>118948-15420-11791</f>
        <v>91737</v>
      </c>
      <c r="K17" s="349"/>
      <c r="L17" s="349"/>
      <c r="M17" s="349">
        <f t="shared" si="17"/>
        <v>0</v>
      </c>
      <c r="N17" s="349">
        <f t="shared" si="7"/>
        <v>91737</v>
      </c>
      <c r="O17" s="349">
        <f>158263+12000-169281</f>
        <v>982</v>
      </c>
      <c r="P17" s="349">
        <f t="shared" si="8"/>
        <v>0</v>
      </c>
      <c r="Q17" s="349">
        <f t="shared" si="9"/>
        <v>158263</v>
      </c>
      <c r="R17" s="349">
        <f t="shared" si="10"/>
        <v>-157281</v>
      </c>
      <c r="S17" s="349"/>
      <c r="T17" s="349">
        <f t="shared" si="11"/>
        <v>-157281</v>
      </c>
      <c r="U17" s="349">
        <f t="shared" si="15"/>
        <v>12000</v>
      </c>
      <c r="V17" s="349"/>
      <c r="W17" s="349"/>
      <c r="X17" s="349">
        <v>-169281</v>
      </c>
      <c r="Y17" s="221" t="s">
        <v>1137</v>
      </c>
      <c r="Z17" s="349"/>
      <c r="AA17" s="349"/>
      <c r="AB17" s="349"/>
      <c r="AC17" s="349">
        <f>SUM(Z17:AB17)</f>
        <v>0</v>
      </c>
      <c r="AD17" s="349"/>
      <c r="AE17" s="349"/>
      <c r="AF17" s="349"/>
      <c r="AG17" s="349">
        <v>-157281</v>
      </c>
      <c r="AH17" s="349"/>
      <c r="AI17" s="349"/>
      <c r="AJ17" s="349">
        <f t="shared" si="16"/>
        <v>-157281</v>
      </c>
      <c r="AK17" s="349">
        <f t="shared" si="14"/>
        <v>0</v>
      </c>
      <c r="AL17" s="349">
        <f t="shared" si="3"/>
        <v>0</v>
      </c>
      <c r="AM17" s="853"/>
      <c r="AN17" s="853"/>
      <c r="AO17" s="349"/>
      <c r="AP17" s="349">
        <f t="shared" si="1"/>
        <v>-157281</v>
      </c>
      <c r="AQ17" s="854"/>
      <c r="AR17" s="853"/>
      <c r="AS17" s="853"/>
      <c r="AT17" s="853"/>
      <c r="AU17" s="854"/>
      <c r="AV17" s="319"/>
      <c r="AW17" s="319"/>
      <c r="AX17" s="319"/>
      <c r="AY17" s="319"/>
      <c r="AZ17" s="319"/>
      <c r="BA17" s="319"/>
      <c r="BB17" s="394"/>
      <c r="BC17" s="394"/>
      <c r="BD17" s="394"/>
      <c r="BE17" s="394"/>
      <c r="BF17" s="394"/>
      <c r="BG17" s="394"/>
      <c r="BH17" s="394"/>
      <c r="BI17" s="394"/>
      <c r="BJ17" s="122"/>
      <c r="BM17" s="122"/>
      <c r="BN17" s="122"/>
      <c r="BO17" s="122"/>
      <c r="BP17" s="699"/>
      <c r="BQ17" s="699"/>
      <c r="BR17" s="699"/>
      <c r="BS17" s="699"/>
      <c r="BT17" s="699"/>
      <c r="BU17" s="699"/>
      <c r="BV17" s="699"/>
      <c r="BW17" s="699"/>
      <c r="BX17" s="699"/>
    </row>
    <row r="18" spans="1:82" s="395" customFormat="1" ht="34.950000000000003" customHeight="1">
      <c r="A18" s="700" t="s">
        <v>1138</v>
      </c>
      <c r="B18" s="701" t="s">
        <v>1139</v>
      </c>
      <c r="C18" s="220">
        <f t="shared" si="4"/>
        <v>11</v>
      </c>
      <c r="D18" s="220">
        <v>20002</v>
      </c>
      <c r="E18" s="235" t="s">
        <v>588</v>
      </c>
      <c r="F18" s="349">
        <v>5800000</v>
      </c>
      <c r="G18" s="349">
        <v>1500000</v>
      </c>
      <c r="H18" s="349">
        <f t="shared" si="5"/>
        <v>4300000</v>
      </c>
      <c r="I18" s="349"/>
      <c r="J18" s="349"/>
      <c r="K18" s="349"/>
      <c r="L18" s="349"/>
      <c r="M18" s="349">
        <f t="shared" si="17"/>
        <v>0</v>
      </c>
      <c r="N18" s="349">
        <f t="shared" si="7"/>
        <v>0</v>
      </c>
      <c r="O18" s="349">
        <v>3000000</v>
      </c>
      <c r="P18" s="349">
        <f t="shared" si="8"/>
        <v>2800000</v>
      </c>
      <c r="Q18" s="349">
        <f t="shared" si="9"/>
        <v>0</v>
      </c>
      <c r="R18" s="349">
        <f t="shared" si="10"/>
        <v>3000000</v>
      </c>
      <c r="S18" s="349">
        <v>1000000</v>
      </c>
      <c r="T18" s="349">
        <f t="shared" si="11"/>
        <v>2000000</v>
      </c>
      <c r="U18" s="349">
        <f t="shared" si="15"/>
        <v>2000000</v>
      </c>
      <c r="V18" s="349"/>
      <c r="W18" s="349"/>
      <c r="X18" s="349"/>
      <c r="Y18" s="221" t="s">
        <v>1133</v>
      </c>
      <c r="Z18" s="349"/>
      <c r="AA18" s="349"/>
      <c r="AB18" s="349"/>
      <c r="AC18" s="349"/>
      <c r="AD18" s="349"/>
      <c r="AE18" s="349"/>
      <c r="AF18" s="349"/>
      <c r="AG18" s="349"/>
      <c r="AH18" s="349">
        <v>2000000</v>
      </c>
      <c r="AI18" s="349"/>
      <c r="AJ18" s="349">
        <f t="shared" si="16"/>
        <v>2000000</v>
      </c>
      <c r="AK18" s="349">
        <f t="shared" si="14"/>
        <v>0</v>
      </c>
      <c r="AL18" s="349">
        <f t="shared" si="3"/>
        <v>0</v>
      </c>
      <c r="AM18" s="853"/>
      <c r="AN18" s="853"/>
      <c r="AO18" s="349"/>
      <c r="AP18" s="349">
        <f t="shared" si="1"/>
        <v>2000000</v>
      </c>
      <c r="AQ18" s="854"/>
      <c r="AR18" s="853"/>
      <c r="AS18" s="853"/>
      <c r="AT18" s="853"/>
      <c r="AU18" s="854"/>
      <c r="AV18" s="319"/>
      <c r="AW18" s="319"/>
      <c r="AX18" s="319"/>
      <c r="AY18" s="319"/>
      <c r="AZ18" s="394"/>
      <c r="BA18" s="394"/>
      <c r="BB18" s="394"/>
      <c r="BC18" s="394"/>
      <c r="BD18" s="394"/>
      <c r="BE18" s="394"/>
      <c r="BF18" s="394"/>
      <c r="BG18" s="394"/>
      <c r="BH18" s="122"/>
      <c r="BK18" s="122"/>
      <c r="BL18" s="122"/>
      <c r="BM18" s="122"/>
      <c r="BN18" s="699"/>
      <c r="BO18" s="699"/>
      <c r="BP18" s="699"/>
      <c r="BQ18" s="699"/>
      <c r="BR18" s="699"/>
      <c r="BS18" s="699"/>
      <c r="BT18" s="699"/>
      <c r="BU18" s="699"/>
      <c r="BV18" s="699"/>
    </row>
    <row r="19" spans="1:82" s="395" customFormat="1" ht="34.950000000000003" customHeight="1">
      <c r="A19" s="700" t="s">
        <v>1138</v>
      </c>
      <c r="B19" s="701" t="s">
        <v>1139</v>
      </c>
      <c r="C19" s="220">
        <f t="shared" si="4"/>
        <v>12</v>
      </c>
      <c r="D19" s="220">
        <v>626</v>
      </c>
      <c r="E19" s="235" t="s">
        <v>419</v>
      </c>
      <c r="F19" s="349">
        <v>34775000</v>
      </c>
      <c r="G19" s="349">
        <v>34775000</v>
      </c>
      <c r="H19" s="349">
        <f t="shared" si="5"/>
        <v>0</v>
      </c>
      <c r="I19" s="349">
        <v>17775000</v>
      </c>
      <c r="J19" s="349">
        <v>14266512</v>
      </c>
      <c r="K19" s="349">
        <v>107406</v>
      </c>
      <c r="L19" s="349">
        <v>399115</v>
      </c>
      <c r="M19" s="349">
        <f t="shared" si="17"/>
        <v>506521</v>
      </c>
      <c r="N19" s="349">
        <f t="shared" si="7"/>
        <v>14773033</v>
      </c>
      <c r="O19" s="349">
        <f>3001967+6000000-141102-2000000</f>
        <v>6860865</v>
      </c>
      <c r="P19" s="349">
        <f t="shared" si="8"/>
        <v>13141102</v>
      </c>
      <c r="Q19" s="349">
        <f t="shared" si="9"/>
        <v>3001967</v>
      </c>
      <c r="R19" s="349">
        <f t="shared" si="10"/>
        <v>3858898</v>
      </c>
      <c r="S19" s="349">
        <v>5858898</v>
      </c>
      <c r="T19" s="349">
        <f t="shared" si="11"/>
        <v>-2000000</v>
      </c>
      <c r="U19" s="349">
        <f t="shared" si="15"/>
        <v>-2000000</v>
      </c>
      <c r="V19" s="349"/>
      <c r="W19" s="349"/>
      <c r="X19" s="349"/>
      <c r="Y19" s="221" t="s">
        <v>1140</v>
      </c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>
        <f t="shared" si="16"/>
        <v>0</v>
      </c>
      <c r="AK19" s="349">
        <f t="shared" si="14"/>
        <v>-2000000</v>
      </c>
      <c r="AL19" s="349">
        <f t="shared" si="3"/>
        <v>0</v>
      </c>
      <c r="AM19" s="853"/>
      <c r="AN19" s="853"/>
      <c r="AO19" s="349"/>
      <c r="AP19" s="349">
        <f t="shared" si="1"/>
        <v>0</v>
      </c>
      <c r="AQ19" s="854"/>
      <c r="AR19" s="853"/>
      <c r="AS19" s="853"/>
      <c r="AT19" s="853"/>
      <c r="AU19" s="854"/>
      <c r="AV19" s="319"/>
      <c r="AW19" s="319"/>
      <c r="AX19" s="319"/>
      <c r="AY19" s="319"/>
      <c r="AZ19" s="394"/>
      <c r="BA19" s="394"/>
      <c r="BB19" s="394"/>
      <c r="BC19" s="394"/>
      <c r="BD19" s="394"/>
      <c r="BE19" s="394"/>
      <c r="BF19" s="394"/>
      <c r="BG19" s="394"/>
      <c r="BH19" s="122"/>
      <c r="BK19" s="122"/>
      <c r="BL19" s="122"/>
      <c r="BM19" s="122"/>
      <c r="BN19" s="699"/>
      <c r="BO19" s="699"/>
      <c r="BP19" s="699"/>
      <c r="BQ19" s="699"/>
      <c r="BR19" s="699"/>
      <c r="BS19" s="699"/>
      <c r="BT19" s="699"/>
      <c r="BU19" s="699"/>
      <c r="BV19" s="699"/>
    </row>
    <row r="20" spans="1:82" s="395" customFormat="1" ht="34.950000000000003" customHeight="1">
      <c r="A20" s="700" t="s">
        <v>1286</v>
      </c>
      <c r="B20" s="701" t="s">
        <v>1297</v>
      </c>
      <c r="C20" s="220">
        <f t="shared" si="4"/>
        <v>13</v>
      </c>
      <c r="D20" s="220">
        <v>1602</v>
      </c>
      <c r="E20" s="235" t="s">
        <v>25</v>
      </c>
      <c r="F20" s="349">
        <f>31630502-1178467</f>
        <v>30452035</v>
      </c>
      <c r="G20" s="349">
        <v>31630502</v>
      </c>
      <c r="H20" s="349">
        <f t="shared" si="5"/>
        <v>-1178467</v>
      </c>
      <c r="I20" s="349">
        <v>31630502</v>
      </c>
      <c r="J20" s="349">
        <v>30452035</v>
      </c>
      <c r="K20" s="349"/>
      <c r="L20" s="349"/>
      <c r="M20" s="349">
        <f t="shared" si="17"/>
        <v>0</v>
      </c>
      <c r="N20" s="349">
        <f t="shared" si="7"/>
        <v>30452035</v>
      </c>
      <c r="O20" s="349"/>
      <c r="P20" s="349">
        <f t="shared" si="8"/>
        <v>0</v>
      </c>
      <c r="Q20" s="349">
        <f t="shared" si="9"/>
        <v>1178467</v>
      </c>
      <c r="R20" s="349">
        <f t="shared" si="10"/>
        <v>-1178467</v>
      </c>
      <c r="S20" s="349"/>
      <c r="T20" s="349">
        <f t="shared" si="11"/>
        <v>-1178467</v>
      </c>
      <c r="U20" s="349">
        <f t="shared" si="15"/>
        <v>0</v>
      </c>
      <c r="V20" s="349"/>
      <c r="W20" s="853"/>
      <c r="X20" s="349">
        <v>-1178467</v>
      </c>
      <c r="Y20" s="221" t="s">
        <v>1141</v>
      </c>
      <c r="Z20" s="349"/>
      <c r="AA20" s="349"/>
      <c r="AB20" s="349"/>
      <c r="AC20" s="349"/>
      <c r="AD20" s="349"/>
      <c r="AE20" s="349"/>
      <c r="AF20" s="349"/>
      <c r="AG20" s="349"/>
      <c r="AH20" s="349"/>
      <c r="AI20" s="349">
        <v>-1178467</v>
      </c>
      <c r="AJ20" s="349">
        <f t="shared" si="16"/>
        <v>-1178467</v>
      </c>
      <c r="AK20" s="349">
        <f t="shared" si="14"/>
        <v>0</v>
      </c>
      <c r="AL20" s="349">
        <f t="shared" si="3"/>
        <v>0</v>
      </c>
      <c r="AM20" s="853"/>
      <c r="AN20" s="853"/>
      <c r="AO20" s="349">
        <v>-1178467</v>
      </c>
      <c r="AP20" s="349">
        <f t="shared" si="1"/>
        <v>0</v>
      </c>
      <c r="AQ20" s="854"/>
      <c r="AR20" s="853"/>
      <c r="AS20" s="853"/>
      <c r="AT20" s="853"/>
      <c r="AU20" s="349">
        <v>-1178467</v>
      </c>
      <c r="AV20" s="319"/>
      <c r="AW20" s="319"/>
      <c r="AX20" s="319"/>
      <c r="AY20" s="319"/>
      <c r="AZ20" s="394"/>
      <c r="BA20" s="394"/>
      <c r="BB20" s="394"/>
      <c r="BC20" s="394"/>
      <c r="BD20" s="394"/>
      <c r="BE20" s="394"/>
      <c r="BF20" s="394"/>
      <c r="BG20" s="394"/>
      <c r="BH20" s="122"/>
      <c r="BK20" s="122"/>
      <c r="BL20" s="122"/>
      <c r="BM20" s="122"/>
      <c r="BN20" s="699"/>
      <c r="BO20" s="699"/>
      <c r="BP20" s="699"/>
      <c r="BQ20" s="699"/>
      <c r="BR20" s="699"/>
      <c r="BS20" s="699"/>
      <c r="BT20" s="699"/>
      <c r="BU20" s="699"/>
      <c r="BV20" s="699"/>
    </row>
    <row r="21" spans="1:82" s="395" customFormat="1" ht="34.950000000000003" customHeight="1">
      <c r="A21" s="700" t="s">
        <v>1286</v>
      </c>
      <c r="B21" s="701" t="s">
        <v>1297</v>
      </c>
      <c r="C21" s="220">
        <f>C20+1</f>
        <v>14</v>
      </c>
      <c r="D21" s="220">
        <v>20102</v>
      </c>
      <c r="E21" s="235" t="s">
        <v>1287</v>
      </c>
      <c r="F21" s="349">
        <v>1000000</v>
      </c>
      <c r="G21" s="349"/>
      <c r="H21" s="349">
        <f t="shared" si="5"/>
        <v>1000000</v>
      </c>
      <c r="I21" s="349"/>
      <c r="J21" s="349"/>
      <c r="K21" s="349"/>
      <c r="L21" s="349"/>
      <c r="M21" s="349">
        <f t="shared" si="17"/>
        <v>0</v>
      </c>
      <c r="N21" s="349">
        <f t="shared" si="7"/>
        <v>0</v>
      </c>
      <c r="O21" s="349"/>
      <c r="P21" s="349">
        <f t="shared" si="8"/>
        <v>1000000</v>
      </c>
      <c r="Q21" s="349">
        <f t="shared" si="9"/>
        <v>0</v>
      </c>
      <c r="R21" s="349">
        <f t="shared" si="10"/>
        <v>0</v>
      </c>
      <c r="S21" s="349"/>
      <c r="T21" s="349">
        <f t="shared" si="11"/>
        <v>0</v>
      </c>
      <c r="U21" s="349">
        <f>T21-V21-X21</f>
        <v>0</v>
      </c>
      <c r="V21" s="349"/>
      <c r="W21" s="853"/>
      <c r="X21" s="349"/>
      <c r="Y21" s="221" t="s">
        <v>1288</v>
      </c>
      <c r="Z21" s="349"/>
      <c r="AA21" s="349"/>
      <c r="AB21" s="349"/>
      <c r="AC21" s="349">
        <f>SUM(Z21:AB21)</f>
        <v>0</v>
      </c>
      <c r="AD21" s="349">
        <f>T21-AC21</f>
        <v>0</v>
      </c>
      <c r="AE21" s="349">
        <f>AK21-AF21-AG21</f>
        <v>0</v>
      </c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94"/>
      <c r="AW21" s="394"/>
      <c r="AX21" s="394"/>
      <c r="AY21" s="394"/>
      <c r="AZ21" s="394"/>
      <c r="BA21" s="394"/>
      <c r="BB21" s="122"/>
      <c r="BE21" s="122"/>
      <c r="BF21" s="122"/>
      <c r="BG21" s="122"/>
      <c r="BH21" s="699"/>
      <c r="BI21" s="699"/>
      <c r="BJ21" s="699"/>
      <c r="BK21" s="699"/>
      <c r="BL21" s="699"/>
      <c r="BM21" s="699"/>
      <c r="BN21" s="699"/>
      <c r="BO21" s="699"/>
      <c r="BP21" s="699"/>
    </row>
    <row r="22" spans="1:82" s="395" customFormat="1" ht="34.950000000000003" customHeight="1">
      <c r="A22" s="712"/>
      <c r="B22" s="866"/>
      <c r="C22" s="222">
        <f>COUNT(C8:C21)</f>
        <v>14</v>
      </c>
      <c r="D22" s="222"/>
      <c r="E22" s="137" t="s">
        <v>1142</v>
      </c>
      <c r="F22" s="857">
        <f>SUM(F8:F21)</f>
        <v>160705222</v>
      </c>
      <c r="G22" s="857">
        <f t="shared" ref="G22:Z22" si="18">SUM(G8:G21)</f>
        <v>157320502</v>
      </c>
      <c r="H22" s="857">
        <f t="shared" si="18"/>
        <v>3384720</v>
      </c>
      <c r="I22" s="857">
        <f t="shared" si="18"/>
        <v>91900502</v>
      </c>
      <c r="J22" s="857">
        <f t="shared" si="18"/>
        <v>78096662.99000001</v>
      </c>
      <c r="K22" s="857">
        <f t="shared" si="18"/>
        <v>214812</v>
      </c>
      <c r="L22" s="857">
        <f t="shared" si="18"/>
        <v>3632122.42</v>
      </c>
      <c r="M22" s="857">
        <f t="shared" si="18"/>
        <v>3846934.42</v>
      </c>
      <c r="N22" s="857">
        <f t="shared" si="18"/>
        <v>81943597.409999996</v>
      </c>
      <c r="O22" s="857">
        <f t="shared" si="18"/>
        <v>24779421</v>
      </c>
      <c r="P22" s="857">
        <f t="shared" si="18"/>
        <v>53982203.590000004</v>
      </c>
      <c r="Q22" s="857">
        <f t="shared" si="18"/>
        <v>9956904.5899999999</v>
      </c>
      <c r="R22" s="857">
        <f t="shared" si="18"/>
        <v>14822516.41</v>
      </c>
      <c r="S22" s="857">
        <f t="shared" si="18"/>
        <v>15976132</v>
      </c>
      <c r="T22" s="857">
        <f t="shared" si="18"/>
        <v>-1153615.5899999999</v>
      </c>
      <c r="U22" s="857">
        <f t="shared" si="18"/>
        <v>929830.41000000015</v>
      </c>
      <c r="V22" s="857">
        <f t="shared" si="18"/>
        <v>-930000</v>
      </c>
      <c r="W22" s="857">
        <f t="shared" si="18"/>
        <v>0</v>
      </c>
      <c r="X22" s="857">
        <f t="shared" si="18"/>
        <v>-1153446</v>
      </c>
      <c r="Y22" s="138"/>
      <c r="Z22" s="857">
        <f t="shared" si="18"/>
        <v>0</v>
      </c>
      <c r="AA22" s="857">
        <f t="shared" ref="AA22:AU22" si="19">SUM(AA8:AA21)</f>
        <v>0</v>
      </c>
      <c r="AB22" s="857">
        <f t="shared" si="19"/>
        <v>350000</v>
      </c>
      <c r="AC22" s="857">
        <f t="shared" si="19"/>
        <v>0</v>
      </c>
      <c r="AD22" s="857">
        <f t="shared" si="19"/>
        <v>0</v>
      </c>
      <c r="AE22" s="857">
        <f t="shared" si="19"/>
        <v>196132</v>
      </c>
      <c r="AF22" s="857">
        <f t="shared" si="19"/>
        <v>0</v>
      </c>
      <c r="AG22" s="857">
        <f t="shared" si="19"/>
        <v>-171281</v>
      </c>
      <c r="AH22" s="857">
        <f t="shared" si="19"/>
        <v>2000000</v>
      </c>
      <c r="AI22" s="857">
        <f t="shared" si="19"/>
        <v>-1178467</v>
      </c>
      <c r="AJ22" s="857">
        <f t="shared" si="19"/>
        <v>1196384</v>
      </c>
      <c r="AK22" s="857">
        <f t="shared" si="19"/>
        <v>-2349999.59</v>
      </c>
      <c r="AL22" s="857">
        <f t="shared" si="19"/>
        <v>0</v>
      </c>
      <c r="AM22" s="857">
        <f t="shared" si="19"/>
        <v>0</v>
      </c>
      <c r="AN22" s="857">
        <f t="shared" si="19"/>
        <v>0</v>
      </c>
      <c r="AO22" s="857">
        <f t="shared" si="19"/>
        <v>-1178467</v>
      </c>
      <c r="AP22" s="857">
        <f t="shared" si="19"/>
        <v>3110549</v>
      </c>
      <c r="AQ22" s="857">
        <f t="shared" si="19"/>
        <v>-930000</v>
      </c>
      <c r="AR22" s="857">
        <f t="shared" si="19"/>
        <v>0</v>
      </c>
      <c r="AS22" s="857">
        <f t="shared" si="19"/>
        <v>0</v>
      </c>
      <c r="AT22" s="857">
        <f t="shared" si="19"/>
        <v>0</v>
      </c>
      <c r="AU22" s="857">
        <f t="shared" si="19"/>
        <v>-984165</v>
      </c>
      <c r="AV22" s="698"/>
      <c r="AW22" s="698"/>
      <c r="AX22" s="698"/>
      <c r="AY22" s="698"/>
      <c r="AZ22" s="319"/>
      <c r="BA22" s="319"/>
      <c r="BB22" s="319"/>
      <c r="BC22" s="319"/>
      <c r="BD22" s="319"/>
      <c r="BE22" s="319"/>
      <c r="BF22" s="319"/>
      <c r="BG22" s="319"/>
      <c r="BH22" s="394"/>
      <c r="BI22" s="394"/>
      <c r="BJ22" s="394"/>
      <c r="BK22" s="394"/>
      <c r="BL22" s="394"/>
      <c r="BM22" s="394"/>
      <c r="BN22" s="394"/>
      <c r="BO22" s="394"/>
      <c r="BP22" s="122"/>
      <c r="BS22" s="122"/>
      <c r="BT22" s="122"/>
      <c r="BU22" s="122"/>
      <c r="BV22" s="699"/>
      <c r="BW22" s="699"/>
      <c r="BX22" s="699"/>
      <c r="BY22" s="699"/>
      <c r="BZ22" s="699"/>
      <c r="CA22" s="699"/>
      <c r="CB22" s="699"/>
      <c r="CC22" s="699"/>
      <c r="CD22" s="699"/>
    </row>
    <row r="23" spans="1:82" s="61" customFormat="1" ht="34.950000000000003" hidden="1" customHeight="1">
      <c r="A23" s="702"/>
      <c r="B23" s="864"/>
      <c r="C23" s="855"/>
      <c r="D23" s="856"/>
      <c r="E23" s="852" t="s">
        <v>976</v>
      </c>
      <c r="F23" s="857"/>
      <c r="G23" s="857"/>
      <c r="H23" s="857"/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>
        <f>T9+T13+T16+T17</f>
        <v>-554047</v>
      </c>
      <c r="U23" s="857"/>
      <c r="V23" s="857"/>
      <c r="W23" s="857"/>
      <c r="X23" s="857"/>
      <c r="Y23" s="138"/>
      <c r="Z23" s="857"/>
      <c r="AA23" s="857"/>
      <c r="AB23" s="857"/>
      <c r="AC23" s="857"/>
      <c r="AD23" s="857"/>
      <c r="AE23" s="857"/>
      <c r="AF23" s="857"/>
      <c r="AG23" s="857"/>
      <c r="AH23" s="857"/>
      <c r="AI23" s="857"/>
      <c r="AJ23" s="857">
        <f>AJ9+AJ13+AJ16+AJ17</f>
        <v>-204047</v>
      </c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690"/>
      <c r="AW23" s="690"/>
      <c r="AX23" s="690"/>
      <c r="AY23" s="690"/>
      <c r="AZ23" s="157"/>
      <c r="BA23" s="157"/>
      <c r="BB23" s="157"/>
      <c r="BC23" s="157"/>
      <c r="BD23" s="157"/>
      <c r="BE23" s="157"/>
      <c r="BF23" s="157"/>
      <c r="BG23" s="157"/>
      <c r="BH23" s="691"/>
      <c r="BI23" s="691"/>
      <c r="BJ23" s="691"/>
      <c r="BK23" s="691"/>
      <c r="BL23" s="691"/>
      <c r="BM23" s="691"/>
      <c r="BN23" s="691"/>
      <c r="BO23" s="691"/>
      <c r="BP23" s="51"/>
      <c r="BS23" s="51"/>
      <c r="BT23" s="51"/>
      <c r="BU23" s="51"/>
      <c r="BV23" s="688"/>
      <c r="BW23" s="688"/>
      <c r="BX23" s="688"/>
      <c r="BY23" s="688"/>
      <c r="BZ23" s="688"/>
      <c r="CA23" s="688"/>
      <c r="CB23" s="688"/>
      <c r="CC23" s="688"/>
      <c r="CD23" s="688"/>
    </row>
    <row r="24" spans="1:82" s="61" customFormat="1" ht="34.950000000000003" hidden="1" customHeight="1">
      <c r="A24" s="702"/>
      <c r="B24" s="864"/>
      <c r="C24" s="855"/>
      <c r="D24" s="856"/>
      <c r="E24" s="852" t="s">
        <v>84</v>
      </c>
      <c r="F24" s="857"/>
      <c r="G24" s="857"/>
      <c r="H24" s="857"/>
      <c r="I24" s="857"/>
      <c r="J24" s="857"/>
      <c r="K24" s="857"/>
      <c r="L24" s="857"/>
      <c r="M24" s="857"/>
      <c r="N24" s="857"/>
      <c r="O24" s="857"/>
      <c r="P24" s="857"/>
      <c r="Q24" s="857"/>
      <c r="R24" s="857"/>
      <c r="S24" s="857"/>
      <c r="T24" s="857">
        <f>T22-T23</f>
        <v>-599568.58999999985</v>
      </c>
      <c r="U24" s="857"/>
      <c r="V24" s="857"/>
      <c r="W24" s="857"/>
      <c r="X24" s="857"/>
      <c r="Y24" s="138"/>
      <c r="Z24" s="857"/>
      <c r="AA24" s="857"/>
      <c r="AB24" s="857"/>
      <c r="AC24" s="857"/>
      <c r="AD24" s="857"/>
      <c r="AE24" s="857"/>
      <c r="AF24" s="857"/>
      <c r="AG24" s="857"/>
      <c r="AH24" s="857"/>
      <c r="AI24" s="857"/>
      <c r="AJ24" s="857">
        <f>AJ22-AJ23</f>
        <v>1400431</v>
      </c>
      <c r="AK24" s="857"/>
      <c r="AL24" s="857"/>
      <c r="AM24" s="857"/>
      <c r="AN24" s="857"/>
      <c r="AO24" s="857"/>
      <c r="AP24" s="857"/>
      <c r="AQ24" s="857"/>
      <c r="AR24" s="857"/>
      <c r="AS24" s="857"/>
      <c r="AT24" s="857"/>
      <c r="AU24" s="857"/>
      <c r="AV24" s="690"/>
      <c r="AW24" s="690"/>
      <c r="AX24" s="690"/>
      <c r="AY24" s="690"/>
      <c r="AZ24" s="157"/>
      <c r="BA24" s="157"/>
      <c r="BB24" s="157"/>
      <c r="BC24" s="157"/>
      <c r="BD24" s="157"/>
      <c r="BE24" s="157"/>
      <c r="BF24" s="157"/>
      <c r="BG24" s="157"/>
      <c r="BH24" s="691"/>
      <c r="BI24" s="691"/>
      <c r="BJ24" s="691"/>
      <c r="BK24" s="691"/>
      <c r="BL24" s="691"/>
      <c r="BM24" s="691"/>
      <c r="BN24" s="691"/>
      <c r="BO24" s="691"/>
      <c r="BP24" s="51"/>
      <c r="BS24" s="51"/>
      <c r="BT24" s="51"/>
      <c r="BU24" s="51"/>
      <c r="BV24" s="688"/>
      <c r="BW24" s="688"/>
      <c r="BX24" s="688"/>
      <c r="BY24" s="688"/>
      <c r="BZ24" s="688"/>
      <c r="CA24" s="688"/>
      <c r="CB24" s="688"/>
      <c r="CC24" s="688"/>
      <c r="CD24" s="688"/>
    </row>
    <row r="25" spans="1:82" s="704" customFormat="1" ht="34.950000000000003" customHeight="1">
      <c r="A25" s="703"/>
      <c r="B25" s="865"/>
      <c r="C25" s="858"/>
      <c r="D25" s="469"/>
      <c r="E25" s="629"/>
      <c r="F25" s="859"/>
      <c r="G25" s="859"/>
      <c r="H25" s="859"/>
      <c r="I25" s="859"/>
      <c r="J25" s="859"/>
      <c r="K25" s="859"/>
      <c r="L25" s="859"/>
      <c r="M25" s="859"/>
      <c r="N25" s="859"/>
      <c r="O25" s="859"/>
      <c r="P25" s="859"/>
      <c r="Q25" s="859"/>
      <c r="R25" s="859"/>
      <c r="S25" s="859"/>
      <c r="T25" s="859"/>
      <c r="U25" s="859"/>
      <c r="V25" s="859"/>
      <c r="W25" s="859"/>
      <c r="X25" s="859"/>
      <c r="Y25" s="859"/>
      <c r="Z25" s="859"/>
      <c r="AA25" s="859"/>
      <c r="AB25" s="859"/>
      <c r="AC25" s="859"/>
      <c r="AD25" s="859"/>
      <c r="AE25" s="859"/>
      <c r="AF25" s="859"/>
      <c r="AG25" s="859"/>
      <c r="AH25" s="859"/>
      <c r="AI25" s="859"/>
      <c r="AJ25" s="859"/>
      <c r="AK25" s="859"/>
      <c r="AL25" s="859"/>
      <c r="AM25" s="859"/>
      <c r="AN25" s="859"/>
      <c r="AO25" s="859"/>
      <c r="AP25" s="859"/>
      <c r="AQ25" s="859"/>
      <c r="AR25" s="859"/>
      <c r="AS25" s="859"/>
      <c r="AT25" s="859"/>
      <c r="AU25" s="859"/>
      <c r="AV25" s="690"/>
      <c r="AW25" s="690"/>
      <c r="AX25" s="690"/>
      <c r="AY25" s="690"/>
      <c r="AZ25" s="157"/>
      <c r="BA25" s="157"/>
      <c r="BB25" s="157"/>
      <c r="BC25" s="157"/>
      <c r="BD25" s="157"/>
      <c r="BE25" s="157"/>
      <c r="BF25" s="157"/>
      <c r="BG25" s="157"/>
      <c r="BH25" s="691"/>
      <c r="BI25" s="691"/>
      <c r="BJ25" s="691"/>
      <c r="BK25" s="691"/>
      <c r="BL25" s="691"/>
      <c r="BM25" s="691"/>
      <c r="BN25" s="691"/>
      <c r="BO25" s="691"/>
      <c r="BP25" s="51"/>
      <c r="BS25" s="51"/>
      <c r="BT25" s="51"/>
      <c r="BU25" s="51"/>
      <c r="BV25" s="688"/>
      <c r="BW25" s="688"/>
      <c r="BX25" s="688"/>
      <c r="BY25" s="688"/>
      <c r="BZ25" s="688"/>
      <c r="CA25" s="688"/>
      <c r="CB25" s="688"/>
      <c r="CC25" s="688"/>
      <c r="CD25" s="688"/>
    </row>
    <row r="26" spans="1:82" s="395" customFormat="1" ht="34.950000000000003" customHeight="1">
      <c r="A26" s="872"/>
      <c r="B26" s="873"/>
      <c r="C26" s="220"/>
      <c r="D26" s="220"/>
      <c r="E26" s="137" t="s">
        <v>171</v>
      </c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220"/>
      <c r="Y26" s="135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698"/>
      <c r="AW26" s="698"/>
      <c r="AX26" s="698"/>
      <c r="AY26" s="698"/>
      <c r="AZ26" s="319"/>
      <c r="BA26" s="319"/>
      <c r="BB26" s="319"/>
      <c r="BC26" s="319"/>
      <c r="BD26" s="319"/>
      <c r="BE26" s="319"/>
      <c r="BF26" s="319"/>
      <c r="BG26" s="319"/>
      <c r="BH26" s="394"/>
      <c r="BI26" s="394"/>
      <c r="BJ26" s="394"/>
      <c r="BK26" s="394"/>
      <c r="BL26" s="394"/>
      <c r="BM26" s="394"/>
      <c r="BN26" s="394"/>
      <c r="BO26" s="394"/>
      <c r="BP26" s="122"/>
      <c r="BS26" s="122"/>
      <c r="BT26" s="122"/>
      <c r="BU26" s="122"/>
      <c r="BV26" s="699"/>
      <c r="BW26" s="699"/>
      <c r="BX26" s="699"/>
      <c r="BY26" s="699"/>
      <c r="BZ26" s="699"/>
      <c r="CA26" s="699"/>
      <c r="CB26" s="699"/>
      <c r="CC26" s="699"/>
      <c r="CD26" s="699"/>
    </row>
    <row r="27" spans="1:82" s="710" customFormat="1" ht="34.950000000000003" customHeight="1">
      <c r="A27" s="697" t="s">
        <v>1143</v>
      </c>
      <c r="B27" s="701" t="s">
        <v>1144</v>
      </c>
      <c r="C27" s="220">
        <v>15</v>
      </c>
      <c r="D27" s="220">
        <v>20081</v>
      </c>
      <c r="E27" s="235" t="s">
        <v>1145</v>
      </c>
      <c r="F27" s="349">
        <v>500000</v>
      </c>
      <c r="G27" s="349"/>
      <c r="H27" s="349">
        <f t="shared" ref="H27:H57" si="20">F27-G27</f>
        <v>500000</v>
      </c>
      <c r="I27" s="349"/>
      <c r="J27" s="349"/>
      <c r="K27" s="349"/>
      <c r="L27" s="349"/>
      <c r="M27" s="349"/>
      <c r="N27" s="349">
        <f t="shared" ref="N27:N57" si="21">M27+J27</f>
        <v>0</v>
      </c>
      <c r="O27" s="349">
        <v>500000</v>
      </c>
      <c r="P27" s="349">
        <f t="shared" ref="P27:P57" si="22">F27-N27-O27</f>
        <v>0</v>
      </c>
      <c r="Q27" s="349">
        <f t="shared" ref="Q27:Q57" si="23">I27-N27</f>
        <v>0</v>
      </c>
      <c r="R27" s="349">
        <f t="shared" ref="R27:R57" si="24">O27-Q27</f>
        <v>500000</v>
      </c>
      <c r="S27" s="349"/>
      <c r="T27" s="349">
        <f t="shared" ref="T27:T57" si="25">R27-S27</f>
        <v>500000</v>
      </c>
      <c r="U27" s="349">
        <f t="shared" ref="U27:U57" si="26">T27-V27-X27</f>
        <v>500000</v>
      </c>
      <c r="V27" s="349"/>
      <c r="W27" s="349"/>
      <c r="X27" s="349"/>
      <c r="Y27" s="221" t="s">
        <v>1146</v>
      </c>
      <c r="Z27" s="349">
        <v>500000</v>
      </c>
      <c r="AA27" s="349"/>
      <c r="AB27" s="349"/>
      <c r="AC27" s="349"/>
      <c r="AD27" s="349"/>
      <c r="AE27" s="349"/>
      <c r="AF27" s="349"/>
      <c r="AG27" s="349"/>
      <c r="AH27" s="349"/>
      <c r="AI27" s="349"/>
      <c r="AJ27" s="349">
        <f t="shared" ref="AJ27:AJ36" si="27">SUM(Z27:AI27)</f>
        <v>500000</v>
      </c>
      <c r="AK27" s="349">
        <f t="shared" ref="AK27:AK57" si="28">T27-AJ27</f>
        <v>0</v>
      </c>
      <c r="AL27" s="349">
        <f t="shared" ref="AL27:AL57" si="29">AI27-AM27-AO27</f>
        <v>0</v>
      </c>
      <c r="AM27" s="349"/>
      <c r="AN27" s="349"/>
      <c r="AO27" s="349"/>
      <c r="AP27" s="349">
        <f t="shared" ref="AP27:AP57" si="30">AJ27-AQ27-AU27</f>
        <v>500000</v>
      </c>
      <c r="AQ27" s="349"/>
      <c r="AR27" s="349"/>
      <c r="AS27" s="349"/>
      <c r="AT27" s="349"/>
      <c r="AU27" s="349"/>
      <c r="AV27" s="705"/>
      <c r="AW27" s="706"/>
      <c r="AX27" s="706"/>
      <c r="AY27" s="706"/>
      <c r="AZ27" s="707"/>
      <c r="BA27" s="707"/>
      <c r="BB27" s="707"/>
      <c r="BC27" s="707"/>
      <c r="BD27" s="707"/>
      <c r="BE27" s="707"/>
      <c r="BF27" s="707"/>
      <c r="BG27" s="707"/>
      <c r="BH27" s="708"/>
      <c r="BI27" s="708"/>
      <c r="BJ27" s="708"/>
      <c r="BK27" s="708"/>
      <c r="BL27" s="708"/>
      <c r="BM27" s="708"/>
      <c r="BN27" s="708"/>
      <c r="BO27" s="708"/>
      <c r="BP27" s="709"/>
      <c r="BS27" s="709"/>
      <c r="BT27" s="709"/>
      <c r="BU27" s="709"/>
      <c r="BV27" s="711"/>
      <c r="BW27" s="711"/>
      <c r="BX27" s="711"/>
      <c r="BY27" s="711"/>
      <c r="BZ27" s="711"/>
      <c r="CA27" s="711"/>
      <c r="CB27" s="711"/>
      <c r="CC27" s="711"/>
      <c r="CD27" s="711"/>
    </row>
    <row r="28" spans="1:82" s="710" customFormat="1" ht="34.950000000000003" customHeight="1">
      <c r="A28" s="697" t="s">
        <v>1147</v>
      </c>
      <c r="B28" s="701" t="s">
        <v>1148</v>
      </c>
      <c r="C28" s="220">
        <f>1+C27</f>
        <v>16</v>
      </c>
      <c r="D28" s="220">
        <v>20081</v>
      </c>
      <c r="E28" s="235" t="s">
        <v>1145</v>
      </c>
      <c r="F28" s="349">
        <v>25000000</v>
      </c>
      <c r="G28" s="349">
        <v>500000</v>
      </c>
      <c r="H28" s="349">
        <f t="shared" si="20"/>
        <v>24500000</v>
      </c>
      <c r="I28" s="349"/>
      <c r="J28" s="349"/>
      <c r="K28" s="349"/>
      <c r="L28" s="349"/>
      <c r="M28" s="349"/>
      <c r="N28" s="349">
        <f t="shared" si="21"/>
        <v>0</v>
      </c>
      <c r="O28" s="349">
        <v>5500000</v>
      </c>
      <c r="P28" s="349">
        <f t="shared" si="22"/>
        <v>19500000</v>
      </c>
      <c r="Q28" s="349">
        <f t="shared" si="23"/>
        <v>0</v>
      </c>
      <c r="R28" s="349">
        <f t="shared" si="24"/>
        <v>5500000</v>
      </c>
      <c r="S28" s="349">
        <v>500000</v>
      </c>
      <c r="T28" s="349">
        <f t="shared" si="25"/>
        <v>5000000</v>
      </c>
      <c r="U28" s="349">
        <f t="shared" si="26"/>
        <v>5000000</v>
      </c>
      <c r="V28" s="349"/>
      <c r="W28" s="349"/>
      <c r="X28" s="349"/>
      <c r="Y28" s="221" t="s">
        <v>1149</v>
      </c>
      <c r="Z28" s="349"/>
      <c r="AA28" s="349">
        <v>5000000</v>
      </c>
      <c r="AB28" s="349"/>
      <c r="AC28" s="349"/>
      <c r="AD28" s="349"/>
      <c r="AE28" s="349"/>
      <c r="AF28" s="349"/>
      <c r="AG28" s="349"/>
      <c r="AH28" s="349"/>
      <c r="AI28" s="349"/>
      <c r="AJ28" s="349">
        <f t="shared" si="27"/>
        <v>5000000</v>
      </c>
      <c r="AK28" s="349">
        <f t="shared" si="28"/>
        <v>0</v>
      </c>
      <c r="AL28" s="349">
        <f t="shared" si="29"/>
        <v>0</v>
      </c>
      <c r="AM28" s="349"/>
      <c r="AN28" s="349"/>
      <c r="AO28" s="349"/>
      <c r="AP28" s="349">
        <f t="shared" si="30"/>
        <v>5000000</v>
      </c>
      <c r="AQ28" s="349"/>
      <c r="AR28" s="349"/>
      <c r="AS28" s="349"/>
      <c r="AT28" s="349"/>
      <c r="AU28" s="349"/>
      <c r="AV28" s="705"/>
      <c r="AW28" s="706"/>
      <c r="AX28" s="706"/>
      <c r="AY28" s="706"/>
      <c r="AZ28" s="707"/>
      <c r="BA28" s="707"/>
      <c r="BB28" s="707"/>
      <c r="BC28" s="707"/>
      <c r="BD28" s="707"/>
      <c r="BE28" s="707"/>
      <c r="BF28" s="707"/>
      <c r="BG28" s="707"/>
      <c r="BH28" s="708"/>
      <c r="BI28" s="708"/>
      <c r="BJ28" s="708"/>
      <c r="BK28" s="708"/>
      <c r="BL28" s="708"/>
      <c r="BM28" s="708"/>
      <c r="BN28" s="708"/>
      <c r="BO28" s="708"/>
      <c r="BP28" s="709"/>
      <c r="BS28" s="709"/>
      <c r="BT28" s="709"/>
      <c r="BU28" s="709"/>
      <c r="BV28" s="711"/>
      <c r="BW28" s="711"/>
      <c r="BX28" s="711"/>
      <c r="BY28" s="711"/>
      <c r="BZ28" s="711"/>
      <c r="CA28" s="711"/>
      <c r="CB28" s="711"/>
      <c r="CC28" s="711"/>
      <c r="CD28" s="711"/>
    </row>
    <row r="29" spans="1:82" s="710" customFormat="1" ht="34.950000000000003" customHeight="1">
      <c r="A29" s="697" t="s">
        <v>1147</v>
      </c>
      <c r="B29" s="701" t="s">
        <v>1148</v>
      </c>
      <c r="C29" s="220">
        <f t="shared" ref="C29:C57" si="31">1+C28</f>
        <v>17</v>
      </c>
      <c r="D29" s="220">
        <v>20082</v>
      </c>
      <c r="E29" s="235" t="s">
        <v>927</v>
      </c>
      <c r="F29" s="349">
        <v>500000</v>
      </c>
      <c r="G29" s="349"/>
      <c r="H29" s="349">
        <f t="shared" si="20"/>
        <v>500000</v>
      </c>
      <c r="I29" s="349"/>
      <c r="J29" s="349"/>
      <c r="K29" s="349"/>
      <c r="L29" s="349"/>
      <c r="M29" s="349"/>
      <c r="N29" s="349">
        <f t="shared" si="21"/>
        <v>0</v>
      </c>
      <c r="O29" s="349">
        <v>500000</v>
      </c>
      <c r="P29" s="349">
        <f t="shared" si="22"/>
        <v>0</v>
      </c>
      <c r="Q29" s="349">
        <f t="shared" si="23"/>
        <v>0</v>
      </c>
      <c r="R29" s="349">
        <f t="shared" si="24"/>
        <v>500000</v>
      </c>
      <c r="S29" s="349"/>
      <c r="T29" s="349">
        <f t="shared" si="25"/>
        <v>500000</v>
      </c>
      <c r="U29" s="349">
        <f t="shared" si="26"/>
        <v>500000</v>
      </c>
      <c r="V29" s="349"/>
      <c r="W29" s="349"/>
      <c r="X29" s="349"/>
      <c r="Y29" s="221" t="s">
        <v>1150</v>
      </c>
      <c r="Z29" s="349"/>
      <c r="AA29" s="349">
        <v>500000</v>
      </c>
      <c r="AB29" s="349"/>
      <c r="AC29" s="349"/>
      <c r="AD29" s="349"/>
      <c r="AE29" s="349"/>
      <c r="AF29" s="349"/>
      <c r="AG29" s="349"/>
      <c r="AH29" s="349"/>
      <c r="AI29" s="349"/>
      <c r="AJ29" s="349">
        <f t="shared" si="27"/>
        <v>500000</v>
      </c>
      <c r="AK29" s="349">
        <f t="shared" si="28"/>
        <v>0</v>
      </c>
      <c r="AL29" s="349">
        <f t="shared" si="29"/>
        <v>0</v>
      </c>
      <c r="AM29" s="349"/>
      <c r="AN29" s="349"/>
      <c r="AO29" s="349"/>
      <c r="AP29" s="349">
        <f t="shared" si="30"/>
        <v>500000</v>
      </c>
      <c r="AQ29" s="349"/>
      <c r="AR29" s="349"/>
      <c r="AS29" s="349"/>
      <c r="AT29" s="349"/>
      <c r="AU29" s="349"/>
      <c r="AV29" s="705"/>
      <c r="AW29" s="706"/>
      <c r="AX29" s="706"/>
      <c r="AY29" s="706"/>
      <c r="AZ29" s="707"/>
      <c r="BA29" s="707"/>
      <c r="BB29" s="707"/>
      <c r="BC29" s="707"/>
      <c r="BD29" s="707"/>
      <c r="BE29" s="707"/>
      <c r="BF29" s="707"/>
      <c r="BG29" s="707"/>
      <c r="BH29" s="708"/>
      <c r="BI29" s="708"/>
      <c r="BJ29" s="708"/>
      <c r="BK29" s="708"/>
      <c r="BL29" s="708"/>
      <c r="BM29" s="708"/>
      <c r="BN29" s="708"/>
      <c r="BO29" s="708"/>
      <c r="BP29" s="709"/>
      <c r="BS29" s="709"/>
      <c r="BT29" s="709"/>
      <c r="BU29" s="709"/>
      <c r="BV29" s="711"/>
      <c r="BW29" s="711"/>
      <c r="BX29" s="711"/>
      <c r="BY29" s="711"/>
      <c r="BZ29" s="711"/>
      <c r="CA29" s="711"/>
      <c r="CB29" s="711"/>
      <c r="CC29" s="711"/>
      <c r="CD29" s="711"/>
    </row>
    <row r="30" spans="1:82" s="710" customFormat="1" ht="34.950000000000003" customHeight="1">
      <c r="A30" s="697" t="s">
        <v>1147</v>
      </c>
      <c r="B30" s="701" t="s">
        <v>1148</v>
      </c>
      <c r="C30" s="220">
        <f t="shared" si="31"/>
        <v>18</v>
      </c>
      <c r="D30" s="220">
        <v>20083</v>
      </c>
      <c r="E30" s="235" t="s">
        <v>1151</v>
      </c>
      <c r="F30" s="349">
        <v>500000</v>
      </c>
      <c r="G30" s="349"/>
      <c r="H30" s="349">
        <f t="shared" si="20"/>
        <v>500000</v>
      </c>
      <c r="I30" s="349"/>
      <c r="J30" s="349"/>
      <c r="K30" s="349"/>
      <c r="L30" s="349"/>
      <c r="M30" s="349"/>
      <c r="N30" s="349">
        <f t="shared" si="21"/>
        <v>0</v>
      </c>
      <c r="O30" s="349">
        <v>500000</v>
      </c>
      <c r="P30" s="349">
        <f t="shared" si="22"/>
        <v>0</v>
      </c>
      <c r="Q30" s="349">
        <f t="shared" si="23"/>
        <v>0</v>
      </c>
      <c r="R30" s="349">
        <f t="shared" si="24"/>
        <v>500000</v>
      </c>
      <c r="S30" s="349"/>
      <c r="T30" s="349">
        <f t="shared" si="25"/>
        <v>500000</v>
      </c>
      <c r="U30" s="349">
        <f t="shared" si="26"/>
        <v>500000</v>
      </c>
      <c r="V30" s="349"/>
      <c r="W30" s="349"/>
      <c r="X30" s="349"/>
      <c r="Y30" s="221" t="s">
        <v>1152</v>
      </c>
      <c r="Z30" s="349"/>
      <c r="AA30" s="349">
        <v>500000</v>
      </c>
      <c r="AB30" s="349"/>
      <c r="AC30" s="349"/>
      <c r="AD30" s="349"/>
      <c r="AE30" s="349"/>
      <c r="AF30" s="349"/>
      <c r="AG30" s="349"/>
      <c r="AH30" s="349"/>
      <c r="AI30" s="349"/>
      <c r="AJ30" s="349">
        <f t="shared" si="27"/>
        <v>500000</v>
      </c>
      <c r="AK30" s="349">
        <f t="shared" si="28"/>
        <v>0</v>
      </c>
      <c r="AL30" s="349">
        <f t="shared" si="29"/>
        <v>0</v>
      </c>
      <c r="AM30" s="349"/>
      <c r="AN30" s="349"/>
      <c r="AO30" s="349"/>
      <c r="AP30" s="349">
        <f t="shared" si="30"/>
        <v>500000</v>
      </c>
      <c r="AQ30" s="349"/>
      <c r="AR30" s="349"/>
      <c r="AS30" s="349"/>
      <c r="AT30" s="349"/>
      <c r="AU30" s="349"/>
      <c r="AV30" s="705"/>
      <c r="AW30" s="706"/>
      <c r="AX30" s="706"/>
      <c r="AY30" s="706"/>
      <c r="AZ30" s="707"/>
      <c r="BA30" s="707"/>
      <c r="BB30" s="707"/>
      <c r="BC30" s="707"/>
      <c r="BD30" s="707"/>
      <c r="BE30" s="707"/>
      <c r="BF30" s="707"/>
      <c r="BG30" s="707"/>
      <c r="BH30" s="708"/>
      <c r="BI30" s="708"/>
      <c r="BJ30" s="708"/>
      <c r="BK30" s="708"/>
      <c r="BL30" s="708"/>
      <c r="BM30" s="708"/>
      <c r="BN30" s="708"/>
      <c r="BO30" s="708"/>
      <c r="BP30" s="709"/>
      <c r="BS30" s="709"/>
      <c r="BT30" s="709"/>
      <c r="BU30" s="709"/>
      <c r="BV30" s="711"/>
      <c r="BW30" s="711"/>
      <c r="BX30" s="711"/>
      <c r="BY30" s="711"/>
      <c r="BZ30" s="711"/>
      <c r="CA30" s="711"/>
      <c r="CB30" s="711"/>
      <c r="CC30" s="711"/>
      <c r="CD30" s="711"/>
    </row>
    <row r="31" spans="1:82" s="710" customFormat="1" ht="34.950000000000003" customHeight="1">
      <c r="A31" s="697" t="s">
        <v>1147</v>
      </c>
      <c r="B31" s="701" t="s">
        <v>1148</v>
      </c>
      <c r="C31" s="220">
        <f t="shared" si="31"/>
        <v>19</v>
      </c>
      <c r="D31" s="220">
        <v>20084</v>
      </c>
      <c r="E31" s="235" t="s">
        <v>929</v>
      </c>
      <c r="F31" s="349">
        <v>500000</v>
      </c>
      <c r="G31" s="349"/>
      <c r="H31" s="349">
        <f t="shared" si="20"/>
        <v>500000</v>
      </c>
      <c r="I31" s="349"/>
      <c r="J31" s="349"/>
      <c r="K31" s="349"/>
      <c r="L31" s="349"/>
      <c r="M31" s="349"/>
      <c r="N31" s="349">
        <f t="shared" si="21"/>
        <v>0</v>
      </c>
      <c r="O31" s="349">
        <v>500000</v>
      </c>
      <c r="P31" s="349">
        <f t="shared" si="22"/>
        <v>0</v>
      </c>
      <c r="Q31" s="349">
        <f t="shared" si="23"/>
        <v>0</v>
      </c>
      <c r="R31" s="349">
        <f t="shared" si="24"/>
        <v>500000</v>
      </c>
      <c r="S31" s="349"/>
      <c r="T31" s="349">
        <f t="shared" si="25"/>
        <v>500000</v>
      </c>
      <c r="U31" s="349">
        <f t="shared" si="26"/>
        <v>500000</v>
      </c>
      <c r="V31" s="349"/>
      <c r="W31" s="349"/>
      <c r="X31" s="349"/>
      <c r="Y31" s="221" t="s">
        <v>1153</v>
      </c>
      <c r="Z31" s="349"/>
      <c r="AA31" s="349">
        <v>500000</v>
      </c>
      <c r="AB31" s="349"/>
      <c r="AC31" s="349"/>
      <c r="AD31" s="349"/>
      <c r="AE31" s="349"/>
      <c r="AF31" s="349"/>
      <c r="AG31" s="349"/>
      <c r="AH31" s="349"/>
      <c r="AI31" s="349"/>
      <c r="AJ31" s="349">
        <f t="shared" si="27"/>
        <v>500000</v>
      </c>
      <c r="AK31" s="349">
        <f t="shared" si="28"/>
        <v>0</v>
      </c>
      <c r="AL31" s="349">
        <f t="shared" si="29"/>
        <v>0</v>
      </c>
      <c r="AM31" s="349"/>
      <c r="AN31" s="349"/>
      <c r="AO31" s="349"/>
      <c r="AP31" s="349">
        <f t="shared" si="30"/>
        <v>500000</v>
      </c>
      <c r="AQ31" s="349"/>
      <c r="AR31" s="349"/>
      <c r="AS31" s="349"/>
      <c r="AT31" s="349"/>
      <c r="AU31" s="349"/>
      <c r="AV31" s="705"/>
      <c r="AW31" s="706"/>
      <c r="AX31" s="706"/>
      <c r="AY31" s="706"/>
      <c r="AZ31" s="707"/>
      <c r="BA31" s="707"/>
      <c r="BB31" s="707"/>
      <c r="BC31" s="707"/>
      <c r="BD31" s="707"/>
      <c r="BE31" s="707"/>
      <c r="BF31" s="707"/>
      <c r="BG31" s="707"/>
      <c r="BH31" s="708"/>
      <c r="BI31" s="708"/>
      <c r="BJ31" s="708"/>
      <c r="BK31" s="708"/>
      <c r="BL31" s="708"/>
      <c r="BM31" s="708"/>
      <c r="BN31" s="708"/>
      <c r="BO31" s="708"/>
      <c r="BP31" s="709"/>
      <c r="BS31" s="709"/>
      <c r="BT31" s="709"/>
      <c r="BU31" s="709"/>
      <c r="BV31" s="711"/>
      <c r="BW31" s="711"/>
      <c r="BX31" s="711"/>
      <c r="BY31" s="711"/>
      <c r="BZ31" s="711"/>
      <c r="CA31" s="711"/>
      <c r="CB31" s="711"/>
      <c r="CC31" s="711"/>
      <c r="CD31" s="711"/>
    </row>
    <row r="32" spans="1:82" s="710" customFormat="1" ht="34.950000000000003" customHeight="1">
      <c r="A32" s="697" t="s">
        <v>1147</v>
      </c>
      <c r="B32" s="701" t="s">
        <v>1154</v>
      </c>
      <c r="C32" s="220">
        <f t="shared" si="31"/>
        <v>20</v>
      </c>
      <c r="D32" s="220">
        <v>20087</v>
      </c>
      <c r="E32" s="235" t="s">
        <v>930</v>
      </c>
      <c r="F32" s="349">
        <v>7500000</v>
      </c>
      <c r="G32" s="349"/>
      <c r="H32" s="349">
        <f t="shared" si="20"/>
        <v>7500000</v>
      </c>
      <c r="I32" s="349"/>
      <c r="J32" s="349"/>
      <c r="K32" s="349"/>
      <c r="L32" s="349"/>
      <c r="M32" s="349"/>
      <c r="N32" s="349">
        <f t="shared" si="21"/>
        <v>0</v>
      </c>
      <c r="O32" s="349">
        <v>7500000</v>
      </c>
      <c r="P32" s="349">
        <f t="shared" si="22"/>
        <v>0</v>
      </c>
      <c r="Q32" s="349">
        <f t="shared" si="23"/>
        <v>0</v>
      </c>
      <c r="R32" s="349">
        <f t="shared" si="24"/>
        <v>7500000</v>
      </c>
      <c r="S32" s="349"/>
      <c r="T32" s="349">
        <f t="shared" si="25"/>
        <v>7500000</v>
      </c>
      <c r="U32" s="349">
        <f t="shared" si="26"/>
        <v>0</v>
      </c>
      <c r="V32" s="349"/>
      <c r="W32" s="349"/>
      <c r="X32" s="349">
        <v>7500000</v>
      </c>
      <c r="Y32" s="221" t="s">
        <v>1155</v>
      </c>
      <c r="Z32" s="349"/>
      <c r="AA32" s="349"/>
      <c r="AB32" s="349"/>
      <c r="AC32" s="349"/>
      <c r="AD32" s="349"/>
      <c r="AE32" s="349"/>
      <c r="AF32" s="349"/>
      <c r="AG32" s="349"/>
      <c r="AH32" s="349"/>
      <c r="AI32" s="349">
        <v>7500000</v>
      </c>
      <c r="AJ32" s="349">
        <f t="shared" si="27"/>
        <v>7500000</v>
      </c>
      <c r="AK32" s="851">
        <f t="shared" si="28"/>
        <v>0</v>
      </c>
      <c r="AL32" s="349">
        <f t="shared" si="29"/>
        <v>0</v>
      </c>
      <c r="AM32" s="349"/>
      <c r="AN32" s="349"/>
      <c r="AO32" s="349">
        <v>7500000</v>
      </c>
      <c r="AP32" s="349">
        <f t="shared" si="30"/>
        <v>0</v>
      </c>
      <c r="AQ32" s="349"/>
      <c r="AR32" s="349"/>
      <c r="AS32" s="349"/>
      <c r="AT32" s="349"/>
      <c r="AU32" s="349">
        <v>7500000</v>
      </c>
      <c r="AV32" s="705"/>
      <c r="AW32" s="706"/>
      <c r="AX32" s="706"/>
      <c r="AY32" s="706"/>
      <c r="AZ32" s="707"/>
      <c r="BA32" s="707"/>
      <c r="BB32" s="707"/>
      <c r="BC32" s="707"/>
      <c r="BD32" s="707"/>
      <c r="BE32" s="707"/>
      <c r="BF32" s="707"/>
      <c r="BG32" s="707"/>
      <c r="BH32" s="708"/>
      <c r="BI32" s="708"/>
      <c r="BJ32" s="708"/>
      <c r="BK32" s="708"/>
      <c r="BL32" s="708"/>
      <c r="BM32" s="708"/>
      <c r="BN32" s="708"/>
      <c r="BO32" s="708"/>
      <c r="BP32" s="709"/>
      <c r="BS32" s="709"/>
      <c r="BT32" s="709"/>
      <c r="BU32" s="709"/>
      <c r="BV32" s="711"/>
      <c r="BW32" s="711"/>
      <c r="BX32" s="711"/>
      <c r="BY32" s="711"/>
      <c r="BZ32" s="711"/>
      <c r="CA32" s="711"/>
      <c r="CB32" s="711"/>
      <c r="CC32" s="711"/>
      <c r="CD32" s="711"/>
    </row>
    <row r="33" spans="1:82" s="710" customFormat="1" ht="34.950000000000003" customHeight="1">
      <c r="A33" s="697" t="s">
        <v>1122</v>
      </c>
      <c r="B33" s="701" t="s">
        <v>1123</v>
      </c>
      <c r="C33" s="220">
        <f t="shared" si="31"/>
        <v>21</v>
      </c>
      <c r="D33" s="220">
        <v>1911</v>
      </c>
      <c r="E33" s="235" t="s">
        <v>264</v>
      </c>
      <c r="F33" s="349">
        <v>27236240</v>
      </c>
      <c r="G33" s="349">
        <v>27236240</v>
      </c>
      <c r="H33" s="349">
        <f t="shared" si="20"/>
        <v>0</v>
      </c>
      <c r="I33" s="349">
        <v>27236240</v>
      </c>
      <c r="J33" s="349">
        <v>26168797</v>
      </c>
      <c r="K33" s="349"/>
      <c r="L33" s="349"/>
      <c r="M33" s="349"/>
      <c r="N33" s="349">
        <f t="shared" si="21"/>
        <v>26168797</v>
      </c>
      <c r="O33" s="349">
        <v>1067443</v>
      </c>
      <c r="P33" s="349">
        <f t="shared" si="22"/>
        <v>0</v>
      </c>
      <c r="Q33" s="349">
        <f t="shared" si="23"/>
        <v>1067443</v>
      </c>
      <c r="R33" s="349">
        <f t="shared" si="24"/>
        <v>0</v>
      </c>
      <c r="S33" s="349"/>
      <c r="T33" s="349">
        <f t="shared" si="25"/>
        <v>0</v>
      </c>
      <c r="U33" s="349">
        <f t="shared" si="26"/>
        <v>-4101582</v>
      </c>
      <c r="V33" s="349"/>
      <c r="W33" s="349"/>
      <c r="X33" s="349">
        <v>4101582</v>
      </c>
      <c r="Y33" s="221" t="s">
        <v>1156</v>
      </c>
      <c r="Z33" s="349"/>
      <c r="AA33" s="349"/>
      <c r="AB33" s="860"/>
      <c r="AC33" s="349"/>
      <c r="AD33" s="349"/>
      <c r="AE33" s="349"/>
      <c r="AF33" s="349"/>
      <c r="AG33" s="349"/>
      <c r="AH33" s="349"/>
      <c r="AI33" s="349"/>
      <c r="AJ33" s="349">
        <f t="shared" si="27"/>
        <v>0</v>
      </c>
      <c r="AK33" s="349">
        <f t="shared" si="28"/>
        <v>0</v>
      </c>
      <c r="AL33" s="349">
        <f t="shared" si="29"/>
        <v>0</v>
      </c>
      <c r="AM33" s="349"/>
      <c r="AN33" s="349"/>
      <c r="AO33" s="349"/>
      <c r="AP33" s="349">
        <f t="shared" si="30"/>
        <v>-4101582</v>
      </c>
      <c r="AQ33" s="349"/>
      <c r="AR33" s="349"/>
      <c r="AS33" s="349"/>
      <c r="AT33" s="349"/>
      <c r="AU33" s="349">
        <v>4101582</v>
      </c>
      <c r="AV33" s="705"/>
      <c r="AW33" s="706"/>
      <c r="AX33" s="706"/>
      <c r="AY33" s="706"/>
      <c r="AZ33" s="707"/>
      <c r="BA33" s="707"/>
      <c r="BB33" s="707"/>
      <c r="BC33" s="707"/>
      <c r="BD33" s="707"/>
      <c r="BE33" s="707"/>
      <c r="BF33" s="707"/>
      <c r="BG33" s="707"/>
      <c r="BH33" s="708"/>
      <c r="BI33" s="708"/>
      <c r="BJ33" s="708"/>
      <c r="BK33" s="708"/>
      <c r="BL33" s="708"/>
      <c r="BM33" s="708"/>
      <c r="BN33" s="708"/>
      <c r="BO33" s="708"/>
      <c r="BP33" s="709"/>
      <c r="BS33" s="709"/>
      <c r="BT33" s="709"/>
      <c r="BU33" s="709"/>
      <c r="BV33" s="711"/>
      <c r="BW33" s="711"/>
      <c r="BX33" s="711"/>
      <c r="BY33" s="711"/>
      <c r="BZ33" s="711"/>
      <c r="CA33" s="711"/>
      <c r="CB33" s="711"/>
      <c r="CC33" s="711"/>
      <c r="CD33" s="711"/>
    </row>
    <row r="34" spans="1:82" s="710" customFormat="1" ht="34.950000000000003" customHeight="1">
      <c r="A34" s="697" t="s">
        <v>1122</v>
      </c>
      <c r="B34" s="701" t="s">
        <v>1123</v>
      </c>
      <c r="C34" s="220">
        <f t="shared" si="31"/>
        <v>22</v>
      </c>
      <c r="D34" s="220">
        <v>2175</v>
      </c>
      <c r="E34" s="235" t="s">
        <v>426</v>
      </c>
      <c r="F34" s="349">
        <v>21000000</v>
      </c>
      <c r="G34" s="349">
        <v>21000000</v>
      </c>
      <c r="H34" s="349">
        <f t="shared" si="20"/>
        <v>0</v>
      </c>
      <c r="I34" s="349">
        <v>9610633</v>
      </c>
      <c r="J34" s="349">
        <v>1665115</v>
      </c>
      <c r="K34" s="349"/>
      <c r="L34" s="349"/>
      <c r="M34" s="349"/>
      <c r="N34" s="349">
        <f t="shared" si="21"/>
        <v>1665115</v>
      </c>
      <c r="O34" s="349">
        <f>9334664+7945518</f>
        <v>17280182</v>
      </c>
      <c r="P34" s="349">
        <f t="shared" si="22"/>
        <v>2054703</v>
      </c>
      <c r="Q34" s="349">
        <f t="shared" si="23"/>
        <v>7945518</v>
      </c>
      <c r="R34" s="349">
        <f t="shared" si="24"/>
        <v>9334664</v>
      </c>
      <c r="S34" s="349">
        <v>9334664</v>
      </c>
      <c r="T34" s="349">
        <f t="shared" si="25"/>
        <v>0</v>
      </c>
      <c r="U34" s="349">
        <f t="shared" si="26"/>
        <v>-1696816</v>
      </c>
      <c r="V34" s="349"/>
      <c r="W34" s="349"/>
      <c r="X34" s="349">
        <v>1696816</v>
      </c>
      <c r="Y34" s="221" t="s">
        <v>1157</v>
      </c>
      <c r="Z34" s="349"/>
      <c r="AA34" s="349"/>
      <c r="AB34" s="349"/>
      <c r="AC34" s="860"/>
      <c r="AD34" s="349"/>
      <c r="AE34" s="349"/>
      <c r="AF34" s="349"/>
      <c r="AG34" s="349"/>
      <c r="AH34" s="349"/>
      <c r="AI34" s="349"/>
      <c r="AJ34" s="349">
        <f t="shared" si="27"/>
        <v>0</v>
      </c>
      <c r="AK34" s="349">
        <f t="shared" si="28"/>
        <v>0</v>
      </c>
      <c r="AL34" s="349">
        <f t="shared" si="29"/>
        <v>0</v>
      </c>
      <c r="AM34" s="349"/>
      <c r="AN34" s="349"/>
      <c r="AO34" s="349"/>
      <c r="AP34" s="349">
        <f t="shared" si="30"/>
        <v>-1696816</v>
      </c>
      <c r="AQ34" s="349"/>
      <c r="AR34" s="349"/>
      <c r="AS34" s="349"/>
      <c r="AT34" s="349"/>
      <c r="AU34" s="349">
        <v>1696816</v>
      </c>
      <c r="AV34" s="705"/>
      <c r="AW34" s="706"/>
      <c r="AX34" s="706"/>
      <c r="AY34" s="706"/>
      <c r="AZ34" s="707"/>
      <c r="BA34" s="707"/>
      <c r="BB34" s="707"/>
      <c r="BC34" s="707"/>
      <c r="BD34" s="707"/>
      <c r="BE34" s="707"/>
      <c r="BF34" s="707"/>
      <c r="BG34" s="707"/>
      <c r="BH34" s="708"/>
      <c r="BI34" s="708"/>
      <c r="BJ34" s="708"/>
      <c r="BK34" s="708"/>
      <c r="BL34" s="708"/>
      <c r="BM34" s="708"/>
      <c r="BN34" s="708"/>
      <c r="BO34" s="708"/>
      <c r="BP34" s="709"/>
      <c r="BS34" s="709"/>
      <c r="BT34" s="709"/>
      <c r="BU34" s="709"/>
      <c r="BV34" s="711"/>
      <c r="BW34" s="711"/>
      <c r="BX34" s="711"/>
      <c r="BY34" s="711"/>
      <c r="BZ34" s="711"/>
      <c r="CA34" s="711"/>
      <c r="CB34" s="711"/>
      <c r="CC34" s="711"/>
      <c r="CD34" s="711"/>
    </row>
    <row r="35" spans="1:82" s="395" customFormat="1" ht="34.950000000000003" customHeight="1">
      <c r="A35" s="697" t="s">
        <v>1158</v>
      </c>
      <c r="B35" s="701" t="s">
        <v>1159</v>
      </c>
      <c r="C35" s="220">
        <f t="shared" si="31"/>
        <v>23</v>
      </c>
      <c r="D35" s="220">
        <v>20093</v>
      </c>
      <c r="E35" s="235" t="s">
        <v>931</v>
      </c>
      <c r="F35" s="349">
        <v>250000</v>
      </c>
      <c r="G35" s="349"/>
      <c r="H35" s="349">
        <f t="shared" si="20"/>
        <v>250000</v>
      </c>
      <c r="I35" s="349"/>
      <c r="J35" s="349"/>
      <c r="K35" s="349"/>
      <c r="L35" s="349"/>
      <c r="M35" s="349">
        <f>SUM(K35:L35)</f>
        <v>0</v>
      </c>
      <c r="N35" s="349">
        <f t="shared" si="21"/>
        <v>0</v>
      </c>
      <c r="O35" s="349">
        <v>250000</v>
      </c>
      <c r="P35" s="349">
        <f t="shared" si="22"/>
        <v>0</v>
      </c>
      <c r="Q35" s="349">
        <f t="shared" si="23"/>
        <v>0</v>
      </c>
      <c r="R35" s="349">
        <f t="shared" si="24"/>
        <v>250000</v>
      </c>
      <c r="S35" s="349"/>
      <c r="T35" s="349">
        <f t="shared" si="25"/>
        <v>250000</v>
      </c>
      <c r="U35" s="349">
        <f t="shared" si="26"/>
        <v>250000</v>
      </c>
      <c r="V35" s="349"/>
      <c r="W35" s="349"/>
      <c r="X35" s="349"/>
      <c r="Y35" s="221" t="s">
        <v>1160</v>
      </c>
      <c r="Z35" s="349"/>
      <c r="AA35" s="349"/>
      <c r="AB35" s="349"/>
      <c r="AC35" s="349"/>
      <c r="AD35" s="349">
        <v>250000</v>
      </c>
      <c r="AE35" s="349"/>
      <c r="AF35" s="349"/>
      <c r="AG35" s="349"/>
      <c r="AH35" s="349"/>
      <c r="AI35" s="349"/>
      <c r="AJ35" s="349">
        <f t="shared" si="27"/>
        <v>250000</v>
      </c>
      <c r="AK35" s="349">
        <f t="shared" si="28"/>
        <v>0</v>
      </c>
      <c r="AL35" s="349">
        <f t="shared" si="29"/>
        <v>0</v>
      </c>
      <c r="AM35" s="349"/>
      <c r="AN35" s="349"/>
      <c r="AO35" s="349"/>
      <c r="AP35" s="349">
        <f t="shared" si="30"/>
        <v>250000</v>
      </c>
      <c r="AQ35" s="349"/>
      <c r="AR35" s="349"/>
      <c r="AS35" s="349"/>
      <c r="AT35" s="349"/>
      <c r="AU35" s="349"/>
      <c r="AV35" s="690"/>
      <c r="AW35" s="690"/>
      <c r="AX35" s="690"/>
      <c r="AY35" s="690"/>
      <c r="AZ35" s="319"/>
      <c r="BA35" s="319"/>
      <c r="BB35" s="319"/>
      <c r="BC35" s="319"/>
      <c r="BD35" s="319"/>
      <c r="BE35" s="319"/>
      <c r="BF35" s="319"/>
      <c r="BG35" s="319"/>
      <c r="BH35" s="394"/>
      <c r="BI35" s="394"/>
      <c r="BJ35" s="394"/>
      <c r="BK35" s="394"/>
      <c r="BL35" s="394"/>
      <c r="BM35" s="394"/>
      <c r="BN35" s="394"/>
      <c r="BO35" s="394"/>
      <c r="BP35" s="122"/>
      <c r="BS35" s="122"/>
      <c r="BT35" s="122"/>
      <c r="BU35" s="122"/>
      <c r="BV35" s="699"/>
      <c r="BW35" s="699"/>
      <c r="BX35" s="699"/>
      <c r="BY35" s="699"/>
      <c r="BZ35" s="699"/>
      <c r="CA35" s="699"/>
      <c r="CB35" s="699"/>
      <c r="CC35" s="699"/>
      <c r="CD35" s="699"/>
    </row>
    <row r="36" spans="1:82" s="710" customFormat="1" ht="34.950000000000003" customHeight="1">
      <c r="A36" s="697" t="s">
        <v>1127</v>
      </c>
      <c r="B36" s="701" t="s">
        <v>1128</v>
      </c>
      <c r="C36" s="220">
        <f t="shared" si="31"/>
        <v>24</v>
      </c>
      <c r="D36" s="220">
        <v>20081</v>
      </c>
      <c r="E36" s="235" t="s">
        <v>1145</v>
      </c>
      <c r="F36" s="349">
        <v>25000000</v>
      </c>
      <c r="G36" s="349">
        <v>25000000</v>
      </c>
      <c r="H36" s="349">
        <f t="shared" si="20"/>
        <v>0</v>
      </c>
      <c r="I36" s="349"/>
      <c r="J36" s="349"/>
      <c r="K36" s="349"/>
      <c r="L36" s="349"/>
      <c r="M36" s="349"/>
      <c r="N36" s="349">
        <f t="shared" si="21"/>
        <v>0</v>
      </c>
      <c r="O36" s="349">
        <f>5500000+5000000</f>
        <v>10500000</v>
      </c>
      <c r="P36" s="349">
        <f t="shared" si="22"/>
        <v>14500000</v>
      </c>
      <c r="Q36" s="349">
        <f t="shared" si="23"/>
        <v>0</v>
      </c>
      <c r="R36" s="349">
        <f t="shared" si="24"/>
        <v>10500000</v>
      </c>
      <c r="S36" s="349">
        <v>5500000</v>
      </c>
      <c r="T36" s="349">
        <f t="shared" si="25"/>
        <v>5000000</v>
      </c>
      <c r="U36" s="349">
        <f t="shared" si="26"/>
        <v>3000000</v>
      </c>
      <c r="V36" s="349">
        <v>2000000</v>
      </c>
      <c r="W36" s="349"/>
      <c r="X36" s="349"/>
      <c r="Y36" s="221" t="s">
        <v>1161</v>
      </c>
      <c r="Z36" s="349"/>
      <c r="AA36" s="349"/>
      <c r="AB36" s="349"/>
      <c r="AC36" s="349"/>
      <c r="AD36" s="349"/>
      <c r="AE36" s="349">
        <v>5000000</v>
      </c>
      <c r="AF36" s="349"/>
      <c r="AG36" s="349"/>
      <c r="AH36" s="349"/>
      <c r="AI36" s="349"/>
      <c r="AJ36" s="349">
        <f t="shared" si="27"/>
        <v>5000000</v>
      </c>
      <c r="AK36" s="349">
        <f t="shared" si="28"/>
        <v>0</v>
      </c>
      <c r="AL36" s="349">
        <f t="shared" si="29"/>
        <v>0</v>
      </c>
      <c r="AM36" s="349"/>
      <c r="AN36" s="349"/>
      <c r="AO36" s="861"/>
      <c r="AP36" s="349">
        <f t="shared" si="30"/>
        <v>3000000</v>
      </c>
      <c r="AQ36" s="349">
        <v>2000000</v>
      </c>
      <c r="AR36" s="349"/>
      <c r="AS36" s="349"/>
      <c r="AT36" s="349"/>
      <c r="AU36" s="861"/>
      <c r="AV36" s="706"/>
      <c r="AW36" s="706"/>
      <c r="AX36" s="706"/>
      <c r="AY36" s="707"/>
      <c r="AZ36" s="707"/>
      <c r="BA36" s="707"/>
      <c r="BB36" s="707"/>
      <c r="BC36" s="707"/>
      <c r="BD36" s="707"/>
      <c r="BE36" s="707"/>
      <c r="BF36" s="707"/>
      <c r="BG36" s="708"/>
      <c r="BH36" s="708"/>
      <c r="BI36" s="708"/>
      <c r="BJ36" s="708"/>
      <c r="BK36" s="708"/>
      <c r="BL36" s="708"/>
      <c r="BM36" s="708"/>
      <c r="BN36" s="708"/>
      <c r="BO36" s="709"/>
      <c r="BR36" s="709"/>
      <c r="BS36" s="709"/>
      <c r="BT36" s="709"/>
      <c r="BU36" s="711"/>
      <c r="BV36" s="711"/>
      <c r="BW36" s="711"/>
      <c r="BX36" s="711"/>
      <c r="BY36" s="711"/>
      <c r="BZ36" s="711"/>
      <c r="CA36" s="711"/>
      <c r="CB36" s="711"/>
      <c r="CC36" s="711"/>
    </row>
    <row r="37" spans="1:82" s="710" customFormat="1" ht="34.950000000000003" customHeight="1">
      <c r="A37" s="697" t="s">
        <v>1127</v>
      </c>
      <c r="B37" s="701" t="s">
        <v>1128</v>
      </c>
      <c r="C37" s="220">
        <f t="shared" si="31"/>
        <v>25</v>
      </c>
      <c r="D37" s="220">
        <v>2119</v>
      </c>
      <c r="E37" s="235" t="s">
        <v>254</v>
      </c>
      <c r="F37" s="349">
        <v>6000000</v>
      </c>
      <c r="G37" s="349">
        <v>3900000</v>
      </c>
      <c r="H37" s="349">
        <f t="shared" si="20"/>
        <v>2100000</v>
      </c>
      <c r="I37" s="349">
        <v>3900000</v>
      </c>
      <c r="J37" s="349">
        <v>222386</v>
      </c>
      <c r="K37" s="349"/>
      <c r="L37" s="349"/>
      <c r="M37" s="349"/>
      <c r="N37" s="349">
        <f t="shared" si="21"/>
        <v>222386</v>
      </c>
      <c r="O37" s="349">
        <f>3677614+2100000</f>
        <v>5777614</v>
      </c>
      <c r="P37" s="349">
        <f t="shared" si="22"/>
        <v>0</v>
      </c>
      <c r="Q37" s="349">
        <f t="shared" si="23"/>
        <v>3677614</v>
      </c>
      <c r="R37" s="349">
        <f t="shared" si="24"/>
        <v>2100000</v>
      </c>
      <c r="S37" s="349"/>
      <c r="T37" s="349">
        <f t="shared" si="25"/>
        <v>2100000</v>
      </c>
      <c r="U37" s="349">
        <f t="shared" si="26"/>
        <v>2100000</v>
      </c>
      <c r="V37" s="349"/>
      <c r="W37" s="349"/>
      <c r="X37" s="349"/>
      <c r="Y37" s="221" t="s">
        <v>1133</v>
      </c>
      <c r="Z37" s="349"/>
      <c r="AA37" s="349"/>
      <c r="AB37" s="349"/>
      <c r="AC37" s="349"/>
      <c r="AD37" s="349"/>
      <c r="AE37" s="349">
        <v>2100000</v>
      </c>
      <c r="AF37" s="349"/>
      <c r="AG37" s="349"/>
      <c r="AH37" s="349"/>
      <c r="AI37" s="349"/>
      <c r="AJ37" s="349">
        <f t="shared" ref="AJ37:AJ44" si="32">SUM(Z37:AI37)</f>
        <v>2100000</v>
      </c>
      <c r="AK37" s="349">
        <f t="shared" si="28"/>
        <v>0</v>
      </c>
      <c r="AL37" s="349">
        <f t="shared" si="29"/>
        <v>0</v>
      </c>
      <c r="AM37" s="349"/>
      <c r="AN37" s="349"/>
      <c r="AO37" s="861"/>
      <c r="AP37" s="349">
        <f t="shared" si="30"/>
        <v>2100000</v>
      </c>
      <c r="AQ37" s="349"/>
      <c r="AR37" s="349"/>
      <c r="AS37" s="349"/>
      <c r="AT37" s="349"/>
      <c r="AU37" s="861"/>
      <c r="AV37" s="706"/>
      <c r="AW37" s="706"/>
      <c r="AX37" s="706"/>
      <c r="AY37" s="707"/>
      <c r="AZ37" s="707"/>
      <c r="BA37" s="707"/>
      <c r="BB37" s="707"/>
      <c r="BC37" s="707"/>
      <c r="BD37" s="707"/>
      <c r="BE37" s="707"/>
      <c r="BF37" s="707"/>
      <c r="BG37" s="708"/>
      <c r="BH37" s="708"/>
      <c r="BI37" s="708"/>
      <c r="BJ37" s="708"/>
      <c r="BK37" s="708"/>
      <c r="BL37" s="708"/>
      <c r="BM37" s="708"/>
      <c r="BN37" s="708"/>
      <c r="BO37" s="709"/>
      <c r="BR37" s="709"/>
      <c r="BS37" s="709"/>
      <c r="BT37" s="709"/>
      <c r="BU37" s="711"/>
      <c r="BV37" s="711"/>
      <c r="BW37" s="711"/>
      <c r="BX37" s="711"/>
      <c r="BY37" s="711"/>
      <c r="BZ37" s="711"/>
      <c r="CA37" s="711"/>
      <c r="CB37" s="711"/>
      <c r="CC37" s="711"/>
    </row>
    <row r="38" spans="1:82" s="710" customFormat="1" ht="34.950000000000003" customHeight="1">
      <c r="A38" s="697" t="s">
        <v>1127</v>
      </c>
      <c r="B38" s="701" t="s">
        <v>1128</v>
      </c>
      <c r="C38" s="220">
        <f t="shared" si="31"/>
        <v>26</v>
      </c>
      <c r="D38" s="220">
        <v>1670</v>
      </c>
      <c r="E38" s="235" t="s">
        <v>90</v>
      </c>
      <c r="F38" s="349">
        <v>17800000</v>
      </c>
      <c r="G38" s="349">
        <v>17800000</v>
      </c>
      <c r="H38" s="349">
        <f t="shared" si="20"/>
        <v>0</v>
      </c>
      <c r="I38" s="349">
        <v>2550000</v>
      </c>
      <c r="J38" s="349">
        <v>858354</v>
      </c>
      <c r="K38" s="349"/>
      <c r="L38" s="349"/>
      <c r="M38" s="349"/>
      <c r="N38" s="349">
        <f t="shared" si="21"/>
        <v>858354</v>
      </c>
      <c r="O38" s="349">
        <f>1691646+3500000</f>
        <v>5191646</v>
      </c>
      <c r="P38" s="349">
        <f t="shared" si="22"/>
        <v>11750000</v>
      </c>
      <c r="Q38" s="349">
        <f t="shared" si="23"/>
        <v>1691646</v>
      </c>
      <c r="R38" s="349">
        <f t="shared" si="24"/>
        <v>3500000</v>
      </c>
      <c r="S38" s="349"/>
      <c r="T38" s="349">
        <f t="shared" si="25"/>
        <v>3500000</v>
      </c>
      <c r="U38" s="349">
        <f t="shared" si="26"/>
        <v>3500000</v>
      </c>
      <c r="V38" s="349"/>
      <c r="W38" s="349"/>
      <c r="X38" s="349"/>
      <c r="Y38" s="221" t="s">
        <v>1162</v>
      </c>
      <c r="Z38" s="349"/>
      <c r="AA38" s="349"/>
      <c r="AB38" s="349"/>
      <c r="AC38" s="349"/>
      <c r="AD38" s="349"/>
      <c r="AE38" s="349">
        <v>3500000</v>
      </c>
      <c r="AF38" s="349"/>
      <c r="AG38" s="349"/>
      <c r="AH38" s="349"/>
      <c r="AI38" s="349"/>
      <c r="AJ38" s="349">
        <f t="shared" si="32"/>
        <v>3500000</v>
      </c>
      <c r="AK38" s="349">
        <f t="shared" si="28"/>
        <v>0</v>
      </c>
      <c r="AL38" s="349">
        <f t="shared" si="29"/>
        <v>0</v>
      </c>
      <c r="AM38" s="349"/>
      <c r="AN38" s="349"/>
      <c r="AO38" s="861"/>
      <c r="AP38" s="349">
        <f t="shared" si="30"/>
        <v>3500000</v>
      </c>
      <c r="AQ38" s="349"/>
      <c r="AR38" s="349"/>
      <c r="AS38" s="349"/>
      <c r="AT38" s="349"/>
      <c r="AU38" s="861"/>
      <c r="AV38" s="706"/>
      <c r="AW38" s="706"/>
      <c r="AX38" s="706"/>
      <c r="AY38" s="707"/>
      <c r="AZ38" s="707"/>
      <c r="BA38" s="707"/>
      <c r="BB38" s="707"/>
      <c r="BC38" s="707"/>
      <c r="BD38" s="707"/>
      <c r="BE38" s="707"/>
      <c r="BF38" s="707"/>
      <c r="BG38" s="708"/>
      <c r="BH38" s="708"/>
      <c r="BI38" s="708"/>
      <c r="BJ38" s="708"/>
      <c r="BK38" s="708"/>
      <c r="BL38" s="708"/>
      <c r="BM38" s="708"/>
      <c r="BN38" s="708"/>
      <c r="BO38" s="709"/>
      <c r="BR38" s="709"/>
      <c r="BS38" s="709"/>
      <c r="BT38" s="709"/>
      <c r="BU38" s="711"/>
      <c r="BV38" s="711"/>
      <c r="BW38" s="711"/>
      <c r="BX38" s="711"/>
      <c r="BY38" s="711"/>
      <c r="BZ38" s="711"/>
      <c r="CA38" s="711"/>
      <c r="CB38" s="711"/>
      <c r="CC38" s="711"/>
    </row>
    <row r="39" spans="1:82" s="710" customFormat="1" ht="34.950000000000003" customHeight="1">
      <c r="A39" s="697" t="s">
        <v>1127</v>
      </c>
      <c r="B39" s="701" t="s">
        <v>1128</v>
      </c>
      <c r="C39" s="220">
        <f t="shared" si="31"/>
        <v>27</v>
      </c>
      <c r="D39" s="220">
        <v>2064</v>
      </c>
      <c r="E39" s="235" t="s">
        <v>213</v>
      </c>
      <c r="F39" s="349">
        <f>2283705+180000</f>
        <v>2463705</v>
      </c>
      <c r="G39" s="349">
        <v>2283705</v>
      </c>
      <c r="H39" s="349">
        <f t="shared" si="20"/>
        <v>180000</v>
      </c>
      <c r="I39" s="349">
        <v>2283705</v>
      </c>
      <c r="J39" s="349">
        <v>1784739</v>
      </c>
      <c r="K39" s="349"/>
      <c r="L39" s="349"/>
      <c r="M39" s="349"/>
      <c r="N39" s="349">
        <f t="shared" si="21"/>
        <v>1784739</v>
      </c>
      <c r="O39" s="349">
        <f>498966+180000</f>
        <v>678966</v>
      </c>
      <c r="P39" s="349">
        <f t="shared" si="22"/>
        <v>0</v>
      </c>
      <c r="Q39" s="349">
        <f t="shared" si="23"/>
        <v>498966</v>
      </c>
      <c r="R39" s="349">
        <f t="shared" si="24"/>
        <v>180000</v>
      </c>
      <c r="S39" s="349"/>
      <c r="T39" s="349">
        <f t="shared" si="25"/>
        <v>180000</v>
      </c>
      <c r="U39" s="349">
        <f t="shared" si="26"/>
        <v>180000</v>
      </c>
      <c r="V39" s="349"/>
      <c r="W39" s="349"/>
      <c r="X39" s="349"/>
      <c r="Y39" s="221" t="s">
        <v>1133</v>
      </c>
      <c r="Z39" s="349"/>
      <c r="AA39" s="349"/>
      <c r="AB39" s="349"/>
      <c r="AC39" s="349"/>
      <c r="AD39" s="349"/>
      <c r="AE39" s="349">
        <v>180000</v>
      </c>
      <c r="AF39" s="349"/>
      <c r="AG39" s="349"/>
      <c r="AH39" s="349"/>
      <c r="AI39" s="349"/>
      <c r="AJ39" s="349">
        <f t="shared" si="32"/>
        <v>180000</v>
      </c>
      <c r="AK39" s="349">
        <f t="shared" si="28"/>
        <v>0</v>
      </c>
      <c r="AL39" s="349">
        <f t="shared" si="29"/>
        <v>0</v>
      </c>
      <c r="AM39" s="349"/>
      <c r="AN39" s="349"/>
      <c r="AO39" s="861"/>
      <c r="AP39" s="349">
        <f t="shared" si="30"/>
        <v>180000</v>
      </c>
      <c r="AQ39" s="349"/>
      <c r="AR39" s="349"/>
      <c r="AS39" s="349"/>
      <c r="AT39" s="349"/>
      <c r="AU39" s="861"/>
      <c r="AV39" s="706"/>
      <c r="AW39" s="706"/>
      <c r="AX39" s="706"/>
      <c r="AY39" s="707"/>
      <c r="AZ39" s="707"/>
      <c r="BA39" s="707"/>
      <c r="BB39" s="707"/>
      <c r="BC39" s="707"/>
      <c r="BD39" s="707"/>
      <c r="BE39" s="707"/>
      <c r="BF39" s="707"/>
      <c r="BG39" s="708"/>
      <c r="BH39" s="708"/>
      <c r="BI39" s="708"/>
      <c r="BJ39" s="708"/>
      <c r="BK39" s="708"/>
      <c r="BL39" s="708"/>
      <c r="BM39" s="708"/>
      <c r="BN39" s="708"/>
      <c r="BO39" s="709"/>
      <c r="BR39" s="709"/>
      <c r="BS39" s="709"/>
      <c r="BT39" s="709"/>
      <c r="BU39" s="711"/>
      <c r="BV39" s="711"/>
      <c r="BW39" s="711"/>
      <c r="BX39" s="711"/>
      <c r="BY39" s="711"/>
      <c r="BZ39" s="711"/>
      <c r="CA39" s="711"/>
      <c r="CB39" s="711"/>
      <c r="CC39" s="711"/>
    </row>
    <row r="40" spans="1:82" s="710" customFormat="1" ht="34.950000000000003" customHeight="1">
      <c r="A40" s="697" t="s">
        <v>1127</v>
      </c>
      <c r="B40" s="701" t="s">
        <v>1128</v>
      </c>
      <c r="C40" s="220">
        <f t="shared" si="31"/>
        <v>28</v>
      </c>
      <c r="D40" s="220">
        <v>2232</v>
      </c>
      <c r="E40" s="235" t="s">
        <v>578</v>
      </c>
      <c r="F40" s="349">
        <v>17200000</v>
      </c>
      <c r="G40" s="349">
        <v>17200000</v>
      </c>
      <c r="H40" s="349">
        <f t="shared" si="20"/>
        <v>0</v>
      </c>
      <c r="I40" s="349">
        <v>500000</v>
      </c>
      <c r="J40" s="349">
        <v>496205</v>
      </c>
      <c r="K40" s="349"/>
      <c r="L40" s="349"/>
      <c r="M40" s="349"/>
      <c r="N40" s="349">
        <f t="shared" si="21"/>
        <v>496205</v>
      </c>
      <c r="O40" s="349">
        <f>3795+100000+200000</f>
        <v>303795</v>
      </c>
      <c r="P40" s="349">
        <f t="shared" si="22"/>
        <v>16400000</v>
      </c>
      <c r="Q40" s="349">
        <f t="shared" si="23"/>
        <v>3795</v>
      </c>
      <c r="R40" s="349">
        <f t="shared" si="24"/>
        <v>300000</v>
      </c>
      <c r="S40" s="349">
        <v>100000</v>
      </c>
      <c r="T40" s="349">
        <f t="shared" si="25"/>
        <v>200000</v>
      </c>
      <c r="U40" s="349">
        <f t="shared" si="26"/>
        <v>200000</v>
      </c>
      <c r="V40" s="349"/>
      <c r="W40" s="349"/>
      <c r="X40" s="349"/>
      <c r="Y40" s="221" t="s">
        <v>1130</v>
      </c>
      <c r="Z40" s="349"/>
      <c r="AA40" s="349"/>
      <c r="AB40" s="349"/>
      <c r="AC40" s="349"/>
      <c r="AD40" s="349"/>
      <c r="AE40" s="349">
        <v>200000</v>
      </c>
      <c r="AF40" s="349"/>
      <c r="AG40" s="349"/>
      <c r="AH40" s="349"/>
      <c r="AI40" s="349"/>
      <c r="AJ40" s="349">
        <f t="shared" si="32"/>
        <v>200000</v>
      </c>
      <c r="AK40" s="349">
        <f t="shared" si="28"/>
        <v>0</v>
      </c>
      <c r="AL40" s="349">
        <f t="shared" si="29"/>
        <v>0</v>
      </c>
      <c r="AM40" s="349"/>
      <c r="AN40" s="349"/>
      <c r="AO40" s="861"/>
      <c r="AP40" s="349">
        <f t="shared" si="30"/>
        <v>200000</v>
      </c>
      <c r="AQ40" s="349"/>
      <c r="AR40" s="349"/>
      <c r="AS40" s="349"/>
      <c r="AT40" s="349"/>
      <c r="AU40" s="861"/>
      <c r="AV40" s="706"/>
      <c r="AW40" s="706"/>
      <c r="AX40" s="706"/>
      <c r="AY40" s="707"/>
      <c r="AZ40" s="707"/>
      <c r="BA40" s="707"/>
      <c r="BB40" s="707"/>
      <c r="BC40" s="707"/>
      <c r="BD40" s="707"/>
      <c r="BE40" s="707"/>
      <c r="BF40" s="707"/>
      <c r="BG40" s="708"/>
      <c r="BH40" s="708"/>
      <c r="BI40" s="708"/>
      <c r="BJ40" s="708"/>
      <c r="BK40" s="708"/>
      <c r="BL40" s="708"/>
      <c r="BM40" s="708"/>
      <c r="BN40" s="708"/>
      <c r="BO40" s="709"/>
      <c r="BR40" s="709"/>
      <c r="BS40" s="709"/>
      <c r="BT40" s="709"/>
      <c r="BU40" s="711"/>
      <c r="BV40" s="711"/>
      <c r="BW40" s="711"/>
      <c r="BX40" s="711"/>
      <c r="BY40" s="711"/>
      <c r="BZ40" s="711"/>
      <c r="CA40" s="711"/>
      <c r="CB40" s="711"/>
      <c r="CC40" s="711"/>
    </row>
    <row r="41" spans="1:82" s="710" customFormat="1" ht="34.950000000000003" customHeight="1">
      <c r="A41" s="697" t="s">
        <v>1127</v>
      </c>
      <c r="B41" s="701" t="s">
        <v>1128</v>
      </c>
      <c r="C41" s="220">
        <f t="shared" si="31"/>
        <v>29</v>
      </c>
      <c r="D41" s="220">
        <v>2233</v>
      </c>
      <c r="E41" s="235" t="s">
        <v>579</v>
      </c>
      <c r="F41" s="349">
        <v>20250000</v>
      </c>
      <c r="G41" s="349">
        <v>20250000</v>
      </c>
      <c r="H41" s="349">
        <f t="shared" si="20"/>
        <v>0</v>
      </c>
      <c r="I41" s="349">
        <v>500000</v>
      </c>
      <c r="J41" s="349">
        <v>489024</v>
      </c>
      <c r="K41" s="349"/>
      <c r="L41" s="349"/>
      <c r="M41" s="349"/>
      <c r="N41" s="349">
        <f t="shared" si="21"/>
        <v>489024</v>
      </c>
      <c r="O41" s="349">
        <f>10976+300000</f>
        <v>310976</v>
      </c>
      <c r="P41" s="349">
        <f t="shared" si="22"/>
        <v>19450000</v>
      </c>
      <c r="Q41" s="349">
        <f t="shared" si="23"/>
        <v>10976</v>
      </c>
      <c r="R41" s="349">
        <f t="shared" si="24"/>
        <v>300000</v>
      </c>
      <c r="S41" s="349"/>
      <c r="T41" s="349">
        <f t="shared" si="25"/>
        <v>300000</v>
      </c>
      <c r="U41" s="349">
        <f t="shared" si="26"/>
        <v>300000</v>
      </c>
      <c r="V41" s="349"/>
      <c r="W41" s="349"/>
      <c r="X41" s="349"/>
      <c r="Y41" s="221" t="s">
        <v>1130</v>
      </c>
      <c r="Z41" s="349"/>
      <c r="AA41" s="349"/>
      <c r="AB41" s="349"/>
      <c r="AC41" s="349"/>
      <c r="AD41" s="349"/>
      <c r="AE41" s="349">
        <v>300000</v>
      </c>
      <c r="AF41" s="349"/>
      <c r="AG41" s="349"/>
      <c r="AH41" s="349"/>
      <c r="AI41" s="349"/>
      <c r="AJ41" s="349">
        <f t="shared" si="32"/>
        <v>300000</v>
      </c>
      <c r="AK41" s="349">
        <f t="shared" si="28"/>
        <v>0</v>
      </c>
      <c r="AL41" s="349">
        <f t="shared" si="29"/>
        <v>0</v>
      </c>
      <c r="AM41" s="349"/>
      <c r="AN41" s="349"/>
      <c r="AO41" s="861"/>
      <c r="AP41" s="349">
        <f t="shared" si="30"/>
        <v>300000</v>
      </c>
      <c r="AQ41" s="349"/>
      <c r="AR41" s="349"/>
      <c r="AS41" s="349"/>
      <c r="AT41" s="349"/>
      <c r="AU41" s="861"/>
      <c r="AV41" s="706"/>
      <c r="AW41" s="706"/>
      <c r="AX41" s="706"/>
      <c r="AY41" s="707"/>
      <c r="AZ41" s="707"/>
      <c r="BA41" s="707"/>
      <c r="BB41" s="707"/>
      <c r="BC41" s="707"/>
      <c r="BD41" s="707"/>
      <c r="BE41" s="707"/>
      <c r="BF41" s="707"/>
      <c r="BG41" s="708"/>
      <c r="BH41" s="708"/>
      <c r="BI41" s="708"/>
      <c r="BJ41" s="708"/>
      <c r="BK41" s="708"/>
      <c r="BL41" s="708"/>
      <c r="BM41" s="708"/>
      <c r="BN41" s="708"/>
      <c r="BO41" s="709"/>
      <c r="BR41" s="709"/>
      <c r="BS41" s="709"/>
      <c r="BT41" s="709"/>
      <c r="BU41" s="711"/>
      <c r="BV41" s="711"/>
      <c r="BW41" s="711"/>
      <c r="BX41" s="711"/>
      <c r="BY41" s="711"/>
      <c r="BZ41" s="711"/>
      <c r="CA41" s="711"/>
      <c r="CB41" s="711"/>
      <c r="CC41" s="711"/>
    </row>
    <row r="42" spans="1:82" s="710" customFormat="1" ht="34.950000000000003" customHeight="1">
      <c r="A42" s="697" t="s">
        <v>1127</v>
      </c>
      <c r="B42" s="701" t="s">
        <v>1128</v>
      </c>
      <c r="C42" s="220">
        <f t="shared" si="31"/>
        <v>30</v>
      </c>
      <c r="D42" s="220">
        <v>1207</v>
      </c>
      <c r="E42" s="235" t="s">
        <v>71</v>
      </c>
      <c r="F42" s="349">
        <v>45650000</v>
      </c>
      <c r="G42" s="349">
        <v>45650000</v>
      </c>
      <c r="H42" s="349">
        <f t="shared" si="20"/>
        <v>0</v>
      </c>
      <c r="I42" s="349">
        <v>45650000</v>
      </c>
      <c r="J42" s="349">
        <v>43349903</v>
      </c>
      <c r="K42" s="349"/>
      <c r="L42" s="349"/>
      <c r="M42" s="349"/>
      <c r="N42" s="349">
        <f t="shared" si="21"/>
        <v>43349903</v>
      </c>
      <c r="O42" s="349">
        <f>2300097-680000</f>
        <v>1620097</v>
      </c>
      <c r="P42" s="349">
        <f t="shared" si="22"/>
        <v>680000</v>
      </c>
      <c r="Q42" s="349">
        <f t="shared" si="23"/>
        <v>2300097</v>
      </c>
      <c r="R42" s="349">
        <f t="shared" si="24"/>
        <v>-680000</v>
      </c>
      <c r="S42" s="349"/>
      <c r="T42" s="349">
        <f t="shared" si="25"/>
        <v>-680000</v>
      </c>
      <c r="U42" s="349">
        <f t="shared" si="26"/>
        <v>-680000</v>
      </c>
      <c r="V42" s="349"/>
      <c r="W42" s="349"/>
      <c r="X42" s="349"/>
      <c r="Y42" s="221" t="s">
        <v>1140</v>
      </c>
      <c r="Z42" s="349"/>
      <c r="AA42" s="349"/>
      <c r="AB42" s="349"/>
      <c r="AC42" s="349"/>
      <c r="AD42" s="349"/>
      <c r="AE42" s="349">
        <v>-680000</v>
      </c>
      <c r="AF42" s="349"/>
      <c r="AG42" s="349"/>
      <c r="AH42" s="349"/>
      <c r="AI42" s="349"/>
      <c r="AJ42" s="349">
        <f t="shared" si="32"/>
        <v>-680000</v>
      </c>
      <c r="AK42" s="349">
        <f t="shared" si="28"/>
        <v>0</v>
      </c>
      <c r="AL42" s="349">
        <f t="shared" si="29"/>
        <v>0</v>
      </c>
      <c r="AM42" s="349"/>
      <c r="AN42" s="349"/>
      <c r="AO42" s="861"/>
      <c r="AP42" s="349">
        <f t="shared" si="30"/>
        <v>-680000</v>
      </c>
      <c r="AQ42" s="349"/>
      <c r="AR42" s="349"/>
      <c r="AS42" s="349"/>
      <c r="AT42" s="349"/>
      <c r="AU42" s="349"/>
      <c r="AV42" s="706"/>
      <c r="AW42" s="706"/>
      <c r="AX42" s="706"/>
      <c r="AY42" s="707"/>
      <c r="AZ42" s="707"/>
      <c r="BA42" s="707"/>
      <c r="BB42" s="707"/>
      <c r="BC42" s="707"/>
      <c r="BD42" s="707"/>
      <c r="BE42" s="707"/>
      <c r="BF42" s="707"/>
      <c r="BG42" s="708"/>
      <c r="BH42" s="708"/>
      <c r="BI42" s="708"/>
      <c r="BJ42" s="708"/>
      <c r="BK42" s="708"/>
      <c r="BL42" s="708"/>
      <c r="BM42" s="708"/>
      <c r="BN42" s="708"/>
      <c r="BO42" s="709"/>
      <c r="BR42" s="709"/>
      <c r="BS42" s="709"/>
      <c r="BT42" s="709"/>
      <c r="BU42" s="711"/>
      <c r="BV42" s="711"/>
      <c r="BW42" s="711"/>
      <c r="BX42" s="711"/>
      <c r="BY42" s="711"/>
      <c r="BZ42" s="711"/>
      <c r="CA42" s="711"/>
      <c r="CB42" s="711"/>
      <c r="CC42" s="711"/>
    </row>
    <row r="43" spans="1:82" s="710" customFormat="1" ht="34.950000000000003" customHeight="1">
      <c r="A43" s="697" t="s">
        <v>1127</v>
      </c>
      <c r="B43" s="701" t="s">
        <v>1128</v>
      </c>
      <c r="C43" s="220">
        <f t="shared" si="31"/>
        <v>31</v>
      </c>
      <c r="D43" s="220">
        <v>2024</v>
      </c>
      <c r="E43" s="235" t="s">
        <v>260</v>
      </c>
      <c r="F43" s="349">
        <v>16300000</v>
      </c>
      <c r="G43" s="349">
        <v>16300000</v>
      </c>
      <c r="H43" s="349">
        <f t="shared" si="20"/>
        <v>0</v>
      </c>
      <c r="I43" s="349">
        <v>16300000</v>
      </c>
      <c r="J43" s="349">
        <v>8548070</v>
      </c>
      <c r="K43" s="349"/>
      <c r="L43" s="349"/>
      <c r="M43" s="349"/>
      <c r="N43" s="349">
        <f t="shared" si="21"/>
        <v>8548070</v>
      </c>
      <c r="O43" s="349">
        <v>7751930</v>
      </c>
      <c r="P43" s="349">
        <f t="shared" si="22"/>
        <v>0</v>
      </c>
      <c r="Q43" s="349">
        <f t="shared" si="23"/>
        <v>7751930</v>
      </c>
      <c r="R43" s="349">
        <f t="shared" si="24"/>
        <v>0</v>
      </c>
      <c r="S43" s="349"/>
      <c r="T43" s="349">
        <f t="shared" si="25"/>
        <v>0</v>
      </c>
      <c r="U43" s="349">
        <f t="shared" si="26"/>
        <v>-2545224</v>
      </c>
      <c r="V43" s="349"/>
      <c r="W43" s="349"/>
      <c r="X43" s="349">
        <v>2545224</v>
      </c>
      <c r="Y43" s="221" t="s">
        <v>1163</v>
      </c>
      <c r="Z43" s="349"/>
      <c r="AA43" s="349"/>
      <c r="AB43" s="349"/>
      <c r="AC43" s="349"/>
      <c r="AD43" s="349"/>
      <c r="AE43" s="860"/>
      <c r="AF43" s="349">
        <f>SUM(Y43:AA43)</f>
        <v>0</v>
      </c>
      <c r="AG43" s="349">
        <f>SUM(Y43:AA43)</f>
        <v>0</v>
      </c>
      <c r="AH43" s="349">
        <f>SUM(Y43:AA43)</f>
        <v>0</v>
      </c>
      <c r="AI43" s="349">
        <f>SUM(Z43:AB43)</f>
        <v>0</v>
      </c>
      <c r="AJ43" s="349">
        <f t="shared" si="32"/>
        <v>0</v>
      </c>
      <c r="AK43" s="349">
        <f t="shared" si="28"/>
        <v>0</v>
      </c>
      <c r="AL43" s="349">
        <f t="shared" si="29"/>
        <v>0</v>
      </c>
      <c r="AM43" s="349"/>
      <c r="AN43" s="349"/>
      <c r="AO43" s="349"/>
      <c r="AP43" s="349">
        <f t="shared" si="30"/>
        <v>-2545224</v>
      </c>
      <c r="AQ43" s="349"/>
      <c r="AR43" s="349"/>
      <c r="AS43" s="349"/>
      <c r="AT43" s="349"/>
      <c r="AU43" s="349">
        <v>2545224</v>
      </c>
      <c r="AV43" s="706"/>
      <c r="AW43" s="706"/>
      <c r="AX43" s="706"/>
      <c r="AY43" s="707"/>
      <c r="AZ43" s="707"/>
      <c r="BA43" s="707"/>
      <c r="BB43" s="707"/>
      <c r="BC43" s="707"/>
      <c r="BD43" s="707"/>
      <c r="BE43" s="707"/>
      <c r="BF43" s="707"/>
      <c r="BG43" s="708"/>
      <c r="BH43" s="708"/>
      <c r="BI43" s="708"/>
      <c r="BJ43" s="708"/>
      <c r="BK43" s="708"/>
      <c r="BL43" s="708"/>
      <c r="BM43" s="708"/>
      <c r="BN43" s="708"/>
      <c r="BO43" s="709"/>
      <c r="BR43" s="709"/>
      <c r="BS43" s="709"/>
      <c r="BT43" s="709"/>
      <c r="BU43" s="711"/>
      <c r="BV43" s="711"/>
      <c r="BW43" s="711"/>
      <c r="BX43" s="711"/>
      <c r="BY43" s="711"/>
      <c r="BZ43" s="711"/>
      <c r="CA43" s="711"/>
      <c r="CB43" s="711"/>
      <c r="CC43" s="711"/>
    </row>
    <row r="44" spans="1:82" s="395" customFormat="1" ht="34.950000000000003" customHeight="1">
      <c r="A44" s="697" t="s">
        <v>1127</v>
      </c>
      <c r="B44" s="701" t="s">
        <v>1128</v>
      </c>
      <c r="C44" s="220">
        <f t="shared" si="31"/>
        <v>32</v>
      </c>
      <c r="D44" s="220">
        <v>20097</v>
      </c>
      <c r="E44" s="235" t="s">
        <v>1164</v>
      </c>
      <c r="F44" s="349">
        <v>1000000</v>
      </c>
      <c r="G44" s="349"/>
      <c r="H44" s="349">
        <f t="shared" si="20"/>
        <v>1000000</v>
      </c>
      <c r="I44" s="349"/>
      <c r="J44" s="349"/>
      <c r="K44" s="349"/>
      <c r="L44" s="349"/>
      <c r="M44" s="349">
        <f>SUM(K44:L44)</f>
        <v>0</v>
      </c>
      <c r="N44" s="349">
        <f t="shared" si="21"/>
        <v>0</v>
      </c>
      <c r="O44" s="349">
        <v>1000000</v>
      </c>
      <c r="P44" s="349">
        <f t="shared" si="22"/>
        <v>0</v>
      </c>
      <c r="Q44" s="349">
        <f t="shared" si="23"/>
        <v>0</v>
      </c>
      <c r="R44" s="349">
        <f t="shared" si="24"/>
        <v>1000000</v>
      </c>
      <c r="S44" s="349"/>
      <c r="T44" s="349">
        <f t="shared" si="25"/>
        <v>1000000</v>
      </c>
      <c r="U44" s="349">
        <f t="shared" si="26"/>
        <v>0</v>
      </c>
      <c r="V44" s="349"/>
      <c r="W44" s="349"/>
      <c r="X44" s="349">
        <v>1000000</v>
      </c>
      <c r="Y44" s="221" t="s">
        <v>1165</v>
      </c>
      <c r="Z44" s="349"/>
      <c r="AA44" s="349"/>
      <c r="AB44" s="349"/>
      <c r="AC44" s="349">
        <f>SUM(Y44:AA44)</f>
        <v>0</v>
      </c>
      <c r="AD44" s="349">
        <f>SUM(Y44:AA44)</f>
        <v>0</v>
      </c>
      <c r="AE44" s="349">
        <f>SUM(Y44:AA44)</f>
        <v>0</v>
      </c>
      <c r="AF44" s="349">
        <f>SUM(Y44:AA44)</f>
        <v>0</v>
      </c>
      <c r="AG44" s="349">
        <f>SUM(Y44:AA44)</f>
        <v>0</v>
      </c>
      <c r="AH44" s="349">
        <f>SUM(Y44:AA44)</f>
        <v>0</v>
      </c>
      <c r="AI44" s="349">
        <f>SUM(Z44:AB44)</f>
        <v>0</v>
      </c>
      <c r="AJ44" s="349">
        <f t="shared" si="32"/>
        <v>0</v>
      </c>
      <c r="AK44" s="349">
        <f t="shared" si="28"/>
        <v>1000000</v>
      </c>
      <c r="AL44" s="349">
        <f t="shared" si="29"/>
        <v>0</v>
      </c>
      <c r="AM44" s="349"/>
      <c r="AN44" s="349"/>
      <c r="AO44" s="349"/>
      <c r="AP44" s="349">
        <f t="shared" si="30"/>
        <v>0</v>
      </c>
      <c r="AQ44" s="349"/>
      <c r="AR44" s="349"/>
      <c r="AS44" s="349"/>
      <c r="AT44" s="349"/>
      <c r="AU44" s="349"/>
      <c r="AV44" s="690"/>
      <c r="AW44" s="690"/>
      <c r="AX44" s="690"/>
      <c r="AY44" s="319"/>
      <c r="AZ44" s="319"/>
      <c r="BA44" s="319"/>
      <c r="BB44" s="319"/>
      <c r="BC44" s="319"/>
      <c r="BD44" s="319"/>
      <c r="BE44" s="319"/>
      <c r="BF44" s="319"/>
      <c r="BG44" s="394"/>
      <c r="BH44" s="394"/>
      <c r="BI44" s="394"/>
      <c r="BJ44" s="394"/>
      <c r="BK44" s="394"/>
      <c r="BL44" s="394"/>
      <c r="BM44" s="394"/>
      <c r="BN44" s="394"/>
      <c r="BO44" s="122"/>
      <c r="BR44" s="122"/>
      <c r="BS44" s="122"/>
      <c r="BT44" s="122"/>
      <c r="BU44" s="699"/>
      <c r="BV44" s="699"/>
      <c r="BW44" s="699"/>
      <c r="BX44" s="699"/>
      <c r="BY44" s="699"/>
      <c r="BZ44" s="699"/>
      <c r="CA44" s="699"/>
      <c r="CB44" s="699"/>
      <c r="CC44" s="699"/>
    </row>
    <row r="45" spans="1:82" s="710" customFormat="1" ht="34.950000000000003" customHeight="1">
      <c r="A45" s="697" t="s">
        <v>1134</v>
      </c>
      <c r="B45" s="701" t="s">
        <v>1135</v>
      </c>
      <c r="C45" s="220">
        <f t="shared" si="31"/>
        <v>33</v>
      </c>
      <c r="D45" s="220">
        <v>1657</v>
      </c>
      <c r="E45" s="235" t="s">
        <v>26</v>
      </c>
      <c r="F45" s="349">
        <v>60000000</v>
      </c>
      <c r="G45" s="349">
        <v>60000000</v>
      </c>
      <c r="H45" s="349">
        <f t="shared" si="20"/>
        <v>0</v>
      </c>
      <c r="I45" s="349">
        <v>38200000</v>
      </c>
      <c r="J45" s="349">
        <v>28172779</v>
      </c>
      <c r="K45" s="349"/>
      <c r="L45" s="349"/>
      <c r="M45" s="349"/>
      <c r="N45" s="349">
        <f t="shared" si="21"/>
        <v>28172779</v>
      </c>
      <c r="O45" s="349">
        <f>10027221+18000000-1680211</f>
        <v>26347010</v>
      </c>
      <c r="P45" s="349">
        <f t="shared" si="22"/>
        <v>5480211</v>
      </c>
      <c r="Q45" s="349">
        <f t="shared" si="23"/>
        <v>10027221</v>
      </c>
      <c r="R45" s="349">
        <f t="shared" si="24"/>
        <v>16319789</v>
      </c>
      <c r="S45" s="349">
        <v>18000000</v>
      </c>
      <c r="T45" s="349">
        <f t="shared" si="25"/>
        <v>-1680211</v>
      </c>
      <c r="U45" s="349">
        <f t="shared" si="26"/>
        <v>0</v>
      </c>
      <c r="V45" s="349"/>
      <c r="W45" s="349"/>
      <c r="X45" s="349">
        <v>-1680211</v>
      </c>
      <c r="Y45" s="221" t="s">
        <v>1166</v>
      </c>
      <c r="Z45" s="349"/>
      <c r="AA45" s="349"/>
      <c r="AB45" s="349"/>
      <c r="AC45" s="349"/>
      <c r="AD45" s="349"/>
      <c r="AE45" s="851"/>
      <c r="AF45" s="851"/>
      <c r="AG45" s="349">
        <v>-1680211</v>
      </c>
      <c r="AH45" s="349"/>
      <c r="AI45" s="349"/>
      <c r="AJ45" s="349">
        <f t="shared" ref="AJ45:AJ50" si="33">SUM(Z45:AI45)</f>
        <v>-1680211</v>
      </c>
      <c r="AK45" s="349">
        <f t="shared" si="28"/>
        <v>0</v>
      </c>
      <c r="AL45" s="349">
        <f t="shared" si="29"/>
        <v>0</v>
      </c>
      <c r="AM45" s="349"/>
      <c r="AN45" s="349"/>
      <c r="AO45" s="349"/>
      <c r="AP45" s="349">
        <f t="shared" si="30"/>
        <v>0</v>
      </c>
      <c r="AQ45" s="854"/>
      <c r="AR45" s="349"/>
      <c r="AS45" s="349"/>
      <c r="AT45" s="349"/>
      <c r="AU45" s="349">
        <v>-1680211</v>
      </c>
      <c r="AV45" s="707"/>
      <c r="AW45" s="707"/>
      <c r="AX45" s="707"/>
      <c r="AY45" s="707"/>
      <c r="AZ45" s="707"/>
      <c r="BA45" s="707"/>
      <c r="BB45" s="708"/>
      <c r="BC45" s="708"/>
      <c r="BD45" s="708"/>
      <c r="BE45" s="708"/>
      <c r="BF45" s="708"/>
      <c r="BG45" s="708"/>
      <c r="BH45" s="708"/>
      <c r="BI45" s="708"/>
      <c r="BJ45" s="709"/>
      <c r="BM45" s="709"/>
      <c r="BN45" s="709"/>
      <c r="BO45" s="709"/>
      <c r="BP45" s="711"/>
      <c r="BQ45" s="711"/>
      <c r="BR45" s="711"/>
      <c r="BS45" s="711"/>
      <c r="BT45" s="711"/>
      <c r="BU45" s="711"/>
      <c r="BV45" s="711"/>
      <c r="BW45" s="711"/>
      <c r="BX45" s="711"/>
    </row>
    <row r="46" spans="1:82" s="710" customFormat="1" ht="34.950000000000003" customHeight="1">
      <c r="A46" s="697" t="s">
        <v>1134</v>
      </c>
      <c r="B46" s="701" t="s">
        <v>1135</v>
      </c>
      <c r="C46" s="220">
        <f t="shared" si="31"/>
        <v>34</v>
      </c>
      <c r="D46" s="220">
        <v>1819</v>
      </c>
      <c r="E46" s="235" t="s">
        <v>365</v>
      </c>
      <c r="F46" s="349">
        <f>18000000-455000</f>
        <v>17545000</v>
      </c>
      <c r="G46" s="349">
        <v>18000000</v>
      </c>
      <c r="H46" s="349">
        <f t="shared" si="20"/>
        <v>-455000</v>
      </c>
      <c r="I46" s="349">
        <v>18000000</v>
      </c>
      <c r="J46" s="349">
        <v>14874858</v>
      </c>
      <c r="K46" s="349"/>
      <c r="L46" s="349"/>
      <c r="M46" s="349"/>
      <c r="N46" s="349">
        <f t="shared" si="21"/>
        <v>14874858</v>
      </c>
      <c r="O46" s="349">
        <f>3125142-455000</f>
        <v>2670142</v>
      </c>
      <c r="P46" s="349">
        <f t="shared" si="22"/>
        <v>0</v>
      </c>
      <c r="Q46" s="349">
        <f t="shared" si="23"/>
        <v>3125142</v>
      </c>
      <c r="R46" s="349">
        <f t="shared" si="24"/>
        <v>-455000</v>
      </c>
      <c r="S46" s="349"/>
      <c r="T46" s="349">
        <f t="shared" si="25"/>
        <v>-455000</v>
      </c>
      <c r="U46" s="349">
        <f t="shared" si="26"/>
        <v>0</v>
      </c>
      <c r="V46" s="349"/>
      <c r="W46" s="349"/>
      <c r="X46" s="349">
        <v>-455000</v>
      </c>
      <c r="Y46" s="221" t="s">
        <v>1167</v>
      </c>
      <c r="Z46" s="349"/>
      <c r="AA46" s="349"/>
      <c r="AB46" s="349"/>
      <c r="AC46" s="349"/>
      <c r="AD46" s="349"/>
      <c r="AE46" s="851"/>
      <c r="AF46" s="851"/>
      <c r="AG46" s="349">
        <v>-455000</v>
      </c>
      <c r="AH46" s="349"/>
      <c r="AI46" s="349"/>
      <c r="AJ46" s="349">
        <f t="shared" si="33"/>
        <v>-455000</v>
      </c>
      <c r="AK46" s="349">
        <f t="shared" si="28"/>
        <v>0</v>
      </c>
      <c r="AL46" s="349">
        <f t="shared" si="29"/>
        <v>0</v>
      </c>
      <c r="AM46" s="349"/>
      <c r="AN46" s="349"/>
      <c r="AO46" s="349"/>
      <c r="AP46" s="349">
        <f t="shared" si="30"/>
        <v>0</v>
      </c>
      <c r="AQ46" s="854"/>
      <c r="AR46" s="349"/>
      <c r="AS46" s="349"/>
      <c r="AT46" s="349"/>
      <c r="AU46" s="349">
        <v>-455000</v>
      </c>
      <c r="AV46" s="707"/>
      <c r="AW46" s="707"/>
      <c r="AX46" s="707"/>
      <c r="AY46" s="707"/>
      <c r="AZ46" s="707"/>
      <c r="BA46" s="707"/>
      <c r="BB46" s="708"/>
      <c r="BC46" s="708"/>
      <c r="BD46" s="708"/>
      <c r="BE46" s="708"/>
      <c r="BF46" s="708"/>
      <c r="BG46" s="708"/>
      <c r="BH46" s="708"/>
      <c r="BI46" s="708"/>
      <c r="BJ46" s="709"/>
      <c r="BM46" s="709"/>
      <c r="BN46" s="709"/>
      <c r="BO46" s="709"/>
      <c r="BP46" s="711"/>
      <c r="BQ46" s="711"/>
      <c r="BR46" s="711"/>
      <c r="BS46" s="711"/>
      <c r="BT46" s="711"/>
      <c r="BU46" s="711"/>
      <c r="BV46" s="711"/>
      <c r="BW46" s="711"/>
      <c r="BX46" s="711"/>
    </row>
    <row r="47" spans="1:82" s="710" customFormat="1" ht="34.950000000000003" customHeight="1">
      <c r="A47" s="697" t="s">
        <v>1134</v>
      </c>
      <c r="B47" s="701" t="s">
        <v>1135</v>
      </c>
      <c r="C47" s="220">
        <f t="shared" si="31"/>
        <v>35</v>
      </c>
      <c r="D47" s="220">
        <v>2202</v>
      </c>
      <c r="E47" s="235" t="s">
        <v>477</v>
      </c>
      <c r="F47" s="349">
        <v>49000000</v>
      </c>
      <c r="G47" s="349">
        <v>49000000</v>
      </c>
      <c r="H47" s="349">
        <f t="shared" si="20"/>
        <v>0</v>
      </c>
      <c r="I47" s="349">
        <v>1000000</v>
      </c>
      <c r="J47" s="349">
        <v>814155</v>
      </c>
      <c r="K47" s="349"/>
      <c r="L47" s="349"/>
      <c r="M47" s="349"/>
      <c r="N47" s="349">
        <f t="shared" si="21"/>
        <v>814155</v>
      </c>
      <c r="O47" s="349">
        <f>185845+200000</f>
        <v>385845</v>
      </c>
      <c r="P47" s="349">
        <f t="shared" si="22"/>
        <v>47800000</v>
      </c>
      <c r="Q47" s="349">
        <f t="shared" si="23"/>
        <v>185845</v>
      </c>
      <c r="R47" s="349">
        <f t="shared" si="24"/>
        <v>200000</v>
      </c>
      <c r="S47" s="349"/>
      <c r="T47" s="349">
        <f t="shared" si="25"/>
        <v>200000</v>
      </c>
      <c r="U47" s="349">
        <f t="shared" si="26"/>
        <v>200000</v>
      </c>
      <c r="V47" s="349"/>
      <c r="W47" s="349"/>
      <c r="X47" s="349"/>
      <c r="Y47" s="221" t="s">
        <v>1130</v>
      </c>
      <c r="Z47" s="349"/>
      <c r="AA47" s="349"/>
      <c r="AB47" s="349"/>
      <c r="AC47" s="349"/>
      <c r="AD47" s="349"/>
      <c r="AE47" s="851"/>
      <c r="AF47" s="851"/>
      <c r="AG47" s="349">
        <v>200000</v>
      </c>
      <c r="AH47" s="349"/>
      <c r="AI47" s="349"/>
      <c r="AJ47" s="349">
        <f t="shared" si="33"/>
        <v>200000</v>
      </c>
      <c r="AK47" s="349">
        <f t="shared" si="28"/>
        <v>0</v>
      </c>
      <c r="AL47" s="349">
        <f t="shared" si="29"/>
        <v>0</v>
      </c>
      <c r="AM47" s="349"/>
      <c r="AN47" s="349"/>
      <c r="AO47" s="349"/>
      <c r="AP47" s="349">
        <f t="shared" si="30"/>
        <v>200000</v>
      </c>
      <c r="AQ47" s="854"/>
      <c r="AR47" s="349"/>
      <c r="AS47" s="349"/>
      <c r="AT47" s="349"/>
      <c r="AU47" s="854"/>
      <c r="AV47" s="707"/>
      <c r="AW47" s="707"/>
      <c r="AX47" s="707"/>
      <c r="AY47" s="707"/>
      <c r="AZ47" s="707"/>
      <c r="BA47" s="707"/>
      <c r="BB47" s="708"/>
      <c r="BC47" s="708"/>
      <c r="BD47" s="708"/>
      <c r="BE47" s="708"/>
      <c r="BF47" s="708"/>
      <c r="BG47" s="708"/>
      <c r="BH47" s="708"/>
      <c r="BI47" s="708"/>
      <c r="BJ47" s="709"/>
      <c r="BM47" s="709"/>
      <c r="BN47" s="709"/>
      <c r="BO47" s="709"/>
      <c r="BP47" s="711"/>
      <c r="BQ47" s="711"/>
      <c r="BR47" s="711"/>
      <c r="BS47" s="711"/>
      <c r="BT47" s="711"/>
      <c r="BU47" s="711"/>
      <c r="BV47" s="711"/>
      <c r="BW47" s="711"/>
      <c r="BX47" s="711"/>
    </row>
    <row r="48" spans="1:82" s="710" customFormat="1" ht="34.950000000000003" customHeight="1">
      <c r="A48" s="697" t="s">
        <v>1134</v>
      </c>
      <c r="B48" s="701" t="s">
        <v>1135</v>
      </c>
      <c r="C48" s="220">
        <f t="shared" si="31"/>
        <v>36</v>
      </c>
      <c r="D48" s="220">
        <v>1207</v>
      </c>
      <c r="E48" s="235" t="s">
        <v>71</v>
      </c>
      <c r="F48" s="349">
        <v>45650000</v>
      </c>
      <c r="G48" s="349">
        <v>45650000</v>
      </c>
      <c r="H48" s="349">
        <f t="shared" si="20"/>
        <v>0</v>
      </c>
      <c r="I48" s="349">
        <v>45650000</v>
      </c>
      <c r="J48" s="349">
        <v>43349903</v>
      </c>
      <c r="K48" s="349"/>
      <c r="L48" s="349"/>
      <c r="M48" s="349"/>
      <c r="N48" s="349">
        <f t="shared" si="21"/>
        <v>43349903</v>
      </c>
      <c r="O48" s="349">
        <f>2300097-680000-200000</f>
        <v>1420097</v>
      </c>
      <c r="P48" s="349">
        <f t="shared" si="22"/>
        <v>880000</v>
      </c>
      <c r="Q48" s="349">
        <f t="shared" si="23"/>
        <v>2300097</v>
      </c>
      <c r="R48" s="349">
        <f t="shared" si="24"/>
        <v>-880000</v>
      </c>
      <c r="S48" s="349">
        <v>-680000</v>
      </c>
      <c r="T48" s="349">
        <f t="shared" si="25"/>
        <v>-200000</v>
      </c>
      <c r="U48" s="349">
        <f t="shared" si="26"/>
        <v>-200000</v>
      </c>
      <c r="V48" s="349"/>
      <c r="W48" s="349"/>
      <c r="X48" s="349"/>
      <c r="Y48" s="221" t="s">
        <v>1140</v>
      </c>
      <c r="Z48" s="349"/>
      <c r="AA48" s="349"/>
      <c r="AB48" s="349"/>
      <c r="AC48" s="349"/>
      <c r="AD48" s="349"/>
      <c r="AE48" s="851"/>
      <c r="AF48" s="851"/>
      <c r="AG48" s="349">
        <v>-200000</v>
      </c>
      <c r="AH48" s="349"/>
      <c r="AI48" s="349"/>
      <c r="AJ48" s="349">
        <f t="shared" si="33"/>
        <v>-200000</v>
      </c>
      <c r="AK48" s="349">
        <f t="shared" si="28"/>
        <v>0</v>
      </c>
      <c r="AL48" s="349">
        <f t="shared" si="29"/>
        <v>0</v>
      </c>
      <c r="AM48" s="349"/>
      <c r="AN48" s="349"/>
      <c r="AO48" s="349"/>
      <c r="AP48" s="349">
        <f t="shared" si="30"/>
        <v>-200000</v>
      </c>
      <c r="AQ48" s="349"/>
      <c r="AR48" s="349"/>
      <c r="AS48" s="349"/>
      <c r="AT48" s="349"/>
      <c r="AU48" s="854"/>
      <c r="AV48" s="707"/>
      <c r="AW48" s="707"/>
      <c r="AX48" s="707"/>
      <c r="AY48" s="707"/>
      <c r="AZ48" s="707"/>
      <c r="BA48" s="707"/>
      <c r="BB48" s="708"/>
      <c r="BC48" s="708"/>
      <c r="BD48" s="708"/>
      <c r="BE48" s="708"/>
      <c r="BF48" s="708"/>
      <c r="BG48" s="708"/>
      <c r="BH48" s="708"/>
      <c r="BI48" s="708"/>
      <c r="BJ48" s="709"/>
      <c r="BM48" s="709"/>
      <c r="BN48" s="709"/>
      <c r="BO48" s="709"/>
      <c r="BP48" s="711"/>
      <c r="BQ48" s="711"/>
      <c r="BR48" s="711"/>
      <c r="BS48" s="711"/>
      <c r="BT48" s="711"/>
      <c r="BU48" s="711"/>
      <c r="BV48" s="711"/>
      <c r="BW48" s="711"/>
      <c r="BX48" s="711"/>
    </row>
    <row r="49" spans="1:82" s="710" customFormat="1" ht="41.4">
      <c r="A49" s="697" t="s">
        <v>1134</v>
      </c>
      <c r="B49" s="701" t="s">
        <v>1135</v>
      </c>
      <c r="C49" s="220">
        <f t="shared" si="31"/>
        <v>37</v>
      </c>
      <c r="D49" s="220">
        <v>20024</v>
      </c>
      <c r="E49" s="235" t="s">
        <v>1168</v>
      </c>
      <c r="F49" s="349">
        <f>1130000-250000</f>
        <v>880000</v>
      </c>
      <c r="G49" s="349">
        <v>1130000</v>
      </c>
      <c r="H49" s="349">
        <f t="shared" si="20"/>
        <v>-250000</v>
      </c>
      <c r="I49" s="349">
        <v>1130000</v>
      </c>
      <c r="J49" s="349">
        <v>817792</v>
      </c>
      <c r="K49" s="349"/>
      <c r="L49" s="349"/>
      <c r="M49" s="349"/>
      <c r="N49" s="349">
        <f t="shared" si="21"/>
        <v>817792</v>
      </c>
      <c r="O49" s="349">
        <f>312208-250000</f>
        <v>62208</v>
      </c>
      <c r="P49" s="349">
        <f t="shared" si="22"/>
        <v>0</v>
      </c>
      <c r="Q49" s="349">
        <f t="shared" si="23"/>
        <v>312208</v>
      </c>
      <c r="R49" s="349">
        <f t="shared" si="24"/>
        <v>-250000</v>
      </c>
      <c r="S49" s="349"/>
      <c r="T49" s="349">
        <f t="shared" si="25"/>
        <v>-250000</v>
      </c>
      <c r="U49" s="349">
        <f t="shared" si="26"/>
        <v>0</v>
      </c>
      <c r="V49" s="349">
        <v>-250000</v>
      </c>
      <c r="W49" s="349"/>
      <c r="X49" s="349"/>
      <c r="Y49" s="221" t="s">
        <v>1169</v>
      </c>
      <c r="Z49" s="349"/>
      <c r="AA49" s="349"/>
      <c r="AB49" s="349"/>
      <c r="AC49" s="349"/>
      <c r="AD49" s="349"/>
      <c r="AE49" s="851"/>
      <c r="AF49" s="851"/>
      <c r="AG49" s="349">
        <v>-250000</v>
      </c>
      <c r="AH49" s="349"/>
      <c r="AI49" s="349"/>
      <c r="AJ49" s="349">
        <f t="shared" si="33"/>
        <v>-250000</v>
      </c>
      <c r="AK49" s="349">
        <f t="shared" si="28"/>
        <v>0</v>
      </c>
      <c r="AL49" s="349">
        <f t="shared" si="29"/>
        <v>0</v>
      </c>
      <c r="AM49" s="349"/>
      <c r="AN49" s="349"/>
      <c r="AO49" s="349"/>
      <c r="AP49" s="349">
        <f t="shared" si="30"/>
        <v>0</v>
      </c>
      <c r="AQ49" s="349">
        <v>-250000</v>
      </c>
      <c r="AR49" s="349"/>
      <c r="AS49" s="349"/>
      <c r="AT49" s="349"/>
      <c r="AU49" s="854"/>
      <c r="AV49" s="707"/>
      <c r="AW49" s="707"/>
      <c r="AX49" s="707"/>
      <c r="AY49" s="707"/>
      <c r="AZ49" s="707"/>
      <c r="BA49" s="707"/>
      <c r="BB49" s="708"/>
      <c r="BC49" s="708"/>
      <c r="BD49" s="708"/>
      <c r="BE49" s="708"/>
      <c r="BF49" s="708"/>
      <c r="BG49" s="708"/>
      <c r="BH49" s="708"/>
      <c r="BI49" s="708"/>
      <c r="BJ49" s="709"/>
      <c r="BM49" s="709"/>
      <c r="BN49" s="709"/>
      <c r="BO49" s="709"/>
      <c r="BP49" s="711"/>
      <c r="BQ49" s="711"/>
      <c r="BR49" s="711"/>
      <c r="BS49" s="711"/>
      <c r="BT49" s="711"/>
      <c r="BU49" s="711"/>
      <c r="BV49" s="711"/>
      <c r="BW49" s="711"/>
      <c r="BX49" s="711"/>
    </row>
    <row r="50" spans="1:82" s="710" customFormat="1" ht="34.950000000000003" customHeight="1">
      <c r="A50" s="697" t="s">
        <v>1134</v>
      </c>
      <c r="B50" s="701" t="s">
        <v>1135</v>
      </c>
      <c r="C50" s="220">
        <f t="shared" si="31"/>
        <v>38</v>
      </c>
      <c r="D50" s="220">
        <v>20098</v>
      </c>
      <c r="E50" s="235" t="s">
        <v>1170</v>
      </c>
      <c r="F50" s="349">
        <v>250000</v>
      </c>
      <c r="G50" s="349"/>
      <c r="H50" s="349">
        <f t="shared" si="20"/>
        <v>250000</v>
      </c>
      <c r="I50" s="349"/>
      <c r="J50" s="349"/>
      <c r="K50" s="349"/>
      <c r="L50" s="349"/>
      <c r="M50" s="349"/>
      <c r="N50" s="349">
        <f t="shared" si="21"/>
        <v>0</v>
      </c>
      <c r="O50" s="349">
        <v>250000</v>
      </c>
      <c r="P50" s="349">
        <f t="shared" si="22"/>
        <v>0</v>
      </c>
      <c r="Q50" s="349">
        <f t="shared" si="23"/>
        <v>0</v>
      </c>
      <c r="R50" s="349">
        <f t="shared" si="24"/>
        <v>250000</v>
      </c>
      <c r="S50" s="349"/>
      <c r="T50" s="349">
        <f t="shared" si="25"/>
        <v>250000</v>
      </c>
      <c r="U50" s="349">
        <f t="shared" si="26"/>
        <v>250000</v>
      </c>
      <c r="V50" s="349"/>
      <c r="W50" s="349"/>
      <c r="X50" s="349"/>
      <c r="Y50" s="221" t="s">
        <v>1171</v>
      </c>
      <c r="Z50" s="349"/>
      <c r="AA50" s="349"/>
      <c r="AB50" s="349"/>
      <c r="AC50" s="349"/>
      <c r="AD50" s="349"/>
      <c r="AE50" s="851"/>
      <c r="AF50" s="851"/>
      <c r="AG50" s="349">
        <v>250000</v>
      </c>
      <c r="AH50" s="349"/>
      <c r="AI50" s="349"/>
      <c r="AJ50" s="349">
        <f t="shared" si="33"/>
        <v>250000</v>
      </c>
      <c r="AK50" s="349">
        <f t="shared" si="28"/>
        <v>0</v>
      </c>
      <c r="AL50" s="349">
        <f t="shared" si="29"/>
        <v>0</v>
      </c>
      <c r="AM50" s="349"/>
      <c r="AN50" s="349"/>
      <c r="AO50" s="349"/>
      <c r="AP50" s="349">
        <f t="shared" si="30"/>
        <v>250000</v>
      </c>
      <c r="AQ50" s="854"/>
      <c r="AR50" s="349"/>
      <c r="AS50" s="349"/>
      <c r="AT50" s="349"/>
      <c r="AU50" s="854"/>
      <c r="AV50" s="707"/>
      <c r="AW50" s="707"/>
      <c r="AX50" s="707"/>
      <c r="AY50" s="707"/>
      <c r="AZ50" s="707"/>
      <c r="BA50" s="707"/>
      <c r="BB50" s="708"/>
      <c r="BC50" s="708"/>
      <c r="BD50" s="708"/>
      <c r="BE50" s="708"/>
      <c r="BF50" s="708"/>
      <c r="BG50" s="708"/>
      <c r="BH50" s="708"/>
      <c r="BI50" s="708"/>
      <c r="BJ50" s="709"/>
      <c r="BM50" s="709"/>
      <c r="BN50" s="709"/>
      <c r="BO50" s="709"/>
      <c r="BP50" s="711"/>
      <c r="BQ50" s="711"/>
      <c r="BR50" s="711"/>
      <c r="BS50" s="711"/>
      <c r="BT50" s="711"/>
      <c r="BU50" s="711"/>
      <c r="BV50" s="711"/>
      <c r="BW50" s="711"/>
      <c r="BX50" s="711"/>
    </row>
    <row r="51" spans="1:82" s="710" customFormat="1" ht="34.950000000000003" customHeight="1">
      <c r="A51" s="700" t="s">
        <v>1172</v>
      </c>
      <c r="B51" s="701" t="s">
        <v>1139</v>
      </c>
      <c r="C51" s="220">
        <f t="shared" si="31"/>
        <v>39</v>
      </c>
      <c r="D51" s="220">
        <v>1834</v>
      </c>
      <c r="E51" s="235" t="s">
        <v>96</v>
      </c>
      <c r="F51" s="349">
        <v>62120000</v>
      </c>
      <c r="G51" s="349">
        <v>62000000</v>
      </c>
      <c r="H51" s="349">
        <f t="shared" si="20"/>
        <v>120000</v>
      </c>
      <c r="I51" s="349">
        <v>57500000</v>
      </c>
      <c r="J51" s="349">
        <v>54545238</v>
      </c>
      <c r="K51" s="349"/>
      <c r="L51" s="349"/>
      <c r="M51" s="349"/>
      <c r="N51" s="349">
        <f t="shared" si="21"/>
        <v>54545238</v>
      </c>
      <c r="O51" s="349">
        <f>4500000+120000+2954762</f>
        <v>7574762</v>
      </c>
      <c r="P51" s="349">
        <f t="shared" si="22"/>
        <v>0</v>
      </c>
      <c r="Q51" s="349">
        <f t="shared" si="23"/>
        <v>2954762</v>
      </c>
      <c r="R51" s="349">
        <f t="shared" si="24"/>
        <v>4620000</v>
      </c>
      <c r="S51" s="349">
        <v>4500000</v>
      </c>
      <c r="T51" s="349">
        <f t="shared" si="25"/>
        <v>120000</v>
      </c>
      <c r="U51" s="349">
        <f t="shared" si="26"/>
        <v>0</v>
      </c>
      <c r="V51" s="349">
        <v>120000</v>
      </c>
      <c r="W51" s="349"/>
      <c r="X51" s="349"/>
      <c r="Y51" s="221" t="s">
        <v>1173</v>
      </c>
      <c r="Z51" s="349"/>
      <c r="AA51" s="349"/>
      <c r="AB51" s="349"/>
      <c r="AC51" s="349"/>
      <c r="AD51" s="349"/>
      <c r="AE51" s="349"/>
      <c r="AF51" s="349"/>
      <c r="AG51" s="349"/>
      <c r="AH51" s="349">
        <v>120000</v>
      </c>
      <c r="AI51" s="349"/>
      <c r="AJ51" s="349">
        <f t="shared" ref="AJ51:AJ57" si="34">SUM(Z51:AI51)</f>
        <v>120000</v>
      </c>
      <c r="AK51" s="349">
        <f t="shared" si="28"/>
        <v>0</v>
      </c>
      <c r="AL51" s="349">
        <f t="shared" si="29"/>
        <v>0</v>
      </c>
      <c r="AM51" s="349"/>
      <c r="AN51" s="349"/>
      <c r="AO51" s="854"/>
      <c r="AP51" s="349">
        <f t="shared" si="30"/>
        <v>0</v>
      </c>
      <c r="AQ51" s="349">
        <v>120000</v>
      </c>
      <c r="AR51" s="349"/>
      <c r="AS51" s="349"/>
      <c r="AT51" s="349"/>
      <c r="AU51" s="854"/>
      <c r="AV51" s="707"/>
      <c r="AW51" s="707"/>
      <c r="AX51" s="707"/>
      <c r="AY51" s="707"/>
      <c r="AZ51" s="708"/>
      <c r="BA51" s="708"/>
      <c r="BB51" s="708"/>
      <c r="BC51" s="708"/>
      <c r="BD51" s="708"/>
      <c r="BE51" s="708"/>
      <c r="BF51" s="708"/>
      <c r="BG51" s="708"/>
      <c r="BH51" s="709"/>
      <c r="BK51" s="709"/>
      <c r="BL51" s="709"/>
      <c r="BM51" s="709"/>
      <c r="BN51" s="711"/>
      <c r="BO51" s="711"/>
      <c r="BP51" s="711"/>
      <c r="BQ51" s="711"/>
      <c r="BR51" s="711"/>
      <c r="BS51" s="711"/>
      <c r="BT51" s="711"/>
      <c r="BU51" s="711"/>
      <c r="BV51" s="711"/>
    </row>
    <row r="52" spans="1:82" s="710" customFormat="1" ht="34.950000000000003" customHeight="1">
      <c r="A52" s="700" t="s">
        <v>1172</v>
      </c>
      <c r="B52" s="701" t="s">
        <v>1139</v>
      </c>
      <c r="C52" s="220">
        <f t="shared" si="31"/>
        <v>40</v>
      </c>
      <c r="D52" s="220">
        <v>20081</v>
      </c>
      <c r="E52" s="235" t="s">
        <v>1174</v>
      </c>
      <c r="F52" s="349">
        <v>39000000</v>
      </c>
      <c r="G52" s="349">
        <v>25000000</v>
      </c>
      <c r="H52" s="349">
        <f t="shared" si="20"/>
        <v>14000000</v>
      </c>
      <c r="I52" s="349"/>
      <c r="J52" s="349"/>
      <c r="K52" s="349"/>
      <c r="L52" s="349"/>
      <c r="M52" s="349"/>
      <c r="N52" s="349">
        <f t="shared" si="21"/>
        <v>0</v>
      </c>
      <c r="O52" s="349">
        <v>39000000</v>
      </c>
      <c r="P52" s="349">
        <f t="shared" si="22"/>
        <v>0</v>
      </c>
      <c r="Q52" s="349">
        <f t="shared" si="23"/>
        <v>0</v>
      </c>
      <c r="R52" s="349">
        <f t="shared" si="24"/>
        <v>39000000</v>
      </c>
      <c r="S52" s="349">
        <v>10500000</v>
      </c>
      <c r="T52" s="349">
        <f t="shared" si="25"/>
        <v>28500000</v>
      </c>
      <c r="U52" s="349">
        <f t="shared" si="26"/>
        <v>27000000</v>
      </c>
      <c r="V52" s="349">
        <v>1500000</v>
      </c>
      <c r="W52" s="349"/>
      <c r="X52" s="349"/>
      <c r="Y52" s="221" t="s">
        <v>1175</v>
      </c>
      <c r="Z52" s="349"/>
      <c r="AA52" s="349"/>
      <c r="AB52" s="349"/>
      <c r="AC52" s="349"/>
      <c r="AD52" s="349"/>
      <c r="AE52" s="349"/>
      <c r="AF52" s="349"/>
      <c r="AG52" s="349"/>
      <c r="AH52" s="349">
        <v>28500000</v>
      </c>
      <c r="AI52" s="349"/>
      <c r="AJ52" s="349">
        <f t="shared" si="34"/>
        <v>28500000</v>
      </c>
      <c r="AK52" s="349">
        <f t="shared" si="28"/>
        <v>0</v>
      </c>
      <c r="AL52" s="349">
        <f t="shared" si="29"/>
        <v>0</v>
      </c>
      <c r="AM52" s="349"/>
      <c r="AN52" s="349"/>
      <c r="AO52" s="349"/>
      <c r="AP52" s="349">
        <f t="shared" si="30"/>
        <v>27000000</v>
      </c>
      <c r="AQ52" s="349">
        <v>1500000</v>
      </c>
      <c r="AR52" s="349"/>
      <c r="AS52" s="349"/>
      <c r="AT52" s="349"/>
      <c r="AU52" s="349"/>
      <c r="AV52" s="706"/>
      <c r="AW52" s="706"/>
      <c r="AX52" s="707"/>
      <c r="AY52" s="707"/>
      <c r="AZ52" s="707"/>
      <c r="BA52" s="707"/>
      <c r="BB52" s="707"/>
      <c r="BC52" s="707"/>
      <c r="BD52" s="707"/>
      <c r="BE52" s="707"/>
      <c r="BF52" s="708"/>
      <c r="BG52" s="708"/>
      <c r="BH52" s="708"/>
      <c r="BI52" s="708"/>
      <c r="BJ52" s="708"/>
      <c r="BK52" s="708"/>
      <c r="BL52" s="708"/>
      <c r="BM52" s="708"/>
      <c r="BN52" s="709"/>
      <c r="BQ52" s="709"/>
      <c r="BR52" s="709"/>
      <c r="BS52" s="709"/>
      <c r="BT52" s="711"/>
      <c r="BU52" s="711"/>
      <c r="BV52" s="711"/>
      <c r="BW52" s="711"/>
      <c r="BX52" s="711"/>
      <c r="BY52" s="711"/>
      <c r="BZ52" s="711"/>
      <c r="CA52" s="711"/>
      <c r="CB52" s="711"/>
    </row>
    <row r="53" spans="1:82" s="710" customFormat="1" ht="34.950000000000003" customHeight="1">
      <c r="A53" s="700" t="s">
        <v>1172</v>
      </c>
      <c r="B53" s="701" t="s">
        <v>1139</v>
      </c>
      <c r="C53" s="220">
        <f t="shared" si="31"/>
        <v>41</v>
      </c>
      <c r="D53" s="220">
        <v>2201</v>
      </c>
      <c r="E53" s="235" t="s">
        <v>476</v>
      </c>
      <c r="F53" s="349">
        <v>80000000</v>
      </c>
      <c r="G53" s="349">
        <v>80000000</v>
      </c>
      <c r="H53" s="349">
        <f t="shared" si="20"/>
        <v>0</v>
      </c>
      <c r="I53" s="349">
        <v>1500000</v>
      </c>
      <c r="J53" s="349">
        <v>891659</v>
      </c>
      <c r="K53" s="349"/>
      <c r="L53" s="349"/>
      <c r="M53" s="349"/>
      <c r="N53" s="349">
        <f t="shared" si="21"/>
        <v>891659</v>
      </c>
      <c r="O53" s="349">
        <f>20851623+2000000+608341</f>
        <v>23459964</v>
      </c>
      <c r="P53" s="349">
        <f t="shared" si="22"/>
        <v>55648377</v>
      </c>
      <c r="Q53" s="349">
        <f t="shared" si="23"/>
        <v>608341</v>
      </c>
      <c r="R53" s="349">
        <f t="shared" si="24"/>
        <v>22851623</v>
      </c>
      <c r="S53" s="349">
        <v>20851623</v>
      </c>
      <c r="T53" s="349">
        <f t="shared" si="25"/>
        <v>2000000</v>
      </c>
      <c r="U53" s="349">
        <f t="shared" si="26"/>
        <v>2000000</v>
      </c>
      <c r="V53" s="349"/>
      <c r="W53" s="349"/>
      <c r="X53" s="349"/>
      <c r="Y53" s="221" t="s">
        <v>1176</v>
      </c>
      <c r="Z53" s="349"/>
      <c r="AA53" s="349"/>
      <c r="AB53" s="349"/>
      <c r="AC53" s="349"/>
      <c r="AD53" s="349"/>
      <c r="AE53" s="349"/>
      <c r="AF53" s="349"/>
      <c r="AG53" s="349"/>
      <c r="AH53" s="349">
        <v>2000000</v>
      </c>
      <c r="AI53" s="349"/>
      <c r="AJ53" s="349">
        <f t="shared" si="34"/>
        <v>2000000</v>
      </c>
      <c r="AK53" s="349">
        <f t="shared" si="28"/>
        <v>0</v>
      </c>
      <c r="AL53" s="349">
        <f t="shared" si="29"/>
        <v>0</v>
      </c>
      <c r="AM53" s="349"/>
      <c r="AN53" s="349"/>
      <c r="AO53" s="854"/>
      <c r="AP53" s="349">
        <f t="shared" si="30"/>
        <v>2000000</v>
      </c>
      <c r="AQ53" s="854"/>
      <c r="AR53" s="349"/>
      <c r="AS53" s="349"/>
      <c r="AT53" s="349"/>
      <c r="AU53" s="854"/>
      <c r="AV53" s="707"/>
      <c r="AW53" s="707"/>
      <c r="AX53" s="707"/>
      <c r="AY53" s="707"/>
      <c r="AZ53" s="708"/>
      <c r="BA53" s="708"/>
      <c r="BB53" s="708"/>
      <c r="BC53" s="708"/>
      <c r="BD53" s="708"/>
      <c r="BE53" s="708"/>
      <c r="BF53" s="708"/>
      <c r="BG53" s="708"/>
      <c r="BH53" s="709"/>
      <c r="BK53" s="709"/>
      <c r="BL53" s="709"/>
      <c r="BM53" s="709"/>
      <c r="BN53" s="711"/>
      <c r="BO53" s="711"/>
      <c r="BP53" s="711"/>
      <c r="BQ53" s="711"/>
      <c r="BR53" s="711"/>
      <c r="BS53" s="711"/>
      <c r="BT53" s="711"/>
      <c r="BU53" s="711"/>
      <c r="BV53" s="711"/>
    </row>
    <row r="54" spans="1:82" s="710" customFormat="1" ht="34.950000000000003" customHeight="1">
      <c r="A54" s="700" t="s">
        <v>1172</v>
      </c>
      <c r="B54" s="701" t="s">
        <v>1139</v>
      </c>
      <c r="C54" s="220">
        <f t="shared" si="31"/>
        <v>42</v>
      </c>
      <c r="D54" s="220">
        <v>1773</v>
      </c>
      <c r="E54" s="235" t="s">
        <v>91</v>
      </c>
      <c r="F54" s="349">
        <f>1500000+550000</f>
        <v>2050000</v>
      </c>
      <c r="G54" s="349">
        <v>1500000</v>
      </c>
      <c r="H54" s="349">
        <f t="shared" si="20"/>
        <v>550000</v>
      </c>
      <c r="I54" s="349">
        <v>1500000</v>
      </c>
      <c r="J54" s="349">
        <v>1074144</v>
      </c>
      <c r="K54" s="349"/>
      <c r="L54" s="349"/>
      <c r="M54" s="349"/>
      <c r="N54" s="349">
        <f t="shared" si="21"/>
        <v>1074144</v>
      </c>
      <c r="O54" s="349">
        <f>550000+425856</f>
        <v>975856</v>
      </c>
      <c r="P54" s="349">
        <f t="shared" si="22"/>
        <v>0</v>
      </c>
      <c r="Q54" s="349">
        <f t="shared" si="23"/>
        <v>425856</v>
      </c>
      <c r="R54" s="349">
        <f t="shared" si="24"/>
        <v>550000</v>
      </c>
      <c r="S54" s="349"/>
      <c r="T54" s="349">
        <f t="shared" si="25"/>
        <v>550000</v>
      </c>
      <c r="U54" s="349">
        <f t="shared" si="26"/>
        <v>550000</v>
      </c>
      <c r="V54" s="349"/>
      <c r="W54" s="349"/>
      <c r="X54" s="349"/>
      <c r="Y54" s="221" t="s">
        <v>1133</v>
      </c>
      <c r="Z54" s="349"/>
      <c r="AA54" s="349"/>
      <c r="AB54" s="349"/>
      <c r="AC54" s="349"/>
      <c r="AD54" s="349"/>
      <c r="AE54" s="349"/>
      <c r="AF54" s="349"/>
      <c r="AG54" s="349"/>
      <c r="AH54" s="349">
        <v>550000</v>
      </c>
      <c r="AI54" s="349"/>
      <c r="AJ54" s="349">
        <f t="shared" si="34"/>
        <v>550000</v>
      </c>
      <c r="AK54" s="349">
        <f t="shared" si="28"/>
        <v>0</v>
      </c>
      <c r="AL54" s="349">
        <f t="shared" si="29"/>
        <v>0</v>
      </c>
      <c r="AM54" s="349"/>
      <c r="AN54" s="349"/>
      <c r="AO54" s="854"/>
      <c r="AP54" s="349">
        <f t="shared" si="30"/>
        <v>550000</v>
      </c>
      <c r="AQ54" s="854"/>
      <c r="AR54" s="349"/>
      <c r="AS54" s="349"/>
      <c r="AT54" s="349"/>
      <c r="AU54" s="854"/>
      <c r="AV54" s="707"/>
      <c r="AW54" s="707"/>
      <c r="AX54" s="707"/>
      <c r="AY54" s="707"/>
      <c r="AZ54" s="708"/>
      <c r="BA54" s="708"/>
      <c r="BB54" s="708"/>
      <c r="BC54" s="708"/>
      <c r="BD54" s="708"/>
      <c r="BE54" s="708"/>
      <c r="BF54" s="708"/>
      <c r="BG54" s="708"/>
      <c r="BH54" s="709"/>
      <c r="BK54" s="709"/>
      <c r="BL54" s="709"/>
      <c r="BM54" s="709"/>
      <c r="BN54" s="711"/>
      <c r="BO54" s="711"/>
      <c r="BP54" s="711"/>
      <c r="BQ54" s="711"/>
      <c r="BR54" s="711"/>
      <c r="BS54" s="711"/>
      <c r="BT54" s="711"/>
      <c r="BU54" s="711"/>
      <c r="BV54" s="711"/>
    </row>
    <row r="55" spans="1:82" s="710" customFormat="1" ht="34.950000000000003" customHeight="1">
      <c r="A55" s="700" t="s">
        <v>1172</v>
      </c>
      <c r="B55" s="701" t="s">
        <v>1139</v>
      </c>
      <c r="C55" s="220">
        <f t="shared" si="31"/>
        <v>43</v>
      </c>
      <c r="D55" s="220">
        <v>1912</v>
      </c>
      <c r="E55" s="235" t="s">
        <v>558</v>
      </c>
      <c r="F55" s="349">
        <v>430000000</v>
      </c>
      <c r="G55" s="349">
        <v>430000000</v>
      </c>
      <c r="H55" s="349">
        <f t="shared" si="20"/>
        <v>0</v>
      </c>
      <c r="I55" s="349">
        <v>177713073</v>
      </c>
      <c r="J55" s="349">
        <v>177647660</v>
      </c>
      <c r="K55" s="349"/>
      <c r="L55" s="349"/>
      <c r="M55" s="349"/>
      <c r="N55" s="349">
        <f t="shared" si="21"/>
        <v>177647660</v>
      </c>
      <c r="O55" s="349">
        <f>110000000+65413+7896530+3794648</f>
        <v>121756591</v>
      </c>
      <c r="P55" s="349">
        <f t="shared" si="22"/>
        <v>130595749</v>
      </c>
      <c r="Q55" s="349">
        <f t="shared" si="23"/>
        <v>65413</v>
      </c>
      <c r="R55" s="349">
        <f t="shared" si="24"/>
        <v>121691178</v>
      </c>
      <c r="S55" s="349">
        <v>110000000</v>
      </c>
      <c r="T55" s="349">
        <f t="shared" si="25"/>
        <v>11691178</v>
      </c>
      <c r="U55" s="349">
        <f t="shared" si="26"/>
        <v>0</v>
      </c>
      <c r="V55" s="349"/>
      <c r="W55" s="349"/>
      <c r="X55" s="349">
        <f>28909667-21013137+3794648</f>
        <v>11691178</v>
      </c>
      <c r="Y55" s="221" t="s">
        <v>1177</v>
      </c>
      <c r="Z55" s="349"/>
      <c r="AA55" s="349"/>
      <c r="AB55" s="349"/>
      <c r="AC55" s="349"/>
      <c r="AD55" s="349"/>
      <c r="AE55" s="349"/>
      <c r="AF55" s="349"/>
      <c r="AG55" s="349"/>
      <c r="AH55" s="349">
        <v>11691178</v>
      </c>
      <c r="AI55" s="349"/>
      <c r="AJ55" s="349">
        <f t="shared" si="34"/>
        <v>11691178</v>
      </c>
      <c r="AK55" s="349">
        <f t="shared" si="28"/>
        <v>0</v>
      </c>
      <c r="AL55" s="349">
        <f t="shared" si="29"/>
        <v>0</v>
      </c>
      <c r="AM55" s="349"/>
      <c r="AN55" s="349"/>
      <c r="AO55" s="349"/>
      <c r="AP55" s="349">
        <f t="shared" si="30"/>
        <v>0</v>
      </c>
      <c r="AQ55" s="349"/>
      <c r="AR55" s="349"/>
      <c r="AS55" s="349"/>
      <c r="AT55" s="349"/>
      <c r="AU55" s="349">
        <v>11691178</v>
      </c>
      <c r="AV55" s="707"/>
      <c r="AW55" s="707"/>
      <c r="AX55" s="707"/>
      <c r="AY55" s="707"/>
      <c r="AZ55" s="708"/>
      <c r="BA55" s="708"/>
      <c r="BB55" s="708"/>
      <c r="BC55" s="708"/>
      <c r="BD55" s="708"/>
      <c r="BE55" s="708"/>
      <c r="BF55" s="708"/>
      <c r="BG55" s="708"/>
      <c r="BH55" s="709"/>
      <c r="BK55" s="709"/>
      <c r="BL55" s="709"/>
      <c r="BM55" s="709"/>
      <c r="BN55" s="711"/>
      <c r="BO55" s="711"/>
      <c r="BP55" s="711"/>
      <c r="BQ55" s="711"/>
      <c r="BR55" s="711"/>
      <c r="BS55" s="711"/>
      <c r="BT55" s="711"/>
      <c r="BU55" s="711"/>
      <c r="BV55" s="711"/>
    </row>
    <row r="56" spans="1:82" s="710" customFormat="1" ht="34.950000000000003" customHeight="1">
      <c r="A56" s="700" t="s">
        <v>1286</v>
      </c>
      <c r="B56" s="701" t="s">
        <v>1297</v>
      </c>
      <c r="C56" s="220">
        <f t="shared" si="31"/>
        <v>44</v>
      </c>
      <c r="D56" s="220">
        <v>2073</v>
      </c>
      <c r="E56" s="235" t="s">
        <v>1178</v>
      </c>
      <c r="F56" s="349">
        <v>11350000</v>
      </c>
      <c r="G56" s="349">
        <v>11350000</v>
      </c>
      <c r="H56" s="349">
        <f t="shared" si="20"/>
        <v>0</v>
      </c>
      <c r="I56" s="349">
        <v>1600000</v>
      </c>
      <c r="J56" s="349">
        <v>130372</v>
      </c>
      <c r="K56" s="349"/>
      <c r="L56" s="349"/>
      <c r="M56" s="349"/>
      <c r="N56" s="349">
        <f t="shared" si="21"/>
        <v>130372</v>
      </c>
      <c r="O56" s="349">
        <v>1469628</v>
      </c>
      <c r="P56" s="349">
        <f t="shared" si="22"/>
        <v>9750000</v>
      </c>
      <c r="Q56" s="349">
        <f t="shared" si="23"/>
        <v>1469628</v>
      </c>
      <c r="R56" s="349">
        <f t="shared" si="24"/>
        <v>0</v>
      </c>
      <c r="S56" s="349"/>
      <c r="T56" s="349">
        <f t="shared" si="25"/>
        <v>0</v>
      </c>
      <c r="U56" s="349">
        <f t="shared" si="26"/>
        <v>-136890</v>
      </c>
      <c r="V56" s="349"/>
      <c r="W56" s="349"/>
      <c r="X56" s="349">
        <v>136890</v>
      </c>
      <c r="Y56" s="221" t="s">
        <v>1179</v>
      </c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>
        <f t="shared" si="34"/>
        <v>0</v>
      </c>
      <c r="AK56" s="349">
        <f t="shared" si="28"/>
        <v>0</v>
      </c>
      <c r="AL56" s="349">
        <f t="shared" si="29"/>
        <v>-136890</v>
      </c>
      <c r="AM56" s="349"/>
      <c r="AN56" s="349"/>
      <c r="AO56" s="349">
        <v>136890</v>
      </c>
      <c r="AP56" s="349">
        <f t="shared" si="30"/>
        <v>-136890</v>
      </c>
      <c r="AQ56" s="854"/>
      <c r="AR56" s="349"/>
      <c r="AS56" s="349"/>
      <c r="AT56" s="349"/>
      <c r="AU56" s="349">
        <v>136890</v>
      </c>
      <c r="AV56" s="707"/>
      <c r="AW56" s="707"/>
      <c r="AX56" s="707"/>
      <c r="AY56" s="707"/>
      <c r="AZ56" s="708"/>
      <c r="BA56" s="708"/>
      <c r="BB56" s="708"/>
      <c r="BC56" s="708"/>
      <c r="BD56" s="708"/>
      <c r="BE56" s="708"/>
      <c r="BF56" s="708"/>
      <c r="BG56" s="708"/>
      <c r="BH56" s="709"/>
      <c r="BK56" s="709"/>
      <c r="BL56" s="709"/>
      <c r="BM56" s="709"/>
      <c r="BN56" s="711"/>
      <c r="BO56" s="711"/>
      <c r="BP56" s="711"/>
      <c r="BQ56" s="711"/>
      <c r="BR56" s="711"/>
      <c r="BS56" s="711"/>
      <c r="BT56" s="711"/>
      <c r="BU56" s="711"/>
      <c r="BV56" s="711"/>
    </row>
    <row r="57" spans="1:82" s="710" customFormat="1" ht="34.950000000000003" customHeight="1">
      <c r="A57" s="700" t="s">
        <v>1286</v>
      </c>
      <c r="B57" s="701" t="s">
        <v>1297</v>
      </c>
      <c r="C57" s="220">
        <f t="shared" si="31"/>
        <v>45</v>
      </c>
      <c r="D57" s="220">
        <v>20013</v>
      </c>
      <c r="E57" s="235" t="s">
        <v>1180</v>
      </c>
      <c r="F57" s="349">
        <v>1000000</v>
      </c>
      <c r="G57" s="349">
        <v>1000000</v>
      </c>
      <c r="H57" s="349">
        <f t="shared" si="20"/>
        <v>0</v>
      </c>
      <c r="I57" s="349">
        <v>150000</v>
      </c>
      <c r="J57" s="349">
        <v>150000</v>
      </c>
      <c r="K57" s="349"/>
      <c r="L57" s="349"/>
      <c r="M57" s="349"/>
      <c r="N57" s="349">
        <f t="shared" si="21"/>
        <v>150000</v>
      </c>
      <c r="O57" s="349">
        <v>850000</v>
      </c>
      <c r="P57" s="349">
        <f t="shared" si="22"/>
        <v>0</v>
      </c>
      <c r="Q57" s="349">
        <f t="shared" si="23"/>
        <v>0</v>
      </c>
      <c r="R57" s="349">
        <f t="shared" si="24"/>
        <v>850000</v>
      </c>
      <c r="S57" s="349">
        <v>850000</v>
      </c>
      <c r="T57" s="349">
        <f t="shared" si="25"/>
        <v>0</v>
      </c>
      <c r="U57" s="349">
        <f t="shared" si="26"/>
        <v>-144233</v>
      </c>
      <c r="V57" s="349"/>
      <c r="W57" s="349"/>
      <c r="X57" s="349">
        <v>144233</v>
      </c>
      <c r="Y57" s="221" t="s">
        <v>1179</v>
      </c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>
        <f t="shared" si="34"/>
        <v>0</v>
      </c>
      <c r="AK57" s="349">
        <f t="shared" si="28"/>
        <v>0</v>
      </c>
      <c r="AL57" s="349">
        <f t="shared" si="29"/>
        <v>-144233</v>
      </c>
      <c r="AM57" s="349"/>
      <c r="AN57" s="349"/>
      <c r="AO57" s="349">
        <v>144233</v>
      </c>
      <c r="AP57" s="349">
        <f t="shared" si="30"/>
        <v>-144233</v>
      </c>
      <c r="AQ57" s="349"/>
      <c r="AR57" s="349"/>
      <c r="AS57" s="349"/>
      <c r="AT57" s="349"/>
      <c r="AU57" s="349">
        <v>144233</v>
      </c>
      <c r="AV57" s="707"/>
      <c r="AW57" s="707"/>
      <c r="AX57" s="707"/>
      <c r="AY57" s="707"/>
      <c r="AZ57" s="708"/>
      <c r="BA57" s="708"/>
      <c r="BB57" s="708"/>
      <c r="BC57" s="708"/>
      <c r="BD57" s="708"/>
      <c r="BE57" s="708"/>
      <c r="BF57" s="708"/>
      <c r="BG57" s="708"/>
      <c r="BH57" s="709"/>
      <c r="BK57" s="709"/>
      <c r="BL57" s="709"/>
      <c r="BM57" s="709"/>
      <c r="BN57" s="711"/>
      <c r="BO57" s="711"/>
      <c r="BP57" s="711"/>
      <c r="BQ57" s="711"/>
      <c r="BR57" s="711"/>
      <c r="BS57" s="711"/>
      <c r="BT57" s="711"/>
      <c r="BU57" s="711"/>
      <c r="BV57" s="711"/>
    </row>
    <row r="58" spans="1:82" s="395" customFormat="1" ht="34.950000000000003" customHeight="1">
      <c r="A58" s="712"/>
      <c r="B58" s="866"/>
      <c r="C58" s="222">
        <f>COUNT(C27:C57)</f>
        <v>31</v>
      </c>
      <c r="D58" s="222"/>
      <c r="E58" s="137" t="s">
        <v>72</v>
      </c>
      <c r="F58" s="857">
        <f>SUM(F27:F57)</f>
        <v>1033494945</v>
      </c>
      <c r="G58" s="857">
        <f t="shared" ref="G58:AU58" si="35">SUM(G27:G57)</f>
        <v>981749945</v>
      </c>
      <c r="H58" s="857">
        <f t="shared" si="35"/>
        <v>51745000</v>
      </c>
      <c r="I58" s="857">
        <f t="shared" si="35"/>
        <v>452473651</v>
      </c>
      <c r="J58" s="857">
        <f t="shared" si="35"/>
        <v>406051153</v>
      </c>
      <c r="K58" s="857">
        <f t="shared" si="35"/>
        <v>0</v>
      </c>
      <c r="L58" s="857">
        <f t="shared" si="35"/>
        <v>0</v>
      </c>
      <c r="M58" s="857">
        <f t="shared" si="35"/>
        <v>0</v>
      </c>
      <c r="N58" s="857">
        <f t="shared" si="35"/>
        <v>406051153</v>
      </c>
      <c r="O58" s="857">
        <f t="shared" si="35"/>
        <v>292954752</v>
      </c>
      <c r="P58" s="857">
        <f t="shared" si="35"/>
        <v>334489040</v>
      </c>
      <c r="Q58" s="857">
        <f t="shared" si="35"/>
        <v>46422498</v>
      </c>
      <c r="R58" s="857">
        <f t="shared" si="35"/>
        <v>246532254</v>
      </c>
      <c r="S58" s="857">
        <f t="shared" si="35"/>
        <v>179456287</v>
      </c>
      <c r="T58" s="857">
        <f t="shared" si="35"/>
        <v>67075967</v>
      </c>
      <c r="U58" s="857">
        <f t="shared" si="35"/>
        <v>37025255</v>
      </c>
      <c r="V58" s="857">
        <f t="shared" si="35"/>
        <v>3370000</v>
      </c>
      <c r="W58" s="857"/>
      <c r="X58" s="857">
        <f t="shared" si="35"/>
        <v>26680712</v>
      </c>
      <c r="Y58" s="857">
        <f>SUM(Y28:Y31)</f>
        <v>0</v>
      </c>
      <c r="Z58" s="857">
        <f t="shared" si="35"/>
        <v>500000</v>
      </c>
      <c r="AA58" s="857">
        <f t="shared" si="35"/>
        <v>6500000</v>
      </c>
      <c r="AB58" s="857">
        <f t="shared" si="35"/>
        <v>0</v>
      </c>
      <c r="AC58" s="857">
        <f t="shared" si="35"/>
        <v>0</v>
      </c>
      <c r="AD58" s="857">
        <f t="shared" si="35"/>
        <v>250000</v>
      </c>
      <c r="AE58" s="857">
        <f t="shared" si="35"/>
        <v>10600000</v>
      </c>
      <c r="AF58" s="857">
        <f t="shared" si="35"/>
        <v>0</v>
      </c>
      <c r="AG58" s="857">
        <f t="shared" si="35"/>
        <v>-2135211</v>
      </c>
      <c r="AH58" s="857">
        <f t="shared" si="35"/>
        <v>42861178</v>
      </c>
      <c r="AI58" s="857">
        <f t="shared" si="35"/>
        <v>7500000</v>
      </c>
      <c r="AJ58" s="857">
        <f t="shared" si="35"/>
        <v>66075967</v>
      </c>
      <c r="AK58" s="857">
        <f t="shared" si="35"/>
        <v>1000000</v>
      </c>
      <c r="AL58" s="857">
        <f t="shared" si="35"/>
        <v>-281123</v>
      </c>
      <c r="AM58" s="857">
        <f t="shared" si="35"/>
        <v>0</v>
      </c>
      <c r="AN58" s="857"/>
      <c r="AO58" s="857">
        <f t="shared" si="35"/>
        <v>7781123</v>
      </c>
      <c r="AP58" s="857">
        <f t="shared" si="35"/>
        <v>37025255</v>
      </c>
      <c r="AQ58" s="857">
        <f t="shared" si="35"/>
        <v>3370000</v>
      </c>
      <c r="AR58" s="857">
        <f t="shared" si="35"/>
        <v>0</v>
      </c>
      <c r="AS58" s="857">
        <f t="shared" si="35"/>
        <v>0</v>
      </c>
      <c r="AT58" s="857">
        <f t="shared" si="35"/>
        <v>0</v>
      </c>
      <c r="AU58" s="857">
        <f t="shared" si="35"/>
        <v>25680712</v>
      </c>
      <c r="AV58" s="698"/>
      <c r="AW58" s="698"/>
      <c r="AX58" s="698"/>
      <c r="AY58" s="698"/>
      <c r="AZ58" s="319"/>
      <c r="BA58" s="319"/>
      <c r="BB58" s="319"/>
      <c r="BC58" s="319"/>
      <c r="BD58" s="319"/>
      <c r="BE58" s="319"/>
      <c r="BF58" s="319"/>
      <c r="BG58" s="319"/>
      <c r="BH58" s="394"/>
      <c r="BI58" s="394"/>
      <c r="BJ58" s="394"/>
      <c r="BK58" s="394"/>
      <c r="BL58" s="394"/>
      <c r="BM58" s="394"/>
      <c r="BN58" s="394"/>
      <c r="BO58" s="394"/>
      <c r="BP58" s="122"/>
      <c r="BS58" s="122"/>
      <c r="BT58" s="122"/>
      <c r="BU58" s="122"/>
      <c r="BV58" s="699"/>
      <c r="BW58" s="699"/>
      <c r="BX58" s="699"/>
      <c r="BY58" s="699"/>
      <c r="BZ58" s="699"/>
      <c r="CA58" s="699"/>
      <c r="CB58" s="699"/>
      <c r="CC58" s="699"/>
      <c r="CD58" s="699"/>
    </row>
    <row r="59" spans="1:82" s="61" customFormat="1" ht="34.950000000000003" customHeight="1">
      <c r="A59" s="702"/>
      <c r="B59" s="864"/>
      <c r="C59" s="855"/>
      <c r="D59" s="856"/>
      <c r="E59" s="852"/>
      <c r="F59" s="857"/>
      <c r="G59" s="857"/>
      <c r="H59" s="857"/>
      <c r="I59" s="857"/>
      <c r="J59" s="857"/>
      <c r="K59" s="857"/>
      <c r="L59" s="857"/>
      <c r="M59" s="857"/>
      <c r="N59" s="857"/>
      <c r="O59" s="857"/>
      <c r="P59" s="857"/>
      <c r="Q59" s="857"/>
      <c r="R59" s="857"/>
      <c r="S59" s="857"/>
      <c r="T59" s="857"/>
      <c r="U59" s="857"/>
      <c r="V59" s="857"/>
      <c r="W59" s="857"/>
      <c r="X59" s="857"/>
      <c r="Y59" s="138"/>
      <c r="Z59" s="857"/>
      <c r="AA59" s="857"/>
      <c r="AB59" s="857"/>
      <c r="AC59" s="857"/>
      <c r="AD59" s="857"/>
      <c r="AE59" s="857"/>
      <c r="AF59" s="857"/>
      <c r="AG59" s="857"/>
      <c r="AH59" s="857"/>
      <c r="AI59" s="857"/>
      <c r="AJ59" s="857"/>
      <c r="AK59" s="857"/>
      <c r="AL59" s="857"/>
      <c r="AM59" s="857"/>
      <c r="AN59" s="857"/>
      <c r="AO59" s="857"/>
      <c r="AP59" s="857"/>
      <c r="AQ59" s="857"/>
      <c r="AR59" s="857"/>
      <c r="AS59" s="857"/>
      <c r="AT59" s="857"/>
      <c r="AU59" s="857"/>
      <c r="AV59" s="690"/>
      <c r="AW59" s="690"/>
      <c r="AX59" s="690"/>
      <c r="AY59" s="690"/>
      <c r="AZ59" s="157"/>
      <c r="BA59" s="157"/>
      <c r="BB59" s="157"/>
      <c r="BC59" s="157"/>
      <c r="BD59" s="157"/>
      <c r="BE59" s="157"/>
      <c r="BF59" s="157"/>
      <c r="BG59" s="157"/>
      <c r="BH59" s="691"/>
      <c r="BI59" s="691"/>
      <c r="BJ59" s="691"/>
      <c r="BK59" s="691"/>
      <c r="BL59" s="691"/>
      <c r="BM59" s="691"/>
      <c r="BN59" s="691"/>
      <c r="BO59" s="691"/>
      <c r="BP59" s="51"/>
      <c r="BS59" s="51"/>
      <c r="BT59" s="51"/>
      <c r="BU59" s="51"/>
      <c r="BV59" s="688"/>
      <c r="BW59" s="688"/>
      <c r="BX59" s="688"/>
      <c r="BY59" s="688"/>
      <c r="BZ59" s="688"/>
      <c r="CA59" s="688"/>
      <c r="CB59" s="688"/>
      <c r="CC59" s="688"/>
      <c r="CD59" s="688"/>
    </row>
    <row r="60" spans="1:82" s="395" customFormat="1" ht="34.950000000000003" customHeight="1">
      <c r="A60" s="872"/>
      <c r="B60" s="873"/>
      <c r="C60" s="220"/>
      <c r="D60" s="220"/>
      <c r="E60" s="137" t="s">
        <v>598</v>
      </c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220"/>
      <c r="Y60" s="135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698"/>
      <c r="AW60" s="698"/>
      <c r="AX60" s="698"/>
      <c r="AY60" s="698"/>
      <c r="AZ60" s="319"/>
      <c r="BA60" s="319"/>
      <c r="BB60" s="319"/>
      <c r="BC60" s="319"/>
      <c r="BD60" s="319"/>
      <c r="BE60" s="319"/>
      <c r="BF60" s="319"/>
      <c r="BG60" s="319"/>
      <c r="BH60" s="394"/>
      <c r="BI60" s="394"/>
      <c r="BJ60" s="394"/>
      <c r="BK60" s="394"/>
      <c r="BL60" s="394"/>
      <c r="BM60" s="394"/>
      <c r="BN60" s="394"/>
      <c r="BO60" s="394"/>
      <c r="BP60" s="122"/>
      <c r="BS60" s="122"/>
      <c r="BT60" s="122"/>
      <c r="BU60" s="122"/>
      <c r="BV60" s="699"/>
      <c r="BW60" s="699"/>
      <c r="BX60" s="699"/>
      <c r="BY60" s="699"/>
      <c r="BZ60" s="699"/>
      <c r="CA60" s="699"/>
      <c r="CB60" s="699"/>
      <c r="CC60" s="699"/>
      <c r="CD60" s="699"/>
    </row>
    <row r="61" spans="1:82" s="710" customFormat="1" ht="34.950000000000003" customHeight="1">
      <c r="A61" s="697" t="s">
        <v>1147</v>
      </c>
      <c r="B61" s="701" t="s">
        <v>1148</v>
      </c>
      <c r="C61" s="220">
        <v>46</v>
      </c>
      <c r="D61" s="220">
        <v>2156</v>
      </c>
      <c r="E61" s="235" t="s">
        <v>390</v>
      </c>
      <c r="F61" s="349">
        <v>2700000</v>
      </c>
      <c r="G61" s="349">
        <v>2700000</v>
      </c>
      <c r="H61" s="349">
        <f t="shared" ref="H61:H101" si="36">F61-G61</f>
        <v>0</v>
      </c>
      <c r="I61" s="349">
        <v>800000</v>
      </c>
      <c r="J61" s="349">
        <v>552536</v>
      </c>
      <c r="K61" s="349"/>
      <c r="L61" s="349">
        <v>30142</v>
      </c>
      <c r="M61" s="349">
        <f>K61+L61</f>
        <v>30142</v>
      </c>
      <c r="N61" s="349">
        <f>J61+M61</f>
        <v>582678</v>
      </c>
      <c r="O61" s="349">
        <v>217322</v>
      </c>
      <c r="P61" s="349">
        <f t="shared" ref="P61:P101" si="37">F61-N61-O61</f>
        <v>1900000</v>
      </c>
      <c r="Q61" s="349">
        <f t="shared" ref="Q61:Q101" si="38">I61-N61</f>
        <v>217322</v>
      </c>
      <c r="R61" s="349">
        <f t="shared" ref="R61:R101" si="39">O61-Q61</f>
        <v>0</v>
      </c>
      <c r="S61" s="349"/>
      <c r="T61" s="349">
        <f t="shared" ref="T61:T101" si="40">R61-S61</f>
        <v>0</v>
      </c>
      <c r="U61" s="349">
        <f t="shared" ref="U61:U101" si="41">T61-V61-X61</f>
        <v>0</v>
      </c>
      <c r="V61" s="349">
        <v>-150000</v>
      </c>
      <c r="W61" s="349"/>
      <c r="X61" s="349">
        <v>150000</v>
      </c>
      <c r="Y61" s="221" t="s">
        <v>1181</v>
      </c>
      <c r="Z61" s="349"/>
      <c r="AA61" s="860"/>
      <c r="AB61" s="349"/>
      <c r="AC61" s="349"/>
      <c r="AD61" s="349"/>
      <c r="AE61" s="349"/>
      <c r="AF61" s="349"/>
      <c r="AG61" s="349"/>
      <c r="AH61" s="349"/>
      <c r="AI61" s="349"/>
      <c r="AJ61" s="349">
        <f t="shared" ref="AJ61:AJ84" si="42">SUM(Z61:AI61)</f>
        <v>0</v>
      </c>
      <c r="AK61" s="349">
        <f t="shared" ref="AK61:AK92" si="43">T61-AJ61</f>
        <v>0</v>
      </c>
      <c r="AL61" s="349">
        <f t="shared" ref="AL61:AL92" si="44">AI61-AM61-AO61</f>
        <v>0</v>
      </c>
      <c r="AM61" s="349"/>
      <c r="AN61" s="349"/>
      <c r="AO61" s="862"/>
      <c r="AP61" s="349">
        <f t="shared" ref="AP61:AP97" si="45">AJ61-AQ61-AU61</f>
        <v>0</v>
      </c>
      <c r="AQ61" s="349">
        <v>-150000</v>
      </c>
      <c r="AR61" s="349"/>
      <c r="AS61" s="349"/>
      <c r="AT61" s="349"/>
      <c r="AU61" s="349">
        <v>150000</v>
      </c>
      <c r="AV61" s="706"/>
      <c r="AW61" s="706"/>
      <c r="AX61" s="706"/>
      <c r="AY61" s="707"/>
      <c r="AZ61" s="707"/>
      <c r="BA61" s="707"/>
      <c r="BB61" s="707"/>
      <c r="BC61" s="707"/>
      <c r="BD61" s="707"/>
      <c r="BE61" s="707"/>
      <c r="BF61" s="707"/>
      <c r="BG61" s="708"/>
      <c r="BH61" s="708"/>
      <c r="BI61" s="708"/>
      <c r="BJ61" s="708"/>
      <c r="BK61" s="708"/>
      <c r="BL61" s="708"/>
      <c r="BM61" s="708"/>
      <c r="BN61" s="708"/>
      <c r="BO61" s="709"/>
      <c r="BR61" s="709"/>
      <c r="BS61" s="709"/>
      <c r="BT61" s="709"/>
      <c r="BU61" s="711"/>
      <c r="BV61" s="711"/>
      <c r="BW61" s="711"/>
      <c r="BX61" s="711"/>
      <c r="BY61" s="711"/>
      <c r="BZ61" s="711"/>
      <c r="CA61" s="711"/>
      <c r="CB61" s="711"/>
      <c r="CC61" s="711"/>
    </row>
    <row r="62" spans="1:82" s="395" customFormat="1" ht="34.950000000000003" customHeight="1">
      <c r="A62" s="697" t="s">
        <v>1147</v>
      </c>
      <c r="B62" s="701" t="s">
        <v>1148</v>
      </c>
      <c r="C62" s="220">
        <f>1+C61</f>
        <v>47</v>
      </c>
      <c r="D62" s="220">
        <v>20086</v>
      </c>
      <c r="E62" s="235" t="s">
        <v>802</v>
      </c>
      <c r="F62" s="349">
        <v>60000</v>
      </c>
      <c r="G62" s="349"/>
      <c r="H62" s="349">
        <f t="shared" si="36"/>
        <v>60000</v>
      </c>
      <c r="I62" s="349"/>
      <c r="J62" s="349"/>
      <c r="K62" s="349"/>
      <c r="L62" s="349"/>
      <c r="M62" s="349">
        <f t="shared" ref="M62:M75" si="46">SUM(K62:L62)</f>
        <v>0</v>
      </c>
      <c r="N62" s="349">
        <f t="shared" ref="N62:N101" si="47">M62+J62</f>
        <v>0</v>
      </c>
      <c r="O62" s="349">
        <v>60000</v>
      </c>
      <c r="P62" s="349">
        <f t="shared" si="37"/>
        <v>0</v>
      </c>
      <c r="Q62" s="349">
        <f t="shared" si="38"/>
        <v>0</v>
      </c>
      <c r="R62" s="349">
        <f t="shared" si="39"/>
        <v>60000</v>
      </c>
      <c r="S62" s="349"/>
      <c r="T62" s="349">
        <f t="shared" si="40"/>
        <v>60000</v>
      </c>
      <c r="U62" s="349">
        <f t="shared" si="41"/>
        <v>0</v>
      </c>
      <c r="V62" s="349"/>
      <c r="W62" s="349"/>
      <c r="X62" s="349">
        <v>60000</v>
      </c>
      <c r="Y62" s="221" t="s">
        <v>1182</v>
      </c>
      <c r="Z62" s="349"/>
      <c r="AA62" s="349">
        <v>60000</v>
      </c>
      <c r="AB62" s="349"/>
      <c r="AC62" s="349"/>
      <c r="AD62" s="349"/>
      <c r="AE62" s="349"/>
      <c r="AF62" s="349"/>
      <c r="AG62" s="349"/>
      <c r="AH62" s="349"/>
      <c r="AI62" s="349"/>
      <c r="AJ62" s="349">
        <f t="shared" si="42"/>
        <v>60000</v>
      </c>
      <c r="AK62" s="349">
        <f t="shared" si="43"/>
        <v>0</v>
      </c>
      <c r="AL62" s="349">
        <f t="shared" si="44"/>
        <v>0</v>
      </c>
      <c r="AM62" s="349"/>
      <c r="AN62" s="349"/>
      <c r="AO62" s="862"/>
      <c r="AP62" s="349">
        <f t="shared" si="45"/>
        <v>0</v>
      </c>
      <c r="AQ62" s="349"/>
      <c r="AR62" s="349"/>
      <c r="AS62" s="349"/>
      <c r="AT62" s="349"/>
      <c r="AU62" s="349">
        <v>60000</v>
      </c>
      <c r="AV62" s="690"/>
      <c r="AW62" s="690"/>
      <c r="AX62" s="690"/>
      <c r="AY62" s="690"/>
      <c r="AZ62" s="319"/>
      <c r="BA62" s="319"/>
      <c r="BB62" s="319"/>
      <c r="BC62" s="319"/>
      <c r="BD62" s="319"/>
      <c r="BE62" s="319"/>
      <c r="BF62" s="319"/>
      <c r="BG62" s="319"/>
      <c r="BH62" s="394"/>
      <c r="BI62" s="394"/>
      <c r="BJ62" s="394"/>
      <c r="BK62" s="394"/>
      <c r="BL62" s="394"/>
      <c r="BM62" s="394"/>
      <c r="BN62" s="394"/>
      <c r="BO62" s="394"/>
      <c r="BP62" s="122"/>
      <c r="BS62" s="122"/>
      <c r="BT62" s="122"/>
      <c r="BU62" s="122"/>
      <c r="BV62" s="699"/>
      <c r="BW62" s="699"/>
      <c r="BX62" s="699"/>
      <c r="BY62" s="699"/>
      <c r="BZ62" s="699"/>
      <c r="CA62" s="699"/>
      <c r="CB62" s="699"/>
      <c r="CC62" s="699"/>
      <c r="CD62" s="699"/>
    </row>
    <row r="63" spans="1:82" s="395" customFormat="1" ht="39.6" customHeight="1">
      <c r="A63" s="697" t="s">
        <v>1122</v>
      </c>
      <c r="B63" s="701" t="s">
        <v>1123</v>
      </c>
      <c r="C63" s="220">
        <f t="shared" ref="C63:C101" si="48">1+C62</f>
        <v>48</v>
      </c>
      <c r="D63" s="220">
        <v>20030</v>
      </c>
      <c r="E63" s="235" t="s">
        <v>1183</v>
      </c>
      <c r="F63" s="349">
        <v>34650000</v>
      </c>
      <c r="G63" s="349">
        <v>24650000</v>
      </c>
      <c r="H63" s="349">
        <f t="shared" si="36"/>
        <v>10000000</v>
      </c>
      <c r="I63" s="349">
        <v>18150000</v>
      </c>
      <c r="J63" s="349">
        <v>17972885</v>
      </c>
      <c r="K63" s="349"/>
      <c r="L63" s="349"/>
      <c r="M63" s="349">
        <f t="shared" si="46"/>
        <v>0</v>
      </c>
      <c r="N63" s="349">
        <f t="shared" si="47"/>
        <v>17972885</v>
      </c>
      <c r="O63" s="349">
        <f>177115+6500000+10000000</f>
        <v>16677115</v>
      </c>
      <c r="P63" s="349">
        <f t="shared" si="37"/>
        <v>0</v>
      </c>
      <c r="Q63" s="349">
        <f t="shared" si="38"/>
        <v>177115</v>
      </c>
      <c r="R63" s="349">
        <f t="shared" si="39"/>
        <v>16500000</v>
      </c>
      <c r="S63" s="349">
        <v>6500000</v>
      </c>
      <c r="T63" s="349">
        <f t="shared" si="40"/>
        <v>10000000</v>
      </c>
      <c r="U63" s="349">
        <f t="shared" si="41"/>
        <v>4000000</v>
      </c>
      <c r="V63" s="349">
        <f>10000000-4000000</f>
        <v>6000000</v>
      </c>
      <c r="W63" s="349"/>
      <c r="X63" s="349"/>
      <c r="Y63" s="221" t="s">
        <v>1184</v>
      </c>
      <c r="Z63" s="349"/>
      <c r="AA63" s="349"/>
      <c r="AB63" s="349"/>
      <c r="AC63" s="349">
        <v>10000000</v>
      </c>
      <c r="AD63" s="349"/>
      <c r="AE63" s="349"/>
      <c r="AF63" s="349"/>
      <c r="AG63" s="349"/>
      <c r="AH63" s="349"/>
      <c r="AI63" s="349"/>
      <c r="AJ63" s="349">
        <f t="shared" si="42"/>
        <v>10000000</v>
      </c>
      <c r="AK63" s="349">
        <f t="shared" si="43"/>
        <v>0</v>
      </c>
      <c r="AL63" s="349">
        <f t="shared" si="44"/>
        <v>0</v>
      </c>
      <c r="AM63" s="349"/>
      <c r="AN63" s="349"/>
      <c r="AO63" s="862"/>
      <c r="AP63" s="349">
        <f t="shared" si="45"/>
        <v>4000000</v>
      </c>
      <c r="AQ63" s="349">
        <v>6000000</v>
      </c>
      <c r="AR63" s="349"/>
      <c r="AS63" s="349"/>
      <c r="AT63" s="349"/>
      <c r="AU63" s="349"/>
      <c r="AV63" s="690"/>
      <c r="AW63" s="690"/>
      <c r="AX63" s="690"/>
      <c r="AY63" s="690"/>
      <c r="AZ63" s="319"/>
      <c r="BA63" s="319"/>
      <c r="BB63" s="319"/>
      <c r="BC63" s="319"/>
      <c r="BD63" s="319"/>
      <c r="BE63" s="319"/>
      <c r="BF63" s="319"/>
      <c r="BG63" s="319"/>
      <c r="BH63" s="394"/>
      <c r="BI63" s="394"/>
      <c r="BJ63" s="394"/>
      <c r="BK63" s="394"/>
      <c r="BL63" s="394"/>
      <c r="BM63" s="394"/>
      <c r="BN63" s="394"/>
      <c r="BO63" s="394"/>
      <c r="BP63" s="122"/>
      <c r="BS63" s="122"/>
      <c r="BT63" s="122"/>
      <c r="BU63" s="122"/>
      <c r="BV63" s="699"/>
      <c r="BW63" s="699"/>
      <c r="BX63" s="699"/>
      <c r="BY63" s="699"/>
      <c r="BZ63" s="699"/>
      <c r="CA63" s="699"/>
      <c r="CB63" s="699"/>
      <c r="CC63" s="699"/>
      <c r="CD63" s="699"/>
    </row>
    <row r="64" spans="1:82" s="395" customFormat="1" ht="34.950000000000003" customHeight="1">
      <c r="A64" s="697" t="s">
        <v>1122</v>
      </c>
      <c r="B64" s="701" t="s">
        <v>1123</v>
      </c>
      <c r="C64" s="220">
        <f t="shared" si="48"/>
        <v>49</v>
      </c>
      <c r="D64" s="220">
        <v>2178</v>
      </c>
      <c r="E64" s="235" t="s">
        <v>433</v>
      </c>
      <c r="F64" s="349">
        <v>15700000</v>
      </c>
      <c r="G64" s="349">
        <v>15700000</v>
      </c>
      <c r="H64" s="349">
        <f t="shared" si="36"/>
        <v>0</v>
      </c>
      <c r="I64" s="349">
        <v>1700000</v>
      </c>
      <c r="J64" s="349">
        <v>1659121</v>
      </c>
      <c r="K64" s="349"/>
      <c r="L64" s="349"/>
      <c r="M64" s="349">
        <f t="shared" si="46"/>
        <v>0</v>
      </c>
      <c r="N64" s="349">
        <f t="shared" si="47"/>
        <v>1659121</v>
      </c>
      <c r="O64" s="349">
        <v>40879</v>
      </c>
      <c r="P64" s="349">
        <f t="shared" si="37"/>
        <v>14000000</v>
      </c>
      <c r="Q64" s="349">
        <f t="shared" si="38"/>
        <v>40879</v>
      </c>
      <c r="R64" s="349">
        <f t="shared" si="39"/>
        <v>0</v>
      </c>
      <c r="S64" s="349">
        <v>6000000</v>
      </c>
      <c r="T64" s="349">
        <f t="shared" si="40"/>
        <v>-6000000</v>
      </c>
      <c r="U64" s="349">
        <f t="shared" si="41"/>
        <v>0</v>
      </c>
      <c r="V64" s="349">
        <v>-6000000</v>
      </c>
      <c r="W64" s="349"/>
      <c r="X64" s="349"/>
      <c r="Y64" s="221" t="s">
        <v>1185</v>
      </c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>
        <f t="shared" si="42"/>
        <v>0</v>
      </c>
      <c r="AK64" s="349">
        <f t="shared" si="43"/>
        <v>-6000000</v>
      </c>
      <c r="AL64" s="349">
        <f t="shared" si="44"/>
        <v>0</v>
      </c>
      <c r="AM64" s="349"/>
      <c r="AN64" s="349"/>
      <c r="AO64" s="862"/>
      <c r="AP64" s="349">
        <f t="shared" si="45"/>
        <v>0</v>
      </c>
      <c r="AQ64" s="349"/>
      <c r="AR64" s="349"/>
      <c r="AS64" s="349"/>
      <c r="AT64" s="349"/>
      <c r="AU64" s="349"/>
      <c r="AV64" s="690"/>
      <c r="AW64" s="690"/>
      <c r="AX64" s="690"/>
      <c r="AY64" s="690"/>
      <c r="AZ64" s="319"/>
      <c r="BA64" s="319"/>
      <c r="BB64" s="319"/>
      <c r="BC64" s="319"/>
      <c r="BD64" s="319"/>
      <c r="BE64" s="319"/>
      <c r="BF64" s="319"/>
      <c r="BG64" s="319"/>
      <c r="BH64" s="394"/>
      <c r="BI64" s="394"/>
      <c r="BJ64" s="394"/>
      <c r="BK64" s="394"/>
      <c r="BL64" s="394"/>
      <c r="BM64" s="394"/>
      <c r="BN64" s="394"/>
      <c r="BO64" s="394"/>
      <c r="BP64" s="122"/>
      <c r="BS64" s="122"/>
      <c r="BT64" s="122"/>
      <c r="BU64" s="122"/>
      <c r="BV64" s="699"/>
      <c r="BW64" s="699"/>
      <c r="BX64" s="699"/>
      <c r="BY64" s="699"/>
      <c r="BZ64" s="699"/>
      <c r="CA64" s="699"/>
      <c r="CB64" s="699"/>
      <c r="CC64" s="699"/>
      <c r="CD64" s="699"/>
    </row>
    <row r="65" spans="1:82" s="395" customFormat="1" ht="34.950000000000003" customHeight="1">
      <c r="A65" s="697" t="s">
        <v>1122</v>
      </c>
      <c r="B65" s="701" t="s">
        <v>1123</v>
      </c>
      <c r="C65" s="220">
        <f t="shared" si="48"/>
        <v>50</v>
      </c>
      <c r="D65" s="220">
        <v>2238</v>
      </c>
      <c r="E65" s="235" t="s">
        <v>1186</v>
      </c>
      <c r="F65" s="349">
        <f>5100000+1600000</f>
        <v>6700000</v>
      </c>
      <c r="G65" s="349">
        <v>5100000</v>
      </c>
      <c r="H65" s="349">
        <f t="shared" si="36"/>
        <v>1600000</v>
      </c>
      <c r="I65" s="349">
        <v>5100000</v>
      </c>
      <c r="J65" s="349">
        <v>2467305</v>
      </c>
      <c r="K65" s="349"/>
      <c r="L65" s="349"/>
      <c r="M65" s="349">
        <f>SUM(K65:L65)</f>
        <v>0</v>
      </c>
      <c r="N65" s="349">
        <f t="shared" si="47"/>
        <v>2467305</v>
      </c>
      <c r="O65" s="349">
        <f>2632695+1600000</f>
        <v>4232695</v>
      </c>
      <c r="P65" s="349">
        <f t="shared" si="37"/>
        <v>0</v>
      </c>
      <c r="Q65" s="349">
        <f t="shared" si="38"/>
        <v>2632695</v>
      </c>
      <c r="R65" s="349">
        <f t="shared" si="39"/>
        <v>1600000</v>
      </c>
      <c r="S65" s="349"/>
      <c r="T65" s="349">
        <f t="shared" si="40"/>
        <v>1600000</v>
      </c>
      <c r="U65" s="349">
        <f t="shared" si="41"/>
        <v>0</v>
      </c>
      <c r="V65" s="349">
        <v>1600000</v>
      </c>
      <c r="W65" s="349"/>
      <c r="X65" s="349"/>
      <c r="Y65" s="221" t="s">
        <v>1187</v>
      </c>
      <c r="Z65" s="349"/>
      <c r="AA65" s="349"/>
      <c r="AB65" s="349"/>
      <c r="AC65" s="349"/>
      <c r="AD65" s="349"/>
      <c r="AE65" s="349"/>
      <c r="AF65" s="349">
        <v>1600000</v>
      </c>
      <c r="AG65" s="349"/>
      <c r="AH65" s="349"/>
      <c r="AI65" s="349"/>
      <c r="AJ65" s="349">
        <f t="shared" si="42"/>
        <v>1600000</v>
      </c>
      <c r="AK65" s="349">
        <f t="shared" si="43"/>
        <v>0</v>
      </c>
      <c r="AL65" s="349">
        <f t="shared" si="44"/>
        <v>0</v>
      </c>
      <c r="AM65" s="349"/>
      <c r="AN65" s="349"/>
      <c r="AO65" s="862"/>
      <c r="AP65" s="349">
        <f t="shared" si="45"/>
        <v>0</v>
      </c>
      <c r="AQ65" s="349">
        <v>1600000</v>
      </c>
      <c r="AR65" s="349"/>
      <c r="AS65" s="349"/>
      <c r="AT65" s="349"/>
      <c r="AU65" s="349"/>
      <c r="AV65" s="690"/>
      <c r="AW65" s="690"/>
      <c r="AX65" s="690"/>
      <c r="AY65" s="690"/>
      <c r="AZ65" s="319"/>
      <c r="BA65" s="319"/>
      <c r="BB65" s="319"/>
      <c r="BC65" s="319"/>
      <c r="BD65" s="319"/>
      <c r="BE65" s="319"/>
      <c r="BF65" s="319"/>
      <c r="BG65" s="319"/>
      <c r="BH65" s="394"/>
      <c r="BI65" s="394"/>
      <c r="BJ65" s="394"/>
      <c r="BK65" s="394"/>
      <c r="BL65" s="394"/>
      <c r="BM65" s="394"/>
      <c r="BN65" s="394"/>
      <c r="BO65" s="394"/>
      <c r="BP65" s="122"/>
      <c r="BS65" s="122"/>
      <c r="BT65" s="122"/>
      <c r="BU65" s="122"/>
      <c r="BV65" s="699"/>
      <c r="BW65" s="699"/>
      <c r="BX65" s="699"/>
      <c r="BY65" s="699"/>
      <c r="BZ65" s="699"/>
      <c r="CA65" s="699"/>
      <c r="CB65" s="699"/>
      <c r="CC65" s="699"/>
      <c r="CD65" s="699"/>
    </row>
    <row r="66" spans="1:82" s="395" customFormat="1" ht="34.950000000000003" customHeight="1">
      <c r="A66" s="697" t="s">
        <v>1122</v>
      </c>
      <c r="B66" s="701" t="s">
        <v>1123</v>
      </c>
      <c r="C66" s="220">
        <f t="shared" si="48"/>
        <v>51</v>
      </c>
      <c r="D66" s="220">
        <v>20054</v>
      </c>
      <c r="E66" s="235" t="s">
        <v>1188</v>
      </c>
      <c r="F66" s="349">
        <v>1400000</v>
      </c>
      <c r="G66" s="349">
        <v>1400000</v>
      </c>
      <c r="H66" s="349">
        <f t="shared" si="36"/>
        <v>0</v>
      </c>
      <c r="I66" s="349">
        <v>1400000</v>
      </c>
      <c r="J66" s="349">
        <v>1251321</v>
      </c>
      <c r="K66" s="349"/>
      <c r="L66" s="349"/>
      <c r="M66" s="349">
        <f>SUM(K66:L66)</f>
        <v>0</v>
      </c>
      <c r="N66" s="349">
        <f t="shared" si="47"/>
        <v>1251321</v>
      </c>
      <c r="O66" s="349">
        <v>148679</v>
      </c>
      <c r="P66" s="349">
        <f t="shared" si="37"/>
        <v>0</v>
      </c>
      <c r="Q66" s="349">
        <f t="shared" si="38"/>
        <v>148679</v>
      </c>
      <c r="R66" s="349">
        <f t="shared" si="39"/>
        <v>0</v>
      </c>
      <c r="S66" s="349"/>
      <c r="T66" s="349">
        <f t="shared" si="40"/>
        <v>0</v>
      </c>
      <c r="U66" s="349">
        <f t="shared" si="41"/>
        <v>-350000</v>
      </c>
      <c r="V66" s="349"/>
      <c r="W66" s="349"/>
      <c r="X66" s="349">
        <v>350000</v>
      </c>
      <c r="Y66" s="221" t="s">
        <v>1189</v>
      </c>
      <c r="Z66" s="349"/>
      <c r="AA66" s="349"/>
      <c r="AB66" s="349"/>
      <c r="AC66" s="860"/>
      <c r="AD66" s="349"/>
      <c r="AE66" s="349"/>
      <c r="AF66" s="349"/>
      <c r="AG66" s="349"/>
      <c r="AH66" s="349"/>
      <c r="AI66" s="349"/>
      <c r="AJ66" s="349">
        <f t="shared" si="42"/>
        <v>0</v>
      </c>
      <c r="AK66" s="349">
        <f t="shared" si="43"/>
        <v>0</v>
      </c>
      <c r="AL66" s="349">
        <f t="shared" si="44"/>
        <v>0</v>
      </c>
      <c r="AM66" s="349"/>
      <c r="AN66" s="349"/>
      <c r="AO66" s="862"/>
      <c r="AP66" s="349">
        <f t="shared" si="45"/>
        <v>-350000</v>
      </c>
      <c r="AQ66" s="349"/>
      <c r="AR66" s="349"/>
      <c r="AS66" s="349"/>
      <c r="AT66" s="349"/>
      <c r="AU66" s="349">
        <v>350000</v>
      </c>
      <c r="AV66" s="690"/>
      <c r="AW66" s="690"/>
      <c r="AX66" s="690"/>
      <c r="AY66" s="690"/>
      <c r="AZ66" s="319"/>
      <c r="BA66" s="319"/>
      <c r="BB66" s="319"/>
      <c r="BC66" s="319"/>
      <c r="BD66" s="319"/>
      <c r="BE66" s="319"/>
      <c r="BF66" s="319"/>
      <c r="BG66" s="319"/>
      <c r="BH66" s="394"/>
      <c r="BI66" s="394"/>
      <c r="BJ66" s="394"/>
      <c r="BK66" s="394"/>
      <c r="BL66" s="394"/>
      <c r="BM66" s="394"/>
      <c r="BN66" s="394"/>
      <c r="BO66" s="394"/>
      <c r="BP66" s="122"/>
      <c r="BS66" s="122"/>
      <c r="BT66" s="122"/>
      <c r="BU66" s="122"/>
      <c r="BV66" s="699"/>
      <c r="BW66" s="699"/>
      <c r="BX66" s="699"/>
      <c r="BY66" s="699"/>
      <c r="BZ66" s="699"/>
      <c r="CA66" s="699"/>
      <c r="CB66" s="699"/>
      <c r="CC66" s="699"/>
      <c r="CD66" s="699"/>
    </row>
    <row r="67" spans="1:82" s="395" customFormat="1" ht="34.950000000000003" customHeight="1">
      <c r="A67" s="697" t="s">
        <v>1122</v>
      </c>
      <c r="B67" s="701" t="s">
        <v>1123</v>
      </c>
      <c r="C67" s="220">
        <f t="shared" si="48"/>
        <v>52</v>
      </c>
      <c r="D67" s="220">
        <v>20088</v>
      </c>
      <c r="E67" s="235" t="s">
        <v>935</v>
      </c>
      <c r="F67" s="349">
        <v>30000</v>
      </c>
      <c r="G67" s="349"/>
      <c r="H67" s="349">
        <f t="shared" si="36"/>
        <v>30000</v>
      </c>
      <c r="I67" s="349"/>
      <c r="J67" s="349"/>
      <c r="K67" s="349"/>
      <c r="L67" s="349"/>
      <c r="M67" s="349">
        <f>SUM(K67:L67)</f>
        <v>0</v>
      </c>
      <c r="N67" s="349">
        <f t="shared" si="47"/>
        <v>0</v>
      </c>
      <c r="O67" s="349">
        <v>30000</v>
      </c>
      <c r="P67" s="349">
        <f t="shared" si="37"/>
        <v>0</v>
      </c>
      <c r="Q67" s="349">
        <f t="shared" si="38"/>
        <v>0</v>
      </c>
      <c r="R67" s="349">
        <f t="shared" si="39"/>
        <v>30000</v>
      </c>
      <c r="S67" s="349"/>
      <c r="T67" s="349">
        <f t="shared" si="40"/>
        <v>30000</v>
      </c>
      <c r="U67" s="349">
        <f t="shared" si="41"/>
        <v>0</v>
      </c>
      <c r="V67" s="349"/>
      <c r="W67" s="349"/>
      <c r="X67" s="349">
        <v>30000</v>
      </c>
      <c r="Y67" s="221" t="s">
        <v>1190</v>
      </c>
      <c r="Z67" s="349"/>
      <c r="AA67" s="349"/>
      <c r="AB67" s="349"/>
      <c r="AC67" s="349">
        <v>30000</v>
      </c>
      <c r="AD67" s="349"/>
      <c r="AE67" s="349"/>
      <c r="AF67" s="349"/>
      <c r="AG67" s="349"/>
      <c r="AH67" s="349"/>
      <c r="AI67" s="349"/>
      <c r="AJ67" s="349">
        <f t="shared" si="42"/>
        <v>30000</v>
      </c>
      <c r="AK67" s="349">
        <f t="shared" si="43"/>
        <v>0</v>
      </c>
      <c r="AL67" s="349">
        <f t="shared" si="44"/>
        <v>0</v>
      </c>
      <c r="AM67" s="349"/>
      <c r="AN67" s="349"/>
      <c r="AO67" s="862"/>
      <c r="AP67" s="349">
        <f t="shared" si="45"/>
        <v>0</v>
      </c>
      <c r="AQ67" s="349"/>
      <c r="AR67" s="349"/>
      <c r="AS67" s="349"/>
      <c r="AT67" s="349"/>
      <c r="AU67" s="349">
        <v>30000</v>
      </c>
      <c r="AV67" s="690"/>
      <c r="AW67" s="690"/>
      <c r="AX67" s="690"/>
      <c r="AY67" s="690"/>
      <c r="AZ67" s="319"/>
      <c r="BA67" s="319"/>
      <c r="BB67" s="319"/>
      <c r="BC67" s="319"/>
      <c r="BD67" s="319"/>
      <c r="BE67" s="319"/>
      <c r="BF67" s="319"/>
      <c r="BG67" s="319"/>
      <c r="BH67" s="394"/>
      <c r="BI67" s="394"/>
      <c r="BJ67" s="394"/>
      <c r="BK67" s="394"/>
      <c r="BL67" s="394"/>
      <c r="BM67" s="394"/>
      <c r="BN67" s="394"/>
      <c r="BO67" s="394"/>
      <c r="BP67" s="122"/>
      <c r="BS67" s="122"/>
      <c r="BT67" s="122"/>
      <c r="BU67" s="122"/>
      <c r="BV67" s="699"/>
      <c r="BW67" s="699"/>
      <c r="BX67" s="699"/>
      <c r="BY67" s="699"/>
      <c r="BZ67" s="699"/>
      <c r="CA67" s="699"/>
      <c r="CB67" s="699"/>
      <c r="CC67" s="699"/>
      <c r="CD67" s="699"/>
    </row>
    <row r="68" spans="1:82" s="395" customFormat="1" ht="41.4" customHeight="1">
      <c r="A68" s="697" t="s">
        <v>1122</v>
      </c>
      <c r="B68" s="701" t="s">
        <v>1123</v>
      </c>
      <c r="C68" s="220">
        <f t="shared" si="48"/>
        <v>53</v>
      </c>
      <c r="D68" s="220">
        <v>2240</v>
      </c>
      <c r="E68" s="235" t="s">
        <v>608</v>
      </c>
      <c r="F68" s="349">
        <v>13200000</v>
      </c>
      <c r="G68" s="349">
        <v>13200000</v>
      </c>
      <c r="H68" s="349">
        <f t="shared" si="36"/>
        <v>0</v>
      </c>
      <c r="I68" s="349">
        <v>2900000</v>
      </c>
      <c r="J68" s="349">
        <v>1924309</v>
      </c>
      <c r="K68" s="349"/>
      <c r="L68" s="349"/>
      <c r="M68" s="349">
        <f t="shared" si="46"/>
        <v>0</v>
      </c>
      <c r="N68" s="349">
        <f t="shared" si="47"/>
        <v>1924309</v>
      </c>
      <c r="O68" s="349">
        <f>1340000+975691</f>
        <v>2315691</v>
      </c>
      <c r="P68" s="349">
        <f t="shared" si="37"/>
        <v>8960000</v>
      </c>
      <c r="Q68" s="349">
        <f t="shared" si="38"/>
        <v>975691</v>
      </c>
      <c r="R68" s="349">
        <f t="shared" si="39"/>
        <v>1340000</v>
      </c>
      <c r="S68" s="349">
        <v>1340000</v>
      </c>
      <c r="T68" s="349">
        <f t="shared" si="40"/>
        <v>0</v>
      </c>
      <c r="U68" s="349">
        <f t="shared" si="41"/>
        <v>0</v>
      </c>
      <c r="V68" s="349"/>
      <c r="W68" s="349"/>
      <c r="X68" s="349"/>
      <c r="Y68" s="221" t="s">
        <v>1191</v>
      </c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>
        <f t="shared" si="42"/>
        <v>0</v>
      </c>
      <c r="AK68" s="349">
        <f t="shared" si="43"/>
        <v>0</v>
      </c>
      <c r="AL68" s="349">
        <f t="shared" si="44"/>
        <v>0</v>
      </c>
      <c r="AM68" s="349"/>
      <c r="AN68" s="349"/>
      <c r="AO68" s="862"/>
      <c r="AP68" s="349">
        <f t="shared" si="45"/>
        <v>0</v>
      </c>
      <c r="AQ68" s="349"/>
      <c r="AR68" s="349"/>
      <c r="AS68" s="349"/>
      <c r="AT68" s="349"/>
      <c r="AU68" s="349"/>
      <c r="AV68" s="690"/>
      <c r="AW68" s="690"/>
      <c r="AX68" s="690"/>
      <c r="AY68" s="690"/>
      <c r="AZ68" s="319"/>
      <c r="BA68" s="319"/>
      <c r="BB68" s="319"/>
      <c r="BC68" s="319"/>
      <c r="BD68" s="319"/>
      <c r="BE68" s="319"/>
      <c r="BF68" s="319"/>
      <c r="BG68" s="319"/>
      <c r="BH68" s="394"/>
      <c r="BI68" s="394"/>
      <c r="BJ68" s="394"/>
      <c r="BK68" s="394"/>
      <c r="BL68" s="394"/>
      <c r="BM68" s="394"/>
      <c r="BN68" s="394"/>
      <c r="BO68" s="394"/>
      <c r="BP68" s="122"/>
      <c r="BS68" s="122"/>
      <c r="BT68" s="122"/>
      <c r="BU68" s="122"/>
      <c r="BV68" s="699"/>
      <c r="BW68" s="699"/>
      <c r="BX68" s="699"/>
      <c r="BY68" s="699"/>
      <c r="BZ68" s="699"/>
      <c r="CA68" s="699"/>
      <c r="CB68" s="699"/>
      <c r="CC68" s="699"/>
      <c r="CD68" s="699"/>
    </row>
    <row r="69" spans="1:82" s="395" customFormat="1" ht="34.950000000000003" customHeight="1">
      <c r="A69" s="697" t="s">
        <v>1122</v>
      </c>
      <c r="B69" s="701" t="s">
        <v>1123</v>
      </c>
      <c r="C69" s="220">
        <f t="shared" si="48"/>
        <v>54</v>
      </c>
      <c r="D69" s="220">
        <v>2239</v>
      </c>
      <c r="E69" s="235" t="s">
        <v>607</v>
      </c>
      <c r="F69" s="349">
        <v>30000000</v>
      </c>
      <c r="G69" s="349">
        <v>30000000</v>
      </c>
      <c r="H69" s="349">
        <f t="shared" si="36"/>
        <v>0</v>
      </c>
      <c r="I69" s="349">
        <v>2750000</v>
      </c>
      <c r="J69" s="349">
        <v>1597535</v>
      </c>
      <c r="K69" s="349"/>
      <c r="L69" s="349"/>
      <c r="M69" s="349">
        <f t="shared" si="46"/>
        <v>0</v>
      </c>
      <c r="N69" s="349">
        <f t="shared" si="47"/>
        <v>1597535</v>
      </c>
      <c r="O69" s="349">
        <f>1500000+1152465+500000</f>
        <v>3152465</v>
      </c>
      <c r="P69" s="349">
        <f t="shared" si="37"/>
        <v>25250000</v>
      </c>
      <c r="Q69" s="349">
        <f t="shared" si="38"/>
        <v>1152465</v>
      </c>
      <c r="R69" s="349">
        <f t="shared" si="39"/>
        <v>2000000</v>
      </c>
      <c r="S69" s="349">
        <v>1500000</v>
      </c>
      <c r="T69" s="349">
        <f t="shared" si="40"/>
        <v>500000</v>
      </c>
      <c r="U69" s="349">
        <f t="shared" si="41"/>
        <v>0</v>
      </c>
      <c r="V69" s="349">
        <v>500000</v>
      </c>
      <c r="W69" s="349"/>
      <c r="X69" s="349"/>
      <c r="Y69" s="221" t="s">
        <v>781</v>
      </c>
      <c r="Z69" s="349"/>
      <c r="AA69" s="349"/>
      <c r="AB69" s="349"/>
      <c r="AC69" s="349">
        <v>500000</v>
      </c>
      <c r="AD69" s="349"/>
      <c r="AE69" s="349"/>
      <c r="AF69" s="349"/>
      <c r="AG69" s="349"/>
      <c r="AH69" s="349"/>
      <c r="AI69" s="349"/>
      <c r="AJ69" s="349">
        <f t="shared" si="42"/>
        <v>500000</v>
      </c>
      <c r="AK69" s="349">
        <f t="shared" si="43"/>
        <v>0</v>
      </c>
      <c r="AL69" s="349">
        <f t="shared" si="44"/>
        <v>0</v>
      </c>
      <c r="AM69" s="349"/>
      <c r="AN69" s="349"/>
      <c r="AO69" s="862"/>
      <c r="AP69" s="349">
        <f t="shared" si="45"/>
        <v>0</v>
      </c>
      <c r="AQ69" s="349">
        <v>500000</v>
      </c>
      <c r="AR69" s="349"/>
      <c r="AS69" s="349"/>
      <c r="AT69" s="349"/>
      <c r="AU69" s="349"/>
      <c r="AV69" s="690"/>
      <c r="AW69" s="690"/>
      <c r="AX69" s="690"/>
      <c r="AY69" s="690"/>
      <c r="AZ69" s="319"/>
      <c r="BA69" s="319"/>
      <c r="BB69" s="319"/>
      <c r="BC69" s="319"/>
      <c r="BD69" s="319"/>
      <c r="BE69" s="319"/>
      <c r="BF69" s="319"/>
      <c r="BG69" s="319"/>
      <c r="BH69" s="394"/>
      <c r="BI69" s="394"/>
      <c r="BJ69" s="394"/>
      <c r="BK69" s="394"/>
      <c r="BL69" s="394"/>
      <c r="BM69" s="394"/>
      <c r="BN69" s="394"/>
      <c r="BO69" s="394"/>
      <c r="BP69" s="122"/>
      <c r="BS69" s="122"/>
      <c r="BT69" s="122"/>
      <c r="BU69" s="122"/>
      <c r="BV69" s="699"/>
      <c r="BW69" s="699"/>
      <c r="BX69" s="699"/>
      <c r="BY69" s="699"/>
      <c r="BZ69" s="699"/>
      <c r="CA69" s="699"/>
      <c r="CB69" s="699"/>
      <c r="CC69" s="699"/>
      <c r="CD69" s="699"/>
    </row>
    <row r="70" spans="1:82" s="395" customFormat="1" ht="34.950000000000003" customHeight="1">
      <c r="A70" s="697" t="s">
        <v>1122</v>
      </c>
      <c r="B70" s="701" t="s">
        <v>1123</v>
      </c>
      <c r="C70" s="220">
        <f t="shared" si="48"/>
        <v>55</v>
      </c>
      <c r="D70" s="220">
        <v>2166</v>
      </c>
      <c r="E70" s="235" t="s">
        <v>399</v>
      </c>
      <c r="F70" s="349">
        <v>500000</v>
      </c>
      <c r="G70" s="349">
        <v>500000</v>
      </c>
      <c r="H70" s="349">
        <f t="shared" si="36"/>
        <v>0</v>
      </c>
      <c r="I70" s="349"/>
      <c r="J70" s="349"/>
      <c r="K70" s="349"/>
      <c r="L70" s="349"/>
      <c r="M70" s="349">
        <f>SUM(K70:L70)</f>
        <v>0</v>
      </c>
      <c r="N70" s="349">
        <f t="shared" si="47"/>
        <v>0</v>
      </c>
      <c r="O70" s="349"/>
      <c r="P70" s="349">
        <f t="shared" si="37"/>
        <v>500000</v>
      </c>
      <c r="Q70" s="349">
        <f t="shared" si="38"/>
        <v>0</v>
      </c>
      <c r="R70" s="349">
        <f t="shared" si="39"/>
        <v>0</v>
      </c>
      <c r="S70" s="349">
        <v>500000</v>
      </c>
      <c r="T70" s="349">
        <f t="shared" si="40"/>
        <v>-500000</v>
      </c>
      <c r="U70" s="349">
        <f t="shared" si="41"/>
        <v>0</v>
      </c>
      <c r="V70" s="349">
        <v>-500000</v>
      </c>
      <c r="W70" s="349"/>
      <c r="X70" s="349"/>
      <c r="Y70" s="221" t="s">
        <v>781</v>
      </c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>
        <f t="shared" si="42"/>
        <v>0</v>
      </c>
      <c r="AK70" s="349">
        <f t="shared" si="43"/>
        <v>-500000</v>
      </c>
      <c r="AL70" s="349">
        <f t="shared" si="44"/>
        <v>0</v>
      </c>
      <c r="AM70" s="349"/>
      <c r="AN70" s="349"/>
      <c r="AO70" s="862"/>
      <c r="AP70" s="349">
        <f t="shared" si="45"/>
        <v>0</v>
      </c>
      <c r="AQ70" s="349"/>
      <c r="AR70" s="349"/>
      <c r="AS70" s="349"/>
      <c r="AT70" s="349"/>
      <c r="AU70" s="349"/>
      <c r="AV70" s="690"/>
      <c r="AW70" s="690"/>
      <c r="AX70" s="690"/>
      <c r="AY70" s="690"/>
      <c r="AZ70" s="319"/>
      <c r="BA70" s="319"/>
      <c r="BB70" s="319"/>
      <c r="BC70" s="319"/>
      <c r="BD70" s="319"/>
      <c r="BE70" s="319"/>
      <c r="BF70" s="319"/>
      <c r="BG70" s="319"/>
      <c r="BH70" s="394"/>
      <c r="BI70" s="394"/>
      <c r="BJ70" s="394"/>
      <c r="BK70" s="394"/>
      <c r="BL70" s="394"/>
      <c r="BM70" s="394"/>
      <c r="BN70" s="394"/>
      <c r="BO70" s="394"/>
      <c r="BP70" s="122"/>
      <c r="BS70" s="122"/>
      <c r="BT70" s="122"/>
      <c r="BU70" s="122"/>
      <c r="BV70" s="699"/>
      <c r="BW70" s="699"/>
      <c r="BX70" s="699"/>
      <c r="BY70" s="699"/>
      <c r="BZ70" s="699"/>
      <c r="CA70" s="699"/>
      <c r="CB70" s="699"/>
      <c r="CC70" s="699"/>
      <c r="CD70" s="699"/>
    </row>
    <row r="71" spans="1:82" s="395" customFormat="1" ht="34.950000000000003" customHeight="1">
      <c r="A71" s="697" t="s">
        <v>1122</v>
      </c>
      <c r="B71" s="701" t="s">
        <v>1123</v>
      </c>
      <c r="C71" s="220">
        <f t="shared" si="48"/>
        <v>56</v>
      </c>
      <c r="D71" s="220">
        <v>1210</v>
      </c>
      <c r="E71" s="235" t="s">
        <v>57</v>
      </c>
      <c r="F71" s="349">
        <f>113550000+5000000</f>
        <v>118550000</v>
      </c>
      <c r="G71" s="349">
        <v>113550000</v>
      </c>
      <c r="H71" s="349">
        <f t="shared" si="36"/>
        <v>5000000</v>
      </c>
      <c r="I71" s="349">
        <v>104200000</v>
      </c>
      <c r="J71" s="349">
        <v>104163073</v>
      </c>
      <c r="K71" s="349"/>
      <c r="L71" s="349"/>
      <c r="M71" s="349">
        <f t="shared" si="46"/>
        <v>0</v>
      </c>
      <c r="N71" s="349">
        <f t="shared" si="47"/>
        <v>104163073</v>
      </c>
      <c r="O71" s="349">
        <f>7000000+36927+5000000</f>
        <v>12036927</v>
      </c>
      <c r="P71" s="349">
        <f t="shared" si="37"/>
        <v>2350000</v>
      </c>
      <c r="Q71" s="349">
        <f t="shared" si="38"/>
        <v>36927</v>
      </c>
      <c r="R71" s="349">
        <f t="shared" si="39"/>
        <v>12000000</v>
      </c>
      <c r="S71" s="349">
        <v>7000000</v>
      </c>
      <c r="T71" s="349">
        <f t="shared" si="40"/>
        <v>5000000</v>
      </c>
      <c r="U71" s="349">
        <f t="shared" si="41"/>
        <v>0</v>
      </c>
      <c r="V71" s="349"/>
      <c r="W71" s="349"/>
      <c r="X71" s="349">
        <v>5000000</v>
      </c>
      <c r="Y71" s="221" t="s">
        <v>1192</v>
      </c>
      <c r="Z71" s="349"/>
      <c r="AA71" s="349"/>
      <c r="AB71" s="349"/>
      <c r="AC71" s="349"/>
      <c r="AD71" s="349">
        <v>5000000</v>
      </c>
      <c r="AE71" s="349"/>
      <c r="AF71" s="349"/>
      <c r="AG71" s="349"/>
      <c r="AH71" s="349"/>
      <c r="AI71" s="349"/>
      <c r="AJ71" s="349">
        <f t="shared" si="42"/>
        <v>5000000</v>
      </c>
      <c r="AK71" s="349">
        <f t="shared" si="43"/>
        <v>0</v>
      </c>
      <c r="AL71" s="349">
        <f t="shared" si="44"/>
        <v>0</v>
      </c>
      <c r="AM71" s="349"/>
      <c r="AN71" s="349"/>
      <c r="AO71" s="349"/>
      <c r="AP71" s="349">
        <f t="shared" si="45"/>
        <v>0</v>
      </c>
      <c r="AQ71" s="349"/>
      <c r="AR71" s="349"/>
      <c r="AS71" s="349"/>
      <c r="AT71" s="349"/>
      <c r="AU71" s="349">
        <v>5000000</v>
      </c>
      <c r="AV71" s="690"/>
      <c r="AW71" s="690"/>
      <c r="AX71" s="690"/>
      <c r="AY71" s="690"/>
      <c r="AZ71" s="319"/>
      <c r="BA71" s="319"/>
      <c r="BB71" s="319"/>
      <c r="BC71" s="319"/>
      <c r="BD71" s="319"/>
      <c r="BE71" s="319"/>
      <c r="BF71" s="319"/>
      <c r="BG71" s="319"/>
      <c r="BH71" s="394"/>
      <c r="BI71" s="394"/>
      <c r="BJ71" s="394"/>
      <c r="BK71" s="394"/>
      <c r="BL71" s="394"/>
      <c r="BM71" s="394"/>
      <c r="BN71" s="394"/>
      <c r="BO71" s="394"/>
      <c r="BP71" s="122"/>
      <c r="BS71" s="122"/>
      <c r="BT71" s="122"/>
      <c r="BU71" s="122"/>
      <c r="BV71" s="699"/>
      <c r="BW71" s="699"/>
      <c r="BX71" s="699"/>
      <c r="BY71" s="699"/>
      <c r="BZ71" s="699"/>
      <c r="CA71" s="699"/>
      <c r="CB71" s="699"/>
      <c r="CC71" s="699"/>
      <c r="CD71" s="699"/>
    </row>
    <row r="72" spans="1:82" s="395" customFormat="1" ht="55.2">
      <c r="A72" s="697" t="s">
        <v>1122</v>
      </c>
      <c r="B72" s="701" t="s">
        <v>1123</v>
      </c>
      <c r="C72" s="220">
        <f t="shared" si="48"/>
        <v>57</v>
      </c>
      <c r="D72" s="220">
        <v>20089</v>
      </c>
      <c r="E72" s="235" t="s">
        <v>936</v>
      </c>
      <c r="F72" s="349">
        <v>500000</v>
      </c>
      <c r="G72" s="349"/>
      <c r="H72" s="349">
        <f t="shared" si="36"/>
        <v>500000</v>
      </c>
      <c r="I72" s="349"/>
      <c r="J72" s="349"/>
      <c r="K72" s="349"/>
      <c r="L72" s="349"/>
      <c r="M72" s="349">
        <f t="shared" si="46"/>
        <v>0</v>
      </c>
      <c r="N72" s="349">
        <f t="shared" si="47"/>
        <v>0</v>
      </c>
      <c r="O72" s="349">
        <v>500000</v>
      </c>
      <c r="P72" s="349">
        <f t="shared" si="37"/>
        <v>0</v>
      </c>
      <c r="Q72" s="349">
        <f t="shared" si="38"/>
        <v>0</v>
      </c>
      <c r="R72" s="349">
        <f t="shared" si="39"/>
        <v>500000</v>
      </c>
      <c r="S72" s="349"/>
      <c r="T72" s="349">
        <f t="shared" si="40"/>
        <v>500000</v>
      </c>
      <c r="U72" s="349">
        <f t="shared" si="41"/>
        <v>100000</v>
      </c>
      <c r="V72" s="349"/>
      <c r="W72" s="349"/>
      <c r="X72" s="349">
        <v>400000</v>
      </c>
      <c r="Y72" s="221" t="s">
        <v>1193</v>
      </c>
      <c r="Z72" s="349"/>
      <c r="AA72" s="349"/>
      <c r="AB72" s="349"/>
      <c r="AC72" s="349"/>
      <c r="AD72" s="349">
        <v>500000</v>
      </c>
      <c r="AE72" s="349"/>
      <c r="AF72" s="349"/>
      <c r="AG72" s="349"/>
      <c r="AH72" s="349"/>
      <c r="AI72" s="349"/>
      <c r="AJ72" s="349">
        <f t="shared" si="42"/>
        <v>500000</v>
      </c>
      <c r="AK72" s="349">
        <f t="shared" si="43"/>
        <v>0</v>
      </c>
      <c r="AL72" s="349">
        <f t="shared" si="44"/>
        <v>0</v>
      </c>
      <c r="AM72" s="349"/>
      <c r="AN72" s="349"/>
      <c r="AO72" s="349"/>
      <c r="AP72" s="349">
        <f t="shared" si="45"/>
        <v>100000</v>
      </c>
      <c r="AQ72" s="349"/>
      <c r="AR72" s="349"/>
      <c r="AS72" s="349"/>
      <c r="AT72" s="349"/>
      <c r="AU72" s="349">
        <v>400000</v>
      </c>
      <c r="AV72" s="690"/>
      <c r="AW72" s="690"/>
      <c r="AX72" s="690"/>
      <c r="AY72" s="690"/>
      <c r="AZ72" s="319"/>
      <c r="BA72" s="319"/>
      <c r="BB72" s="319"/>
      <c r="BC72" s="319"/>
      <c r="BD72" s="319"/>
      <c r="BE72" s="319"/>
      <c r="BF72" s="319"/>
      <c r="BG72" s="319"/>
      <c r="BH72" s="394"/>
      <c r="BI72" s="394"/>
      <c r="BJ72" s="394"/>
      <c r="BK72" s="394"/>
      <c r="BL72" s="394"/>
      <c r="BM72" s="394"/>
      <c r="BN72" s="394"/>
      <c r="BO72" s="394"/>
      <c r="BP72" s="122"/>
      <c r="BS72" s="122"/>
      <c r="BT72" s="122"/>
      <c r="BU72" s="122"/>
      <c r="BV72" s="699"/>
      <c r="BW72" s="699"/>
      <c r="BX72" s="699"/>
      <c r="BY72" s="699"/>
      <c r="BZ72" s="699"/>
      <c r="CA72" s="699"/>
      <c r="CB72" s="699"/>
      <c r="CC72" s="699"/>
      <c r="CD72" s="699"/>
    </row>
    <row r="73" spans="1:82" s="395" customFormat="1" ht="34.950000000000003" customHeight="1">
      <c r="A73" s="697" t="s">
        <v>1158</v>
      </c>
      <c r="B73" s="701" t="s">
        <v>1159</v>
      </c>
      <c r="C73" s="220">
        <f t="shared" si="48"/>
        <v>58</v>
      </c>
      <c r="D73" s="220">
        <v>20091</v>
      </c>
      <c r="E73" s="235" t="s">
        <v>937</v>
      </c>
      <c r="F73" s="349">
        <v>500000</v>
      </c>
      <c r="G73" s="349"/>
      <c r="H73" s="349">
        <f t="shared" si="36"/>
        <v>500000</v>
      </c>
      <c r="I73" s="349"/>
      <c r="J73" s="349"/>
      <c r="K73" s="349"/>
      <c r="L73" s="349"/>
      <c r="M73" s="349">
        <f t="shared" si="46"/>
        <v>0</v>
      </c>
      <c r="N73" s="349">
        <f t="shared" si="47"/>
        <v>0</v>
      </c>
      <c r="O73" s="349">
        <v>500000</v>
      </c>
      <c r="P73" s="349">
        <f t="shared" si="37"/>
        <v>0</v>
      </c>
      <c r="Q73" s="349">
        <f t="shared" si="38"/>
        <v>0</v>
      </c>
      <c r="R73" s="349">
        <f t="shared" si="39"/>
        <v>500000</v>
      </c>
      <c r="S73" s="349"/>
      <c r="T73" s="349">
        <f t="shared" si="40"/>
        <v>500000</v>
      </c>
      <c r="U73" s="349">
        <f t="shared" si="41"/>
        <v>0</v>
      </c>
      <c r="V73" s="349">
        <v>500000</v>
      </c>
      <c r="W73" s="349"/>
      <c r="X73" s="349"/>
      <c r="Y73" s="221" t="s">
        <v>1194</v>
      </c>
      <c r="Z73" s="349"/>
      <c r="AA73" s="349"/>
      <c r="AB73" s="349"/>
      <c r="AC73" s="349"/>
      <c r="AD73" s="349">
        <v>500000</v>
      </c>
      <c r="AE73" s="349"/>
      <c r="AF73" s="349"/>
      <c r="AG73" s="349"/>
      <c r="AH73" s="349"/>
      <c r="AI73" s="349"/>
      <c r="AJ73" s="349">
        <f t="shared" si="42"/>
        <v>500000</v>
      </c>
      <c r="AK73" s="349">
        <f t="shared" si="43"/>
        <v>0</v>
      </c>
      <c r="AL73" s="349">
        <f t="shared" si="44"/>
        <v>0</v>
      </c>
      <c r="AM73" s="349"/>
      <c r="AN73" s="349"/>
      <c r="AO73" s="349"/>
      <c r="AP73" s="349">
        <f t="shared" si="45"/>
        <v>0</v>
      </c>
      <c r="AQ73" s="349">
        <v>500000</v>
      </c>
      <c r="AR73" s="349"/>
      <c r="AS73" s="349"/>
      <c r="AT73" s="349"/>
      <c r="AU73" s="349"/>
      <c r="AV73" s="690"/>
      <c r="AW73" s="690"/>
      <c r="AX73" s="690"/>
      <c r="AY73" s="690"/>
      <c r="AZ73" s="319"/>
      <c r="BA73" s="319"/>
      <c r="BB73" s="319"/>
      <c r="BC73" s="319"/>
      <c r="BD73" s="319"/>
      <c r="BE73" s="319"/>
      <c r="BF73" s="319"/>
      <c r="BG73" s="319"/>
      <c r="BH73" s="394"/>
      <c r="BI73" s="394"/>
      <c r="BJ73" s="394"/>
      <c r="BK73" s="394"/>
      <c r="BL73" s="394"/>
      <c r="BM73" s="394"/>
      <c r="BN73" s="394"/>
      <c r="BO73" s="394"/>
      <c r="BP73" s="122"/>
      <c r="BS73" s="122"/>
      <c r="BT73" s="122"/>
      <c r="BU73" s="122"/>
      <c r="BV73" s="699"/>
      <c r="BW73" s="699"/>
      <c r="BX73" s="699"/>
      <c r="BY73" s="699"/>
      <c r="BZ73" s="699"/>
      <c r="CA73" s="699"/>
      <c r="CB73" s="699"/>
      <c r="CC73" s="699"/>
      <c r="CD73" s="699"/>
    </row>
    <row r="74" spans="1:82" s="395" customFormat="1" ht="41.4" customHeight="1">
      <c r="A74" s="697" t="s">
        <v>1158</v>
      </c>
      <c r="B74" s="701" t="s">
        <v>1159</v>
      </c>
      <c r="C74" s="220">
        <f t="shared" si="48"/>
        <v>59</v>
      </c>
      <c r="D74" s="220">
        <v>20092</v>
      </c>
      <c r="E74" s="235" t="s">
        <v>1195</v>
      </c>
      <c r="F74" s="349">
        <v>530000</v>
      </c>
      <c r="G74" s="349"/>
      <c r="H74" s="349">
        <f t="shared" si="36"/>
        <v>530000</v>
      </c>
      <c r="I74" s="349"/>
      <c r="J74" s="349"/>
      <c r="K74" s="349"/>
      <c r="L74" s="349"/>
      <c r="M74" s="349">
        <f t="shared" si="46"/>
        <v>0</v>
      </c>
      <c r="N74" s="349">
        <f t="shared" si="47"/>
        <v>0</v>
      </c>
      <c r="O74" s="349">
        <v>530000</v>
      </c>
      <c r="P74" s="349">
        <f t="shared" si="37"/>
        <v>0</v>
      </c>
      <c r="Q74" s="349">
        <f t="shared" si="38"/>
        <v>0</v>
      </c>
      <c r="R74" s="349">
        <f t="shared" si="39"/>
        <v>530000</v>
      </c>
      <c r="S74" s="349"/>
      <c r="T74" s="349">
        <f t="shared" si="40"/>
        <v>530000</v>
      </c>
      <c r="U74" s="349">
        <f t="shared" si="41"/>
        <v>530000</v>
      </c>
      <c r="V74" s="349"/>
      <c r="W74" s="349"/>
      <c r="X74" s="349"/>
      <c r="Y74" s="221" t="s">
        <v>1196</v>
      </c>
      <c r="Z74" s="349"/>
      <c r="AA74" s="349"/>
      <c r="AB74" s="349"/>
      <c r="AC74" s="349"/>
      <c r="AD74" s="349">
        <v>530000</v>
      </c>
      <c r="AE74" s="349"/>
      <c r="AF74" s="349"/>
      <c r="AG74" s="349"/>
      <c r="AH74" s="349"/>
      <c r="AI74" s="349"/>
      <c r="AJ74" s="349">
        <f t="shared" si="42"/>
        <v>530000</v>
      </c>
      <c r="AK74" s="349">
        <f t="shared" si="43"/>
        <v>0</v>
      </c>
      <c r="AL74" s="349">
        <f t="shared" si="44"/>
        <v>0</v>
      </c>
      <c r="AM74" s="349"/>
      <c r="AN74" s="349"/>
      <c r="AO74" s="349"/>
      <c r="AP74" s="349">
        <f t="shared" si="45"/>
        <v>530000</v>
      </c>
      <c r="AQ74" s="349"/>
      <c r="AR74" s="349"/>
      <c r="AS74" s="349"/>
      <c r="AT74" s="349"/>
      <c r="AU74" s="349"/>
      <c r="AV74" s="690"/>
      <c r="AW74" s="690"/>
      <c r="AX74" s="690"/>
      <c r="AY74" s="690"/>
      <c r="AZ74" s="319"/>
      <c r="BA74" s="319"/>
      <c r="BB74" s="319"/>
      <c r="BC74" s="319"/>
      <c r="BD74" s="319"/>
      <c r="BE74" s="319"/>
      <c r="BF74" s="319"/>
      <c r="BG74" s="319"/>
      <c r="BH74" s="394"/>
      <c r="BI74" s="394"/>
      <c r="BJ74" s="394"/>
      <c r="BK74" s="394"/>
      <c r="BL74" s="394"/>
      <c r="BM74" s="394"/>
      <c r="BN74" s="394"/>
      <c r="BO74" s="394"/>
      <c r="BP74" s="122"/>
      <c r="BS74" s="122"/>
      <c r="BT74" s="122"/>
      <c r="BU74" s="122"/>
      <c r="BV74" s="699"/>
      <c r="BW74" s="699"/>
      <c r="BX74" s="699"/>
      <c r="BY74" s="699"/>
      <c r="BZ74" s="699"/>
      <c r="CA74" s="699"/>
      <c r="CB74" s="699"/>
      <c r="CC74" s="699"/>
      <c r="CD74" s="699"/>
    </row>
    <row r="75" spans="1:82" s="395" customFormat="1" ht="69">
      <c r="A75" s="697" t="s">
        <v>1158</v>
      </c>
      <c r="B75" s="701" t="s">
        <v>1128</v>
      </c>
      <c r="C75" s="220">
        <f t="shared" si="48"/>
        <v>60</v>
      </c>
      <c r="D75" s="220">
        <v>20089</v>
      </c>
      <c r="E75" s="235" t="s">
        <v>936</v>
      </c>
      <c r="F75" s="349">
        <v>1500000</v>
      </c>
      <c r="G75" s="349">
        <v>500000</v>
      </c>
      <c r="H75" s="349">
        <f t="shared" si="36"/>
        <v>1000000</v>
      </c>
      <c r="I75" s="349"/>
      <c r="J75" s="349"/>
      <c r="K75" s="349"/>
      <c r="L75" s="349"/>
      <c r="M75" s="349">
        <f t="shared" si="46"/>
        <v>0</v>
      </c>
      <c r="N75" s="349">
        <f t="shared" si="47"/>
        <v>0</v>
      </c>
      <c r="O75" s="349">
        <v>500000</v>
      </c>
      <c r="P75" s="349">
        <f t="shared" si="37"/>
        <v>1000000</v>
      </c>
      <c r="Q75" s="349">
        <f t="shared" si="38"/>
        <v>0</v>
      </c>
      <c r="R75" s="349">
        <f t="shared" si="39"/>
        <v>500000</v>
      </c>
      <c r="S75" s="349">
        <v>500000</v>
      </c>
      <c r="T75" s="349">
        <f t="shared" si="40"/>
        <v>0</v>
      </c>
      <c r="U75" s="349">
        <f t="shared" si="41"/>
        <v>0</v>
      </c>
      <c r="V75" s="349"/>
      <c r="W75" s="349"/>
      <c r="X75" s="349"/>
      <c r="Y75" s="221" t="s">
        <v>1197</v>
      </c>
      <c r="Z75" s="349"/>
      <c r="AA75" s="349"/>
      <c r="AB75" s="349"/>
      <c r="AC75" s="349"/>
      <c r="AD75" s="349"/>
      <c r="AE75" s="349"/>
      <c r="AF75" s="349"/>
      <c r="AG75" s="349"/>
      <c r="AH75" s="349"/>
      <c r="AI75" s="349"/>
      <c r="AJ75" s="349">
        <f t="shared" si="42"/>
        <v>0</v>
      </c>
      <c r="AK75" s="349">
        <f t="shared" si="43"/>
        <v>0</v>
      </c>
      <c r="AL75" s="349">
        <f t="shared" si="44"/>
        <v>0</v>
      </c>
      <c r="AM75" s="349"/>
      <c r="AN75" s="349"/>
      <c r="AO75" s="862"/>
      <c r="AP75" s="349">
        <f t="shared" si="45"/>
        <v>0</v>
      </c>
      <c r="AQ75" s="349"/>
      <c r="AR75" s="349"/>
      <c r="AS75" s="349"/>
      <c r="AT75" s="349"/>
      <c r="AU75" s="349"/>
      <c r="AV75" s="690"/>
      <c r="AW75" s="690"/>
      <c r="AX75" s="690"/>
      <c r="AY75" s="690"/>
      <c r="AZ75" s="319"/>
      <c r="BA75" s="319"/>
      <c r="BB75" s="319"/>
      <c r="BC75" s="319"/>
      <c r="BD75" s="319"/>
      <c r="BE75" s="319"/>
      <c r="BF75" s="319"/>
      <c r="BG75" s="319"/>
      <c r="BH75" s="394"/>
      <c r="BI75" s="394"/>
      <c r="BJ75" s="394"/>
      <c r="BK75" s="394"/>
      <c r="BL75" s="394"/>
      <c r="BM75" s="394"/>
      <c r="BN75" s="394"/>
      <c r="BO75" s="394"/>
      <c r="BP75" s="122"/>
      <c r="BS75" s="122"/>
      <c r="BT75" s="122"/>
      <c r="BU75" s="122"/>
      <c r="BV75" s="699"/>
      <c r="BW75" s="699"/>
      <c r="BX75" s="699"/>
      <c r="BY75" s="699"/>
      <c r="BZ75" s="699"/>
      <c r="CA75" s="699"/>
      <c r="CB75" s="699"/>
      <c r="CC75" s="699"/>
      <c r="CD75" s="699"/>
    </row>
    <row r="76" spans="1:82" s="395" customFormat="1" ht="42.6" customHeight="1">
      <c r="A76" s="697" t="s">
        <v>1127</v>
      </c>
      <c r="B76" s="701" t="s">
        <v>1128</v>
      </c>
      <c r="C76" s="220">
        <f t="shared" si="48"/>
        <v>61</v>
      </c>
      <c r="D76" s="220">
        <v>20030</v>
      </c>
      <c r="E76" s="235" t="s">
        <v>1183</v>
      </c>
      <c r="F76" s="349">
        <f>34650000+10500000</f>
        <v>45150000</v>
      </c>
      <c r="G76" s="349">
        <v>34650000</v>
      </c>
      <c r="H76" s="349">
        <f t="shared" si="36"/>
        <v>10500000</v>
      </c>
      <c r="I76" s="349">
        <v>18150000</v>
      </c>
      <c r="J76" s="349">
        <v>17983016</v>
      </c>
      <c r="K76" s="349"/>
      <c r="L76" s="349"/>
      <c r="M76" s="349">
        <f t="shared" ref="M76:M86" si="49">SUM(K76:L76)</f>
        <v>0</v>
      </c>
      <c r="N76" s="349">
        <f t="shared" si="47"/>
        <v>17983016</v>
      </c>
      <c r="O76" s="349">
        <f>166984+6500000+10000000+10500000</f>
        <v>27166984</v>
      </c>
      <c r="P76" s="349">
        <f t="shared" si="37"/>
        <v>0</v>
      </c>
      <c r="Q76" s="349">
        <f t="shared" si="38"/>
        <v>166984</v>
      </c>
      <c r="R76" s="349">
        <f t="shared" si="39"/>
        <v>27000000</v>
      </c>
      <c r="S76" s="349">
        <f>6500000+10000000</f>
        <v>16500000</v>
      </c>
      <c r="T76" s="349">
        <f t="shared" si="40"/>
        <v>10500000</v>
      </c>
      <c r="U76" s="349">
        <f t="shared" si="41"/>
        <v>6500000</v>
      </c>
      <c r="V76" s="349">
        <f>5000000-1000000</f>
        <v>4000000</v>
      </c>
      <c r="W76" s="349"/>
      <c r="X76" s="349"/>
      <c r="Y76" s="221" t="s">
        <v>1184</v>
      </c>
      <c r="Z76" s="349"/>
      <c r="AA76" s="349"/>
      <c r="AB76" s="349"/>
      <c r="AC76" s="349">
        <f>SUM(Y76:AA76)</f>
        <v>0</v>
      </c>
      <c r="AD76" s="349">
        <f t="shared" ref="AD76:AD84" si="50">SUM(Y76:AA76)</f>
        <v>0</v>
      </c>
      <c r="AE76" s="349">
        <v>10500000</v>
      </c>
      <c r="AF76" s="349"/>
      <c r="AG76" s="349"/>
      <c r="AH76" s="349"/>
      <c r="AI76" s="349"/>
      <c r="AJ76" s="349">
        <f t="shared" si="42"/>
        <v>10500000</v>
      </c>
      <c r="AK76" s="349">
        <f t="shared" si="43"/>
        <v>0</v>
      </c>
      <c r="AL76" s="349">
        <f t="shared" si="44"/>
        <v>0</v>
      </c>
      <c r="AM76" s="349"/>
      <c r="AN76" s="349"/>
      <c r="AO76" s="862"/>
      <c r="AP76" s="349">
        <f t="shared" si="45"/>
        <v>6500000</v>
      </c>
      <c r="AQ76" s="349">
        <v>4000000</v>
      </c>
      <c r="AR76" s="349"/>
      <c r="AS76" s="349"/>
      <c r="AT76" s="349"/>
      <c r="AU76" s="862"/>
      <c r="AV76" s="690"/>
      <c r="AW76" s="690"/>
      <c r="AX76" s="690"/>
      <c r="AY76" s="319"/>
      <c r="AZ76" s="319"/>
      <c r="BA76" s="319"/>
      <c r="BB76" s="319"/>
      <c r="BC76" s="319"/>
      <c r="BD76" s="319"/>
      <c r="BE76" s="319"/>
      <c r="BF76" s="319"/>
      <c r="BG76" s="394"/>
      <c r="BH76" s="394"/>
      <c r="BI76" s="394"/>
      <c r="BJ76" s="394"/>
      <c r="BK76" s="394"/>
      <c r="BL76" s="394"/>
      <c r="BM76" s="394"/>
      <c r="BN76" s="394"/>
      <c r="BO76" s="122"/>
      <c r="BR76" s="122"/>
      <c r="BS76" s="122"/>
      <c r="BT76" s="122"/>
      <c r="BU76" s="699"/>
      <c r="BV76" s="699"/>
      <c r="BW76" s="699"/>
      <c r="BX76" s="699"/>
      <c r="BY76" s="699"/>
      <c r="BZ76" s="699"/>
      <c r="CA76" s="699"/>
      <c r="CB76" s="699"/>
      <c r="CC76" s="699"/>
    </row>
    <row r="77" spans="1:82" s="395" customFormat="1" ht="34.950000000000003" customHeight="1">
      <c r="A77" s="697" t="s">
        <v>1127</v>
      </c>
      <c r="B77" s="701" t="s">
        <v>1128</v>
      </c>
      <c r="C77" s="220">
        <f t="shared" si="48"/>
        <v>62</v>
      </c>
      <c r="D77" s="220">
        <v>2238</v>
      </c>
      <c r="E77" s="235" t="s">
        <v>1186</v>
      </c>
      <c r="F77" s="349">
        <f>5100000+1600000+400000</f>
        <v>7100000</v>
      </c>
      <c r="G77" s="349">
        <v>6700000</v>
      </c>
      <c r="H77" s="349">
        <f t="shared" si="36"/>
        <v>400000</v>
      </c>
      <c r="I77" s="349">
        <v>5100000</v>
      </c>
      <c r="J77" s="349">
        <v>2467305</v>
      </c>
      <c r="K77" s="349"/>
      <c r="L77" s="349"/>
      <c r="M77" s="349">
        <f t="shared" si="49"/>
        <v>0</v>
      </c>
      <c r="N77" s="349">
        <f t="shared" si="47"/>
        <v>2467305</v>
      </c>
      <c r="O77" s="349">
        <f>2632695+1600000+400000</f>
        <v>4632695</v>
      </c>
      <c r="P77" s="349">
        <f t="shared" si="37"/>
        <v>0</v>
      </c>
      <c r="Q77" s="349">
        <f t="shared" si="38"/>
        <v>2632695</v>
      </c>
      <c r="R77" s="349">
        <f t="shared" si="39"/>
        <v>2000000</v>
      </c>
      <c r="S77" s="349">
        <v>1600000</v>
      </c>
      <c r="T77" s="349">
        <f t="shared" si="40"/>
        <v>400000</v>
      </c>
      <c r="U77" s="349">
        <f t="shared" si="41"/>
        <v>0</v>
      </c>
      <c r="V77" s="349">
        <v>400000</v>
      </c>
      <c r="W77" s="349"/>
      <c r="X77" s="349"/>
      <c r="Y77" s="221" t="s">
        <v>1133</v>
      </c>
      <c r="Z77" s="349"/>
      <c r="AA77" s="349"/>
      <c r="AB77" s="349"/>
      <c r="AC77" s="349">
        <f t="shared" ref="AC77:AC83" si="51">SUM(Y77:AA77)</f>
        <v>0</v>
      </c>
      <c r="AD77" s="349">
        <f t="shared" si="50"/>
        <v>0</v>
      </c>
      <c r="AE77" s="349">
        <v>400000</v>
      </c>
      <c r="AF77" s="349"/>
      <c r="AG77" s="349"/>
      <c r="AH77" s="349"/>
      <c r="AI77" s="349"/>
      <c r="AJ77" s="349">
        <f t="shared" si="42"/>
        <v>400000</v>
      </c>
      <c r="AK77" s="349">
        <f t="shared" si="43"/>
        <v>0</v>
      </c>
      <c r="AL77" s="349">
        <f t="shared" si="44"/>
        <v>0</v>
      </c>
      <c r="AM77" s="349"/>
      <c r="AN77" s="349"/>
      <c r="AO77" s="862"/>
      <c r="AP77" s="349">
        <f t="shared" si="45"/>
        <v>0</v>
      </c>
      <c r="AQ77" s="349">
        <v>400000</v>
      </c>
      <c r="AR77" s="349"/>
      <c r="AS77" s="349"/>
      <c r="AT77" s="349"/>
      <c r="AU77" s="862"/>
      <c r="AV77" s="690"/>
      <c r="AW77" s="690"/>
      <c r="AX77" s="690"/>
      <c r="AY77" s="319"/>
      <c r="AZ77" s="319"/>
      <c r="BA77" s="319"/>
      <c r="BB77" s="319"/>
      <c r="BC77" s="319"/>
      <c r="BD77" s="319"/>
      <c r="BE77" s="319"/>
      <c r="BF77" s="319"/>
      <c r="BG77" s="394"/>
      <c r="BH77" s="394"/>
      <c r="BI77" s="394"/>
      <c r="BJ77" s="394"/>
      <c r="BK77" s="394"/>
      <c r="BL77" s="394"/>
      <c r="BM77" s="394"/>
      <c r="BN77" s="394"/>
      <c r="BO77" s="122"/>
      <c r="BR77" s="122"/>
      <c r="BS77" s="122"/>
      <c r="BT77" s="122"/>
      <c r="BU77" s="699"/>
      <c r="BV77" s="699"/>
      <c r="BW77" s="699"/>
      <c r="BX77" s="699"/>
      <c r="BY77" s="699"/>
      <c r="BZ77" s="699"/>
      <c r="CA77" s="699"/>
      <c r="CB77" s="699"/>
      <c r="CC77" s="699"/>
    </row>
    <row r="78" spans="1:82" s="395" customFormat="1" ht="34.950000000000003" customHeight="1">
      <c r="A78" s="697" t="s">
        <v>1127</v>
      </c>
      <c r="B78" s="701" t="s">
        <v>1128</v>
      </c>
      <c r="C78" s="220">
        <f t="shared" si="48"/>
        <v>63</v>
      </c>
      <c r="D78" s="220">
        <v>20065</v>
      </c>
      <c r="E78" s="235" t="s">
        <v>740</v>
      </c>
      <c r="F78" s="349">
        <v>3200000</v>
      </c>
      <c r="G78" s="349">
        <v>3200000</v>
      </c>
      <c r="H78" s="349">
        <f t="shared" si="36"/>
        <v>0</v>
      </c>
      <c r="I78" s="349"/>
      <c r="J78" s="349"/>
      <c r="K78" s="349"/>
      <c r="L78" s="349"/>
      <c r="M78" s="349">
        <f t="shared" si="49"/>
        <v>0</v>
      </c>
      <c r="N78" s="349">
        <f t="shared" si="47"/>
        <v>0</v>
      </c>
      <c r="O78" s="349">
        <v>3200000</v>
      </c>
      <c r="P78" s="349">
        <f t="shared" si="37"/>
        <v>0</v>
      </c>
      <c r="Q78" s="349">
        <f t="shared" si="38"/>
        <v>0</v>
      </c>
      <c r="R78" s="349">
        <f t="shared" si="39"/>
        <v>3200000</v>
      </c>
      <c r="S78" s="349">
        <v>2000000</v>
      </c>
      <c r="T78" s="349">
        <f t="shared" si="40"/>
        <v>1200000</v>
      </c>
      <c r="U78" s="349">
        <f t="shared" si="41"/>
        <v>1200000</v>
      </c>
      <c r="V78" s="349"/>
      <c r="W78" s="349"/>
      <c r="X78" s="349"/>
      <c r="Y78" s="221" t="s">
        <v>1130</v>
      </c>
      <c r="Z78" s="349"/>
      <c r="AA78" s="349"/>
      <c r="AB78" s="349"/>
      <c r="AC78" s="349">
        <f t="shared" si="51"/>
        <v>0</v>
      </c>
      <c r="AD78" s="349">
        <f t="shared" si="50"/>
        <v>0</v>
      </c>
      <c r="AE78" s="349">
        <v>1200000</v>
      </c>
      <c r="AF78" s="349"/>
      <c r="AG78" s="349"/>
      <c r="AH78" s="349"/>
      <c r="AI78" s="349"/>
      <c r="AJ78" s="349">
        <f t="shared" si="42"/>
        <v>1200000</v>
      </c>
      <c r="AK78" s="349">
        <f t="shared" si="43"/>
        <v>0</v>
      </c>
      <c r="AL78" s="349">
        <f t="shared" si="44"/>
        <v>0</v>
      </c>
      <c r="AM78" s="349"/>
      <c r="AN78" s="349"/>
      <c r="AO78" s="862"/>
      <c r="AP78" s="349">
        <f t="shared" si="45"/>
        <v>1200000</v>
      </c>
      <c r="AQ78" s="349"/>
      <c r="AR78" s="349"/>
      <c r="AS78" s="349"/>
      <c r="AT78" s="349"/>
      <c r="AU78" s="862"/>
      <c r="AV78" s="690"/>
      <c r="AW78" s="690"/>
      <c r="AX78" s="690"/>
      <c r="AY78" s="319"/>
      <c r="AZ78" s="319"/>
      <c r="BA78" s="319"/>
      <c r="BB78" s="319"/>
      <c r="BC78" s="319"/>
      <c r="BD78" s="319"/>
      <c r="BE78" s="319"/>
      <c r="BF78" s="319"/>
      <c r="BG78" s="394"/>
      <c r="BH78" s="394"/>
      <c r="BI78" s="394"/>
      <c r="BJ78" s="394"/>
      <c r="BK78" s="394"/>
      <c r="BL78" s="394"/>
      <c r="BM78" s="394"/>
      <c r="BN78" s="394"/>
      <c r="BO78" s="122"/>
      <c r="BR78" s="122"/>
      <c r="BS78" s="122"/>
      <c r="BT78" s="122"/>
      <c r="BU78" s="699"/>
      <c r="BV78" s="699"/>
      <c r="BW78" s="699"/>
      <c r="BX78" s="699"/>
      <c r="BY78" s="699"/>
      <c r="BZ78" s="699"/>
      <c r="CA78" s="699"/>
      <c r="CB78" s="699"/>
      <c r="CC78" s="699"/>
    </row>
    <row r="79" spans="1:82" s="395" customFormat="1" ht="34.950000000000003" customHeight="1">
      <c r="A79" s="697" t="s">
        <v>1127</v>
      </c>
      <c r="B79" s="701" t="s">
        <v>1128</v>
      </c>
      <c r="C79" s="220">
        <f t="shared" si="48"/>
        <v>64</v>
      </c>
      <c r="D79" s="220">
        <v>20036</v>
      </c>
      <c r="E79" s="235" t="s">
        <v>620</v>
      </c>
      <c r="F79" s="349">
        <f>5200000+1175000</f>
        <v>6375000</v>
      </c>
      <c r="G79" s="349">
        <v>5200000</v>
      </c>
      <c r="H79" s="349">
        <f t="shared" si="36"/>
        <v>1175000</v>
      </c>
      <c r="I79" s="349">
        <v>200000</v>
      </c>
      <c r="J79" s="349">
        <v>199137</v>
      </c>
      <c r="K79" s="349"/>
      <c r="L79" s="349"/>
      <c r="M79" s="349">
        <f t="shared" si="49"/>
        <v>0</v>
      </c>
      <c r="N79" s="349">
        <f t="shared" si="47"/>
        <v>199137</v>
      </c>
      <c r="O79" s="349">
        <f>863+5000000+1175000</f>
        <v>6175863</v>
      </c>
      <c r="P79" s="349">
        <f t="shared" si="37"/>
        <v>0</v>
      </c>
      <c r="Q79" s="349">
        <f t="shared" si="38"/>
        <v>863</v>
      </c>
      <c r="R79" s="349">
        <f t="shared" si="39"/>
        <v>6175000</v>
      </c>
      <c r="S79" s="349">
        <v>5000000</v>
      </c>
      <c r="T79" s="349">
        <f t="shared" si="40"/>
        <v>1175000</v>
      </c>
      <c r="U79" s="349">
        <f t="shared" si="41"/>
        <v>1175000</v>
      </c>
      <c r="V79" s="349"/>
      <c r="W79" s="349"/>
      <c r="X79" s="349"/>
      <c r="Y79" s="221" t="s">
        <v>1133</v>
      </c>
      <c r="Z79" s="349"/>
      <c r="AA79" s="349"/>
      <c r="AB79" s="349"/>
      <c r="AC79" s="349">
        <f t="shared" si="51"/>
        <v>0</v>
      </c>
      <c r="AD79" s="349">
        <f t="shared" si="50"/>
        <v>0</v>
      </c>
      <c r="AE79" s="349">
        <v>1175000</v>
      </c>
      <c r="AF79" s="349"/>
      <c r="AG79" s="349"/>
      <c r="AH79" s="349"/>
      <c r="AI79" s="349"/>
      <c r="AJ79" s="349">
        <f t="shared" si="42"/>
        <v>1175000</v>
      </c>
      <c r="AK79" s="349">
        <f t="shared" si="43"/>
        <v>0</v>
      </c>
      <c r="AL79" s="349">
        <f t="shared" si="44"/>
        <v>0</v>
      </c>
      <c r="AM79" s="349"/>
      <c r="AN79" s="349"/>
      <c r="AO79" s="349"/>
      <c r="AP79" s="349">
        <f t="shared" si="45"/>
        <v>1175000</v>
      </c>
      <c r="AQ79" s="349"/>
      <c r="AR79" s="349"/>
      <c r="AS79" s="349"/>
      <c r="AT79" s="349"/>
      <c r="AU79" s="349"/>
      <c r="AV79" s="690"/>
      <c r="AW79" s="690"/>
      <c r="AX79" s="690"/>
      <c r="AY79" s="319"/>
      <c r="AZ79" s="319"/>
      <c r="BA79" s="319"/>
      <c r="BB79" s="319"/>
      <c r="BC79" s="319"/>
      <c r="BD79" s="319"/>
      <c r="BE79" s="319"/>
      <c r="BF79" s="319"/>
      <c r="BG79" s="394"/>
      <c r="BH79" s="394"/>
      <c r="BI79" s="394"/>
      <c r="BJ79" s="394"/>
      <c r="BK79" s="394"/>
      <c r="BL79" s="394"/>
      <c r="BM79" s="394"/>
      <c r="BN79" s="394"/>
      <c r="BO79" s="122"/>
      <c r="BR79" s="122"/>
      <c r="BS79" s="122"/>
      <c r="BT79" s="122"/>
      <c r="BU79" s="699"/>
      <c r="BV79" s="699"/>
      <c r="BW79" s="699"/>
      <c r="BX79" s="699"/>
      <c r="BY79" s="699"/>
      <c r="BZ79" s="699"/>
      <c r="CA79" s="699"/>
      <c r="CB79" s="699"/>
      <c r="CC79" s="699"/>
    </row>
    <row r="80" spans="1:82" s="395" customFormat="1" ht="41.4">
      <c r="A80" s="697" t="s">
        <v>1127</v>
      </c>
      <c r="B80" s="701" t="s">
        <v>1128</v>
      </c>
      <c r="C80" s="220">
        <f t="shared" si="48"/>
        <v>65</v>
      </c>
      <c r="D80" s="220">
        <v>20051</v>
      </c>
      <c r="E80" s="235" t="s">
        <v>1582</v>
      </c>
      <c r="F80" s="349">
        <f>1500000+2600000</f>
        <v>4100000</v>
      </c>
      <c r="G80" s="349">
        <v>1500000</v>
      </c>
      <c r="H80" s="349">
        <f t="shared" si="36"/>
        <v>2600000</v>
      </c>
      <c r="I80" s="349">
        <v>1500000</v>
      </c>
      <c r="J80" s="349">
        <v>1155067</v>
      </c>
      <c r="K80" s="349"/>
      <c r="L80" s="349"/>
      <c r="M80" s="349">
        <f t="shared" si="49"/>
        <v>0</v>
      </c>
      <c r="N80" s="349">
        <f t="shared" si="47"/>
        <v>1155067</v>
      </c>
      <c r="O80" s="349">
        <f>344933+2600000</f>
        <v>2944933</v>
      </c>
      <c r="P80" s="349">
        <f t="shared" si="37"/>
        <v>0</v>
      </c>
      <c r="Q80" s="349">
        <f t="shared" si="38"/>
        <v>344933</v>
      </c>
      <c r="R80" s="349">
        <f t="shared" si="39"/>
        <v>2600000</v>
      </c>
      <c r="S80" s="349"/>
      <c r="T80" s="349">
        <f t="shared" si="40"/>
        <v>2600000</v>
      </c>
      <c r="U80" s="349">
        <f t="shared" si="41"/>
        <v>2600000</v>
      </c>
      <c r="V80" s="349"/>
      <c r="W80" s="349"/>
      <c r="X80" s="349"/>
      <c r="Y80" s="221" t="s">
        <v>1133</v>
      </c>
      <c r="Z80" s="349"/>
      <c r="AA80" s="349"/>
      <c r="AB80" s="349"/>
      <c r="AC80" s="349">
        <f t="shared" si="51"/>
        <v>0</v>
      </c>
      <c r="AD80" s="349">
        <f t="shared" si="50"/>
        <v>0</v>
      </c>
      <c r="AE80" s="349">
        <v>2600000</v>
      </c>
      <c r="AF80" s="349"/>
      <c r="AG80" s="349"/>
      <c r="AH80" s="349"/>
      <c r="AI80" s="349"/>
      <c r="AJ80" s="349">
        <f t="shared" si="42"/>
        <v>2600000</v>
      </c>
      <c r="AK80" s="349">
        <f t="shared" si="43"/>
        <v>0</v>
      </c>
      <c r="AL80" s="349">
        <f t="shared" si="44"/>
        <v>0</v>
      </c>
      <c r="AM80" s="349"/>
      <c r="AN80" s="349"/>
      <c r="AO80" s="349"/>
      <c r="AP80" s="349">
        <f t="shared" si="45"/>
        <v>2600000</v>
      </c>
      <c r="AQ80" s="349"/>
      <c r="AR80" s="349"/>
      <c r="AS80" s="349"/>
      <c r="AT80" s="349"/>
      <c r="AU80" s="349"/>
      <c r="AV80" s="690"/>
      <c r="AW80" s="690"/>
      <c r="AX80" s="690"/>
      <c r="AY80" s="319"/>
      <c r="AZ80" s="319"/>
      <c r="BA80" s="319"/>
      <c r="BB80" s="319"/>
      <c r="BC80" s="319"/>
      <c r="BD80" s="319"/>
      <c r="BE80" s="319"/>
      <c r="BF80" s="319"/>
      <c r="BG80" s="394"/>
      <c r="BH80" s="394"/>
      <c r="BI80" s="394"/>
      <c r="BJ80" s="394"/>
      <c r="BK80" s="394"/>
      <c r="BL80" s="394"/>
      <c r="BM80" s="394"/>
      <c r="BN80" s="394"/>
      <c r="BO80" s="122"/>
      <c r="BR80" s="122"/>
      <c r="BS80" s="122"/>
      <c r="BT80" s="122"/>
      <c r="BU80" s="699"/>
      <c r="BV80" s="699"/>
      <c r="BW80" s="699"/>
      <c r="BX80" s="699"/>
      <c r="BY80" s="699"/>
      <c r="BZ80" s="699"/>
      <c r="CA80" s="699"/>
      <c r="CB80" s="699"/>
      <c r="CC80" s="699"/>
    </row>
    <row r="81" spans="1:81" s="395" customFormat="1" ht="34.950000000000003" customHeight="1">
      <c r="A81" s="697" t="s">
        <v>1127</v>
      </c>
      <c r="B81" s="701" t="s">
        <v>1128</v>
      </c>
      <c r="C81" s="220">
        <f t="shared" si="48"/>
        <v>66</v>
      </c>
      <c r="D81" s="220">
        <v>2242</v>
      </c>
      <c r="E81" s="235" t="s">
        <v>715</v>
      </c>
      <c r="F81" s="349">
        <f>120000-26921</f>
        <v>93079</v>
      </c>
      <c r="G81" s="349">
        <v>120000</v>
      </c>
      <c r="H81" s="349">
        <f t="shared" si="36"/>
        <v>-26921</v>
      </c>
      <c r="I81" s="349">
        <v>120000</v>
      </c>
      <c r="J81" s="349">
        <v>17667</v>
      </c>
      <c r="K81" s="349"/>
      <c r="L81" s="349"/>
      <c r="M81" s="349">
        <f t="shared" si="49"/>
        <v>0</v>
      </c>
      <c r="N81" s="349">
        <f t="shared" si="47"/>
        <v>17667</v>
      </c>
      <c r="O81" s="349">
        <f>102333-26921</f>
        <v>75412</v>
      </c>
      <c r="P81" s="349">
        <f t="shared" si="37"/>
        <v>0</v>
      </c>
      <c r="Q81" s="349">
        <f t="shared" si="38"/>
        <v>102333</v>
      </c>
      <c r="R81" s="349">
        <f t="shared" si="39"/>
        <v>-26921</v>
      </c>
      <c r="S81" s="349"/>
      <c r="T81" s="349">
        <f t="shared" si="40"/>
        <v>-26921</v>
      </c>
      <c r="U81" s="349">
        <f t="shared" si="41"/>
        <v>0</v>
      </c>
      <c r="V81" s="349"/>
      <c r="W81" s="349"/>
      <c r="X81" s="349">
        <v>-26921</v>
      </c>
      <c r="Y81" s="221" t="s">
        <v>1198</v>
      </c>
      <c r="Z81" s="349"/>
      <c r="AA81" s="349"/>
      <c r="AB81" s="349"/>
      <c r="AC81" s="349">
        <f t="shared" si="51"/>
        <v>0</v>
      </c>
      <c r="AD81" s="349">
        <f t="shared" si="50"/>
        <v>0</v>
      </c>
      <c r="AE81" s="349">
        <v>-26921</v>
      </c>
      <c r="AF81" s="349"/>
      <c r="AG81" s="349"/>
      <c r="AH81" s="349"/>
      <c r="AI81" s="349"/>
      <c r="AJ81" s="349">
        <f t="shared" si="42"/>
        <v>-26921</v>
      </c>
      <c r="AK81" s="349">
        <f t="shared" si="43"/>
        <v>0</v>
      </c>
      <c r="AL81" s="349">
        <f t="shared" si="44"/>
        <v>0</v>
      </c>
      <c r="AM81" s="349"/>
      <c r="AN81" s="349"/>
      <c r="AO81" s="349"/>
      <c r="AP81" s="349">
        <f t="shared" si="45"/>
        <v>0</v>
      </c>
      <c r="AQ81" s="349"/>
      <c r="AR81" s="349"/>
      <c r="AS81" s="349"/>
      <c r="AT81" s="349"/>
      <c r="AU81" s="349">
        <v>-26921</v>
      </c>
      <c r="AV81" s="690"/>
      <c r="AW81" s="690"/>
      <c r="AX81" s="690"/>
      <c r="AY81" s="319"/>
      <c r="AZ81" s="319"/>
      <c r="BA81" s="319"/>
      <c r="BB81" s="319"/>
      <c r="BC81" s="319"/>
      <c r="BD81" s="319"/>
      <c r="BE81" s="319"/>
      <c r="BF81" s="319"/>
      <c r="BG81" s="394"/>
      <c r="BH81" s="394"/>
      <c r="BI81" s="394"/>
      <c r="BJ81" s="394"/>
      <c r="BK81" s="394"/>
      <c r="BL81" s="394"/>
      <c r="BM81" s="394"/>
      <c r="BN81" s="394"/>
      <c r="BO81" s="122"/>
      <c r="BR81" s="122"/>
      <c r="BS81" s="122"/>
      <c r="BT81" s="122"/>
      <c r="BU81" s="699"/>
      <c r="BV81" s="699"/>
      <c r="BW81" s="699"/>
      <c r="BX81" s="699"/>
      <c r="BY81" s="699"/>
      <c r="BZ81" s="699"/>
      <c r="CA81" s="699"/>
      <c r="CB81" s="699"/>
      <c r="CC81" s="699"/>
    </row>
    <row r="82" spans="1:81" s="395" customFormat="1" ht="34.950000000000003" customHeight="1">
      <c r="A82" s="697" t="s">
        <v>1127</v>
      </c>
      <c r="B82" s="701" t="s">
        <v>1128</v>
      </c>
      <c r="C82" s="220">
        <f t="shared" si="48"/>
        <v>67</v>
      </c>
      <c r="D82" s="220">
        <v>20094</v>
      </c>
      <c r="E82" s="235" t="s">
        <v>1199</v>
      </c>
      <c r="F82" s="349">
        <v>2090000</v>
      </c>
      <c r="G82" s="349"/>
      <c r="H82" s="349">
        <f t="shared" si="36"/>
        <v>2090000</v>
      </c>
      <c r="I82" s="349"/>
      <c r="J82" s="349"/>
      <c r="K82" s="349"/>
      <c r="L82" s="349"/>
      <c r="M82" s="349">
        <f t="shared" si="49"/>
        <v>0</v>
      </c>
      <c r="N82" s="349">
        <f t="shared" si="47"/>
        <v>0</v>
      </c>
      <c r="O82" s="349">
        <v>2090000</v>
      </c>
      <c r="P82" s="349">
        <f t="shared" si="37"/>
        <v>0</v>
      </c>
      <c r="Q82" s="349">
        <f t="shared" si="38"/>
        <v>0</v>
      </c>
      <c r="R82" s="349">
        <f t="shared" si="39"/>
        <v>2090000</v>
      </c>
      <c r="S82" s="349"/>
      <c r="T82" s="349">
        <f t="shared" si="40"/>
        <v>2090000</v>
      </c>
      <c r="U82" s="349">
        <f t="shared" si="41"/>
        <v>2090000</v>
      </c>
      <c r="V82" s="349"/>
      <c r="W82" s="349"/>
      <c r="X82" s="349"/>
      <c r="Y82" s="221" t="s">
        <v>1200</v>
      </c>
      <c r="Z82" s="349"/>
      <c r="AA82" s="349"/>
      <c r="AB82" s="349"/>
      <c r="AC82" s="349">
        <f t="shared" si="51"/>
        <v>0</v>
      </c>
      <c r="AD82" s="349">
        <f t="shared" si="50"/>
        <v>0</v>
      </c>
      <c r="AE82" s="349">
        <v>2090000</v>
      </c>
      <c r="AF82" s="349"/>
      <c r="AG82" s="349"/>
      <c r="AH82" s="349"/>
      <c r="AI82" s="349"/>
      <c r="AJ82" s="349">
        <f t="shared" si="42"/>
        <v>2090000</v>
      </c>
      <c r="AK82" s="349">
        <f t="shared" si="43"/>
        <v>0</v>
      </c>
      <c r="AL82" s="349">
        <f t="shared" si="44"/>
        <v>0</v>
      </c>
      <c r="AM82" s="349"/>
      <c r="AN82" s="349"/>
      <c r="AO82" s="349"/>
      <c r="AP82" s="349">
        <f t="shared" si="45"/>
        <v>2090000</v>
      </c>
      <c r="AQ82" s="349"/>
      <c r="AR82" s="349"/>
      <c r="AS82" s="349"/>
      <c r="AT82" s="349"/>
      <c r="AU82" s="349"/>
      <c r="AV82" s="690"/>
      <c r="AW82" s="690"/>
      <c r="AX82" s="690"/>
      <c r="AY82" s="319"/>
      <c r="AZ82" s="319"/>
      <c r="BA82" s="319"/>
      <c r="BB82" s="319"/>
      <c r="BC82" s="319"/>
      <c r="BD82" s="319"/>
      <c r="BE82" s="319"/>
      <c r="BF82" s="319"/>
      <c r="BG82" s="394"/>
      <c r="BH82" s="394"/>
      <c r="BI82" s="394"/>
      <c r="BJ82" s="394"/>
      <c r="BK82" s="394"/>
      <c r="BL82" s="394"/>
      <c r="BM82" s="394"/>
      <c r="BN82" s="394"/>
      <c r="BO82" s="122"/>
      <c r="BR82" s="122"/>
      <c r="BS82" s="122"/>
      <c r="BT82" s="122"/>
      <c r="BU82" s="699"/>
      <c r="BV82" s="699"/>
      <c r="BW82" s="699"/>
      <c r="BX82" s="699"/>
      <c r="BY82" s="699"/>
      <c r="BZ82" s="699"/>
      <c r="CA82" s="699"/>
      <c r="CB82" s="699"/>
      <c r="CC82" s="699"/>
    </row>
    <row r="83" spans="1:81" s="395" customFormat="1" ht="34.950000000000003" customHeight="1">
      <c r="A83" s="697" t="s">
        <v>1127</v>
      </c>
      <c r="B83" s="701" t="s">
        <v>1128</v>
      </c>
      <c r="C83" s="220">
        <f t="shared" si="48"/>
        <v>68</v>
      </c>
      <c r="D83" s="220">
        <v>20095</v>
      </c>
      <c r="E83" s="235" t="s">
        <v>940</v>
      </c>
      <c r="F83" s="349">
        <v>1000000</v>
      </c>
      <c r="G83" s="349"/>
      <c r="H83" s="349">
        <f t="shared" si="36"/>
        <v>1000000</v>
      </c>
      <c r="I83" s="349"/>
      <c r="J83" s="349"/>
      <c r="K83" s="349"/>
      <c r="L83" s="349"/>
      <c r="M83" s="349">
        <f t="shared" si="49"/>
        <v>0</v>
      </c>
      <c r="N83" s="349">
        <f t="shared" si="47"/>
        <v>0</v>
      </c>
      <c r="O83" s="349">
        <v>1000000</v>
      </c>
      <c r="P83" s="349">
        <f t="shared" si="37"/>
        <v>0</v>
      </c>
      <c r="Q83" s="349">
        <f t="shared" si="38"/>
        <v>0</v>
      </c>
      <c r="R83" s="349">
        <f t="shared" si="39"/>
        <v>1000000</v>
      </c>
      <c r="S83" s="349"/>
      <c r="T83" s="349">
        <f t="shared" si="40"/>
        <v>1000000</v>
      </c>
      <c r="U83" s="349">
        <f t="shared" si="41"/>
        <v>1000000</v>
      </c>
      <c r="V83" s="349"/>
      <c r="W83" s="349"/>
      <c r="X83" s="349"/>
      <c r="Y83" s="221" t="s">
        <v>1201</v>
      </c>
      <c r="Z83" s="349"/>
      <c r="AA83" s="349"/>
      <c r="AB83" s="349"/>
      <c r="AC83" s="349">
        <f t="shared" si="51"/>
        <v>0</v>
      </c>
      <c r="AD83" s="349">
        <f t="shared" si="50"/>
        <v>0</v>
      </c>
      <c r="AE83" s="349">
        <v>1000000</v>
      </c>
      <c r="AF83" s="349"/>
      <c r="AG83" s="349"/>
      <c r="AH83" s="349"/>
      <c r="AI83" s="349"/>
      <c r="AJ83" s="349">
        <f t="shared" si="42"/>
        <v>1000000</v>
      </c>
      <c r="AK83" s="349">
        <f t="shared" si="43"/>
        <v>0</v>
      </c>
      <c r="AL83" s="349">
        <f t="shared" si="44"/>
        <v>0</v>
      </c>
      <c r="AM83" s="349"/>
      <c r="AN83" s="349"/>
      <c r="AO83" s="862"/>
      <c r="AP83" s="349">
        <f t="shared" si="45"/>
        <v>1000000</v>
      </c>
      <c r="AQ83" s="349"/>
      <c r="AR83" s="349"/>
      <c r="AS83" s="349"/>
      <c r="AT83" s="349"/>
      <c r="AU83" s="349"/>
      <c r="AV83" s="690"/>
      <c r="AW83" s="690"/>
      <c r="AX83" s="690"/>
      <c r="AY83" s="319"/>
      <c r="AZ83" s="319"/>
      <c r="BA83" s="319"/>
      <c r="BB83" s="319"/>
      <c r="BC83" s="319"/>
      <c r="BD83" s="319"/>
      <c r="BE83" s="319"/>
      <c r="BF83" s="319"/>
      <c r="BG83" s="394"/>
      <c r="BH83" s="394"/>
      <c r="BI83" s="394"/>
      <c r="BJ83" s="394"/>
      <c r="BK83" s="394"/>
      <c r="BL83" s="394"/>
      <c r="BM83" s="394"/>
      <c r="BN83" s="394"/>
      <c r="BO83" s="122"/>
      <c r="BR83" s="122"/>
      <c r="BS83" s="122"/>
      <c r="BT83" s="122"/>
      <c r="BU83" s="699"/>
      <c r="BV83" s="699"/>
      <c r="BW83" s="699"/>
      <c r="BX83" s="699"/>
      <c r="BY83" s="699"/>
      <c r="BZ83" s="699"/>
      <c r="CA83" s="699"/>
      <c r="CB83" s="699"/>
      <c r="CC83" s="699"/>
    </row>
    <row r="84" spans="1:81" s="395" customFormat="1" ht="34.950000000000003" customHeight="1">
      <c r="A84" s="697" t="s">
        <v>1127</v>
      </c>
      <c r="B84" s="701" t="s">
        <v>1128</v>
      </c>
      <c r="C84" s="220">
        <f t="shared" si="48"/>
        <v>69</v>
      </c>
      <c r="D84" s="220">
        <v>20096</v>
      </c>
      <c r="E84" s="235" t="s">
        <v>941</v>
      </c>
      <c r="F84" s="349">
        <v>2050000</v>
      </c>
      <c r="G84" s="349"/>
      <c r="H84" s="349">
        <f t="shared" si="36"/>
        <v>2050000</v>
      </c>
      <c r="I84" s="349"/>
      <c r="J84" s="349"/>
      <c r="K84" s="349"/>
      <c r="L84" s="349"/>
      <c r="M84" s="349">
        <f t="shared" si="49"/>
        <v>0</v>
      </c>
      <c r="N84" s="349">
        <f t="shared" si="47"/>
        <v>0</v>
      </c>
      <c r="O84" s="349">
        <v>2050000</v>
      </c>
      <c r="P84" s="349">
        <f t="shared" si="37"/>
        <v>0</v>
      </c>
      <c r="Q84" s="349">
        <f t="shared" si="38"/>
        <v>0</v>
      </c>
      <c r="R84" s="349">
        <f t="shared" si="39"/>
        <v>2050000</v>
      </c>
      <c r="S84" s="349"/>
      <c r="T84" s="349">
        <f t="shared" si="40"/>
        <v>2050000</v>
      </c>
      <c r="U84" s="349">
        <f t="shared" si="41"/>
        <v>2050000</v>
      </c>
      <c r="V84" s="349"/>
      <c r="W84" s="349"/>
      <c r="X84" s="349"/>
      <c r="Y84" s="221" t="s">
        <v>1202</v>
      </c>
      <c r="Z84" s="349"/>
      <c r="AA84" s="349"/>
      <c r="AB84" s="349"/>
      <c r="AC84" s="349">
        <f>SUM(Y84:AA84)</f>
        <v>0</v>
      </c>
      <c r="AD84" s="349">
        <f t="shared" si="50"/>
        <v>0</v>
      </c>
      <c r="AE84" s="349">
        <v>2050000</v>
      </c>
      <c r="AF84" s="349"/>
      <c r="AG84" s="349"/>
      <c r="AH84" s="349"/>
      <c r="AI84" s="349"/>
      <c r="AJ84" s="349">
        <f t="shared" si="42"/>
        <v>2050000</v>
      </c>
      <c r="AK84" s="349">
        <f t="shared" si="43"/>
        <v>0</v>
      </c>
      <c r="AL84" s="349">
        <f t="shared" si="44"/>
        <v>0</v>
      </c>
      <c r="AM84" s="349"/>
      <c r="AN84" s="349"/>
      <c r="AO84" s="862"/>
      <c r="AP84" s="349">
        <f t="shared" si="45"/>
        <v>2050000</v>
      </c>
      <c r="AQ84" s="349"/>
      <c r="AR84" s="349"/>
      <c r="AS84" s="349"/>
      <c r="AT84" s="349"/>
      <c r="AU84" s="862"/>
      <c r="AV84" s="690"/>
      <c r="AW84" s="690"/>
      <c r="AX84" s="690"/>
      <c r="AY84" s="319"/>
      <c r="AZ84" s="319"/>
      <c r="BA84" s="319"/>
      <c r="BB84" s="319"/>
      <c r="BC84" s="319"/>
      <c r="BD84" s="319"/>
      <c r="BE84" s="319"/>
      <c r="BF84" s="319"/>
      <c r="BG84" s="394"/>
      <c r="BH84" s="394"/>
      <c r="BI84" s="394"/>
      <c r="BJ84" s="394"/>
      <c r="BK84" s="394"/>
      <c r="BL84" s="394"/>
      <c r="BM84" s="394"/>
      <c r="BN84" s="394"/>
      <c r="BO84" s="122"/>
      <c r="BR84" s="122"/>
      <c r="BS84" s="122"/>
      <c r="BT84" s="122"/>
      <c r="BU84" s="699"/>
      <c r="BV84" s="699"/>
      <c r="BW84" s="699"/>
      <c r="BX84" s="699"/>
      <c r="BY84" s="699"/>
      <c r="BZ84" s="699"/>
      <c r="CA84" s="699"/>
      <c r="CB84" s="699"/>
      <c r="CC84" s="699"/>
    </row>
    <row r="85" spans="1:81" s="395" customFormat="1" ht="34.950000000000003" customHeight="1">
      <c r="A85" s="697" t="s">
        <v>1134</v>
      </c>
      <c r="B85" s="701" t="s">
        <v>1135</v>
      </c>
      <c r="C85" s="220">
        <f t="shared" si="48"/>
        <v>70</v>
      </c>
      <c r="D85" s="220">
        <v>2239</v>
      </c>
      <c r="E85" s="235" t="s">
        <v>607</v>
      </c>
      <c r="F85" s="349">
        <v>30000000</v>
      </c>
      <c r="G85" s="349">
        <v>30000000</v>
      </c>
      <c r="H85" s="349">
        <f t="shared" si="36"/>
        <v>0</v>
      </c>
      <c r="I85" s="349">
        <v>2750000</v>
      </c>
      <c r="J85" s="349">
        <v>1597535</v>
      </c>
      <c r="K85" s="349"/>
      <c r="L85" s="349"/>
      <c r="M85" s="349">
        <f t="shared" si="49"/>
        <v>0</v>
      </c>
      <c r="N85" s="349">
        <f t="shared" si="47"/>
        <v>1597535</v>
      </c>
      <c r="O85" s="349">
        <f>1500000+1152465+500000+750000</f>
        <v>3902465</v>
      </c>
      <c r="P85" s="349">
        <f t="shared" si="37"/>
        <v>24500000</v>
      </c>
      <c r="Q85" s="349">
        <f t="shared" si="38"/>
        <v>1152465</v>
      </c>
      <c r="R85" s="349">
        <f t="shared" si="39"/>
        <v>2750000</v>
      </c>
      <c r="S85" s="349">
        <f>1500000+500000</f>
        <v>2000000</v>
      </c>
      <c r="T85" s="349">
        <f t="shared" si="40"/>
        <v>750000</v>
      </c>
      <c r="U85" s="349">
        <f t="shared" si="41"/>
        <v>750000</v>
      </c>
      <c r="V85" s="349"/>
      <c r="W85" s="349"/>
      <c r="X85" s="349"/>
      <c r="Y85" s="221" t="s">
        <v>1130</v>
      </c>
      <c r="Z85" s="349"/>
      <c r="AA85" s="349"/>
      <c r="AB85" s="349"/>
      <c r="AC85" s="349"/>
      <c r="AD85" s="349"/>
      <c r="AE85" s="349"/>
      <c r="AF85" s="349"/>
      <c r="AG85" s="349">
        <v>750000</v>
      </c>
      <c r="AH85" s="349"/>
      <c r="AI85" s="349"/>
      <c r="AJ85" s="349">
        <f t="shared" ref="AJ85:AJ101" si="52">SUM(Z85:AI85)</f>
        <v>750000</v>
      </c>
      <c r="AK85" s="349">
        <f t="shared" si="43"/>
        <v>0</v>
      </c>
      <c r="AL85" s="349">
        <f t="shared" si="44"/>
        <v>0</v>
      </c>
      <c r="AM85" s="862"/>
      <c r="AN85" s="862"/>
      <c r="AO85" s="862"/>
      <c r="AP85" s="349">
        <f t="shared" si="45"/>
        <v>750000</v>
      </c>
      <c r="AQ85" s="862"/>
      <c r="AR85" s="862"/>
      <c r="AS85" s="862"/>
      <c r="AT85" s="862"/>
      <c r="AU85" s="854"/>
      <c r="AV85" s="319"/>
      <c r="AW85" s="319"/>
      <c r="AX85" s="319"/>
      <c r="AY85" s="319"/>
      <c r="AZ85" s="319"/>
      <c r="BA85" s="319"/>
      <c r="BB85" s="319"/>
      <c r="BC85" s="394"/>
      <c r="BD85" s="394"/>
      <c r="BE85" s="394"/>
      <c r="BF85" s="394"/>
      <c r="BG85" s="394"/>
      <c r="BH85" s="394"/>
      <c r="BI85" s="394"/>
      <c r="BJ85" s="394"/>
      <c r="BK85" s="122"/>
      <c r="BN85" s="122"/>
      <c r="BO85" s="122"/>
      <c r="BP85" s="122"/>
      <c r="BQ85" s="699"/>
      <c r="BR85" s="699"/>
      <c r="BS85" s="699"/>
      <c r="BT85" s="699"/>
      <c r="BU85" s="699"/>
      <c r="BV85" s="699"/>
      <c r="BW85" s="699"/>
      <c r="BX85" s="699"/>
      <c r="BY85" s="699"/>
    </row>
    <row r="86" spans="1:81" s="395" customFormat="1" ht="34.950000000000003" customHeight="1">
      <c r="A86" s="697" t="s">
        <v>1134</v>
      </c>
      <c r="B86" s="701" t="s">
        <v>1135</v>
      </c>
      <c r="C86" s="220">
        <f t="shared" si="48"/>
        <v>71</v>
      </c>
      <c r="D86" s="220">
        <v>1887</v>
      </c>
      <c r="E86" s="235" t="s">
        <v>107</v>
      </c>
      <c r="F86" s="349">
        <v>5200000</v>
      </c>
      <c r="G86" s="349">
        <v>5200000</v>
      </c>
      <c r="H86" s="349">
        <f t="shared" si="36"/>
        <v>0</v>
      </c>
      <c r="I86" s="349">
        <v>1760000</v>
      </c>
      <c r="J86" s="349">
        <v>1379255</v>
      </c>
      <c r="K86" s="349"/>
      <c r="L86" s="349"/>
      <c r="M86" s="349">
        <f t="shared" si="49"/>
        <v>0</v>
      </c>
      <c r="N86" s="349">
        <f t="shared" si="47"/>
        <v>1379255</v>
      </c>
      <c r="O86" s="349">
        <f>380745+900000-400000</f>
        <v>880745</v>
      </c>
      <c r="P86" s="349">
        <f t="shared" si="37"/>
        <v>2940000</v>
      </c>
      <c r="Q86" s="349">
        <f t="shared" si="38"/>
        <v>380745</v>
      </c>
      <c r="R86" s="349">
        <f t="shared" si="39"/>
        <v>500000</v>
      </c>
      <c r="S86" s="349">
        <v>900000</v>
      </c>
      <c r="T86" s="349">
        <f t="shared" si="40"/>
        <v>-400000</v>
      </c>
      <c r="U86" s="349">
        <f t="shared" si="41"/>
        <v>0</v>
      </c>
      <c r="V86" s="349">
        <v>-400000</v>
      </c>
      <c r="W86" s="349"/>
      <c r="X86" s="349"/>
      <c r="Y86" s="221" t="s">
        <v>1140</v>
      </c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>
        <f t="shared" si="52"/>
        <v>0</v>
      </c>
      <c r="AK86" s="349">
        <f t="shared" si="43"/>
        <v>-400000</v>
      </c>
      <c r="AL86" s="349">
        <f t="shared" si="44"/>
        <v>0</v>
      </c>
      <c r="AM86" s="349"/>
      <c r="AN86" s="349"/>
      <c r="AO86" s="349"/>
      <c r="AP86" s="349">
        <f t="shared" si="45"/>
        <v>0</v>
      </c>
      <c r="AQ86" s="349"/>
      <c r="AR86" s="349"/>
      <c r="AS86" s="349"/>
      <c r="AT86" s="349"/>
      <c r="AU86" s="349"/>
      <c r="AV86" s="319"/>
      <c r="AW86" s="319"/>
      <c r="AX86" s="319"/>
      <c r="AY86" s="319"/>
      <c r="AZ86" s="319"/>
      <c r="BA86" s="319"/>
      <c r="BB86" s="394"/>
      <c r="BC86" s="394"/>
      <c r="BD86" s="394"/>
      <c r="BE86" s="394"/>
      <c r="BF86" s="394"/>
      <c r="BG86" s="394"/>
      <c r="BH86" s="394"/>
      <c r="BI86" s="394"/>
      <c r="BJ86" s="122"/>
      <c r="BM86" s="122"/>
      <c r="BN86" s="122"/>
      <c r="BO86" s="122"/>
      <c r="BP86" s="699"/>
      <c r="BQ86" s="699"/>
      <c r="BR86" s="699"/>
      <c r="BS86" s="699"/>
      <c r="BT86" s="699"/>
      <c r="BU86" s="699"/>
      <c r="BV86" s="699"/>
      <c r="BW86" s="699"/>
      <c r="BX86" s="699"/>
    </row>
    <row r="87" spans="1:81" s="710" customFormat="1" ht="34.950000000000003" customHeight="1">
      <c r="A87" s="700" t="s">
        <v>1172</v>
      </c>
      <c r="B87" s="701" t="s">
        <v>1139</v>
      </c>
      <c r="C87" s="220">
        <f t="shared" si="48"/>
        <v>72</v>
      </c>
      <c r="D87" s="220">
        <v>20068</v>
      </c>
      <c r="E87" s="235" t="s">
        <v>1203</v>
      </c>
      <c r="F87" s="349">
        <v>157714</v>
      </c>
      <c r="G87" s="349">
        <v>158000</v>
      </c>
      <c r="H87" s="349">
        <f t="shared" si="36"/>
        <v>-286</v>
      </c>
      <c r="I87" s="349">
        <v>158000</v>
      </c>
      <c r="J87" s="349"/>
      <c r="K87" s="349"/>
      <c r="L87" s="349"/>
      <c r="M87" s="349"/>
      <c r="N87" s="349">
        <f t="shared" si="47"/>
        <v>0</v>
      </c>
      <c r="O87" s="349">
        <v>157714</v>
      </c>
      <c r="P87" s="349">
        <f t="shared" si="37"/>
        <v>0</v>
      </c>
      <c r="Q87" s="349">
        <f t="shared" si="38"/>
        <v>158000</v>
      </c>
      <c r="R87" s="349">
        <f t="shared" si="39"/>
        <v>-286</v>
      </c>
      <c r="S87" s="349"/>
      <c r="T87" s="349">
        <f t="shared" si="40"/>
        <v>-286</v>
      </c>
      <c r="U87" s="349">
        <f t="shared" si="41"/>
        <v>0</v>
      </c>
      <c r="V87" s="349"/>
      <c r="W87" s="349"/>
      <c r="X87" s="349">
        <v>-286</v>
      </c>
      <c r="Y87" s="221" t="s">
        <v>1583</v>
      </c>
      <c r="Z87" s="349"/>
      <c r="AA87" s="349"/>
      <c r="AB87" s="349"/>
      <c r="AC87" s="349"/>
      <c r="AD87" s="349"/>
      <c r="AE87" s="349"/>
      <c r="AF87" s="349"/>
      <c r="AG87" s="349"/>
      <c r="AH87" s="349">
        <v>-286</v>
      </c>
      <c r="AI87" s="349"/>
      <c r="AJ87" s="349">
        <f t="shared" si="52"/>
        <v>-286</v>
      </c>
      <c r="AK87" s="349">
        <f t="shared" si="43"/>
        <v>0</v>
      </c>
      <c r="AL87" s="349"/>
      <c r="AM87" s="349"/>
      <c r="AN87" s="349"/>
      <c r="AO87" s="349"/>
      <c r="AP87" s="349">
        <f t="shared" si="45"/>
        <v>0</v>
      </c>
      <c r="AQ87" s="349"/>
      <c r="AR87" s="349"/>
      <c r="AS87" s="349"/>
      <c r="AT87" s="349"/>
      <c r="AU87" s="349">
        <v>-286</v>
      </c>
      <c r="AV87" s="707"/>
      <c r="AW87" s="707"/>
      <c r="AX87" s="707"/>
      <c r="AY87" s="707"/>
      <c r="AZ87" s="708"/>
      <c r="BA87" s="708"/>
      <c r="BB87" s="708"/>
      <c r="BC87" s="708"/>
      <c r="BD87" s="708"/>
      <c r="BE87" s="708"/>
      <c r="BF87" s="708"/>
      <c r="BG87" s="708"/>
      <c r="BH87" s="709"/>
      <c r="BK87" s="709"/>
      <c r="BL87" s="709"/>
      <c r="BM87" s="709"/>
      <c r="BN87" s="711"/>
      <c r="BO87" s="711"/>
      <c r="BP87" s="711"/>
      <c r="BQ87" s="711"/>
      <c r="BR87" s="711"/>
      <c r="BS87" s="711"/>
      <c r="BT87" s="711"/>
      <c r="BU87" s="711"/>
      <c r="BV87" s="711"/>
    </row>
    <row r="88" spans="1:81" s="395" customFormat="1" ht="34.950000000000003" customHeight="1">
      <c r="A88" s="700" t="s">
        <v>1172</v>
      </c>
      <c r="B88" s="701" t="s">
        <v>1139</v>
      </c>
      <c r="C88" s="220">
        <f t="shared" si="48"/>
        <v>73</v>
      </c>
      <c r="D88" s="220">
        <v>1416</v>
      </c>
      <c r="E88" s="235" t="s">
        <v>93</v>
      </c>
      <c r="F88" s="349">
        <f>3600000+250000+150000</f>
        <v>4000000</v>
      </c>
      <c r="G88" s="349">
        <v>3600000</v>
      </c>
      <c r="H88" s="349">
        <f t="shared" si="36"/>
        <v>400000</v>
      </c>
      <c r="I88" s="349">
        <v>3000000</v>
      </c>
      <c r="J88" s="349">
        <v>2846046</v>
      </c>
      <c r="K88" s="349"/>
      <c r="L88" s="349"/>
      <c r="M88" s="349">
        <f t="shared" ref="M88:M101" si="53">SUM(K88:L88)</f>
        <v>0</v>
      </c>
      <c r="N88" s="349">
        <f t="shared" si="47"/>
        <v>2846046</v>
      </c>
      <c r="O88" s="349">
        <f>600000+250000+153954+150000</f>
        <v>1153954</v>
      </c>
      <c r="P88" s="349">
        <f t="shared" si="37"/>
        <v>0</v>
      </c>
      <c r="Q88" s="349">
        <f t="shared" si="38"/>
        <v>153954</v>
      </c>
      <c r="R88" s="349">
        <f t="shared" si="39"/>
        <v>1000000</v>
      </c>
      <c r="S88" s="349">
        <v>600000</v>
      </c>
      <c r="T88" s="349">
        <f t="shared" si="40"/>
        <v>400000</v>
      </c>
      <c r="U88" s="349">
        <f t="shared" si="41"/>
        <v>0</v>
      </c>
      <c r="V88" s="349">
        <v>400000</v>
      </c>
      <c r="W88" s="349"/>
      <c r="X88" s="349"/>
      <c r="Y88" s="221" t="s">
        <v>1204</v>
      </c>
      <c r="Z88" s="349"/>
      <c r="AA88" s="349"/>
      <c r="AB88" s="349"/>
      <c r="AC88" s="349"/>
      <c r="AD88" s="349"/>
      <c r="AE88" s="349"/>
      <c r="AF88" s="349"/>
      <c r="AG88" s="349"/>
      <c r="AH88" s="349">
        <v>400000</v>
      </c>
      <c r="AI88" s="349"/>
      <c r="AJ88" s="349">
        <f t="shared" si="52"/>
        <v>400000</v>
      </c>
      <c r="AK88" s="349">
        <f t="shared" si="43"/>
        <v>0</v>
      </c>
      <c r="AL88" s="349">
        <f t="shared" si="44"/>
        <v>0</v>
      </c>
      <c r="AM88" s="349"/>
      <c r="AN88" s="349"/>
      <c r="AO88" s="349"/>
      <c r="AP88" s="349">
        <f t="shared" si="45"/>
        <v>0</v>
      </c>
      <c r="AQ88" s="349">
        <v>400000</v>
      </c>
      <c r="AR88" s="349"/>
      <c r="AS88" s="349"/>
      <c r="AT88" s="349"/>
      <c r="AU88" s="349"/>
      <c r="AV88" s="319"/>
      <c r="AW88" s="319"/>
      <c r="AX88" s="319"/>
      <c r="AY88" s="319"/>
      <c r="AZ88" s="394"/>
      <c r="BA88" s="394"/>
      <c r="BB88" s="394"/>
      <c r="BC88" s="394"/>
      <c r="BD88" s="394"/>
      <c r="BE88" s="394"/>
      <c r="BF88" s="394"/>
      <c r="BG88" s="394"/>
      <c r="BH88" s="122"/>
      <c r="BK88" s="122"/>
      <c r="BL88" s="122"/>
      <c r="BM88" s="122"/>
      <c r="BN88" s="699"/>
      <c r="BO88" s="699"/>
      <c r="BP88" s="699"/>
      <c r="BQ88" s="699"/>
      <c r="BR88" s="699"/>
      <c r="BS88" s="699"/>
      <c r="BT88" s="699"/>
      <c r="BU88" s="699"/>
      <c r="BV88" s="699"/>
    </row>
    <row r="89" spans="1:81" s="395" customFormat="1" ht="34.950000000000003" customHeight="1">
      <c r="A89" s="700" t="s">
        <v>1172</v>
      </c>
      <c r="B89" s="701" t="s">
        <v>1139</v>
      </c>
      <c r="C89" s="220">
        <f t="shared" si="48"/>
        <v>74</v>
      </c>
      <c r="D89" s="220">
        <v>2235</v>
      </c>
      <c r="E89" s="235" t="s">
        <v>581</v>
      </c>
      <c r="F89" s="349">
        <f>1400000+1600000</f>
        <v>3000000</v>
      </c>
      <c r="G89" s="349">
        <v>1400000</v>
      </c>
      <c r="H89" s="349">
        <f t="shared" si="36"/>
        <v>1600000</v>
      </c>
      <c r="I89" s="349">
        <v>1400000</v>
      </c>
      <c r="J89" s="349">
        <v>411258</v>
      </c>
      <c r="K89" s="349"/>
      <c r="L89" s="349"/>
      <c r="M89" s="349">
        <f t="shared" si="53"/>
        <v>0</v>
      </c>
      <c r="N89" s="349">
        <f t="shared" si="47"/>
        <v>411258</v>
      </c>
      <c r="O89" s="349">
        <f>988742+1600000</f>
        <v>2588742</v>
      </c>
      <c r="P89" s="349">
        <f t="shared" si="37"/>
        <v>0</v>
      </c>
      <c r="Q89" s="349">
        <f t="shared" si="38"/>
        <v>988742</v>
      </c>
      <c r="R89" s="349">
        <f t="shared" si="39"/>
        <v>1600000</v>
      </c>
      <c r="S89" s="349"/>
      <c r="T89" s="349">
        <f t="shared" si="40"/>
        <v>1600000</v>
      </c>
      <c r="U89" s="349">
        <f t="shared" si="41"/>
        <v>1000000</v>
      </c>
      <c r="V89" s="349">
        <v>600000</v>
      </c>
      <c r="W89" s="349"/>
      <c r="X89" s="349"/>
      <c r="Y89" s="221" t="s">
        <v>1205</v>
      </c>
      <c r="Z89" s="349"/>
      <c r="AA89" s="349"/>
      <c r="AB89" s="349"/>
      <c r="AC89" s="349"/>
      <c r="AD89" s="349"/>
      <c r="AE89" s="349"/>
      <c r="AF89" s="349"/>
      <c r="AG89" s="349"/>
      <c r="AH89" s="349">
        <v>1600000</v>
      </c>
      <c r="AI89" s="349"/>
      <c r="AJ89" s="349">
        <f t="shared" si="52"/>
        <v>1600000</v>
      </c>
      <c r="AK89" s="349">
        <f t="shared" si="43"/>
        <v>0</v>
      </c>
      <c r="AL89" s="349">
        <f t="shared" si="44"/>
        <v>0</v>
      </c>
      <c r="AM89" s="349"/>
      <c r="AN89" s="349"/>
      <c r="AO89" s="349"/>
      <c r="AP89" s="349">
        <f t="shared" si="45"/>
        <v>1000000</v>
      </c>
      <c r="AQ89" s="349">
        <v>600000</v>
      </c>
      <c r="AR89" s="349"/>
      <c r="AS89" s="349"/>
      <c r="AT89" s="349"/>
      <c r="AU89" s="349"/>
      <c r="AV89" s="319"/>
      <c r="AW89" s="319"/>
      <c r="AX89" s="319"/>
      <c r="AY89" s="319"/>
      <c r="AZ89" s="394"/>
      <c r="BA89" s="394"/>
      <c r="BB89" s="394"/>
      <c r="BC89" s="394"/>
      <c r="BD89" s="394"/>
      <c r="BE89" s="394"/>
      <c r="BF89" s="394"/>
      <c r="BG89" s="394"/>
      <c r="BH89" s="122"/>
      <c r="BK89" s="122"/>
      <c r="BL89" s="122"/>
      <c r="BM89" s="122"/>
      <c r="BN89" s="699"/>
      <c r="BO89" s="699"/>
      <c r="BP89" s="699"/>
      <c r="BQ89" s="699"/>
      <c r="BR89" s="699"/>
      <c r="BS89" s="699"/>
      <c r="BT89" s="699"/>
      <c r="BU89" s="699"/>
      <c r="BV89" s="699"/>
    </row>
    <row r="90" spans="1:81" s="395" customFormat="1" ht="34.950000000000003" customHeight="1">
      <c r="A90" s="700" t="s">
        <v>1172</v>
      </c>
      <c r="B90" s="701" t="s">
        <v>1139</v>
      </c>
      <c r="C90" s="220">
        <f t="shared" si="48"/>
        <v>75</v>
      </c>
      <c r="D90" s="220">
        <v>2216</v>
      </c>
      <c r="E90" s="235" t="s">
        <v>453</v>
      </c>
      <c r="F90" s="349">
        <f>4400000+3100000</f>
        <v>7500000</v>
      </c>
      <c r="G90" s="349">
        <v>4400000</v>
      </c>
      <c r="H90" s="349">
        <f t="shared" si="36"/>
        <v>3100000</v>
      </c>
      <c r="I90" s="349">
        <v>4400000</v>
      </c>
      <c r="J90" s="349">
        <v>1963643</v>
      </c>
      <c r="K90" s="349"/>
      <c r="L90" s="349"/>
      <c r="M90" s="349">
        <f t="shared" si="53"/>
        <v>0</v>
      </c>
      <c r="N90" s="349">
        <f t="shared" si="47"/>
        <v>1963643</v>
      </c>
      <c r="O90" s="349">
        <f>2436357+3100000</f>
        <v>5536357</v>
      </c>
      <c r="P90" s="349">
        <f t="shared" si="37"/>
        <v>0</v>
      </c>
      <c r="Q90" s="349">
        <f t="shared" si="38"/>
        <v>2436357</v>
      </c>
      <c r="R90" s="349">
        <f t="shared" si="39"/>
        <v>3100000</v>
      </c>
      <c r="S90" s="349"/>
      <c r="T90" s="349">
        <f t="shared" si="40"/>
        <v>3100000</v>
      </c>
      <c r="U90" s="349">
        <f t="shared" si="41"/>
        <v>2600000</v>
      </c>
      <c r="V90" s="349">
        <v>500000</v>
      </c>
      <c r="W90" s="349"/>
      <c r="X90" s="349"/>
      <c r="Y90" s="221" t="s">
        <v>1206</v>
      </c>
      <c r="Z90" s="349"/>
      <c r="AA90" s="349"/>
      <c r="AB90" s="349"/>
      <c r="AC90" s="349"/>
      <c r="AD90" s="349"/>
      <c r="AE90" s="349"/>
      <c r="AF90" s="349"/>
      <c r="AG90" s="349"/>
      <c r="AH90" s="349">
        <v>3100000</v>
      </c>
      <c r="AI90" s="349"/>
      <c r="AJ90" s="349">
        <f t="shared" si="52"/>
        <v>3100000</v>
      </c>
      <c r="AK90" s="349">
        <f t="shared" si="43"/>
        <v>0</v>
      </c>
      <c r="AL90" s="349">
        <f t="shared" si="44"/>
        <v>0</v>
      </c>
      <c r="AM90" s="349"/>
      <c r="AN90" s="349"/>
      <c r="AO90" s="349"/>
      <c r="AP90" s="349">
        <f t="shared" si="45"/>
        <v>2600000</v>
      </c>
      <c r="AQ90" s="349">
        <v>500000</v>
      </c>
      <c r="AR90" s="349"/>
      <c r="AS90" s="349"/>
      <c r="AT90" s="349"/>
      <c r="AU90" s="349"/>
      <c r="AV90" s="319"/>
      <c r="AW90" s="319"/>
      <c r="AX90" s="319"/>
      <c r="AY90" s="319"/>
      <c r="AZ90" s="394"/>
      <c r="BA90" s="394"/>
      <c r="BB90" s="394"/>
      <c r="BC90" s="394"/>
      <c r="BD90" s="394"/>
      <c r="BE90" s="394"/>
      <c r="BF90" s="394"/>
      <c r="BG90" s="394"/>
      <c r="BH90" s="122"/>
      <c r="BK90" s="122"/>
      <c r="BL90" s="122"/>
      <c r="BM90" s="122"/>
      <c r="BN90" s="699"/>
      <c r="BO90" s="699"/>
      <c r="BP90" s="699"/>
      <c r="BQ90" s="699"/>
      <c r="BR90" s="699"/>
      <c r="BS90" s="699"/>
      <c r="BT90" s="699"/>
      <c r="BU90" s="699"/>
      <c r="BV90" s="699"/>
    </row>
    <row r="91" spans="1:81" s="395" customFormat="1" ht="34.950000000000003" customHeight="1">
      <c r="A91" s="700" t="s">
        <v>1172</v>
      </c>
      <c r="B91" s="701" t="s">
        <v>1139</v>
      </c>
      <c r="C91" s="220">
        <f t="shared" si="48"/>
        <v>76</v>
      </c>
      <c r="D91" s="220">
        <v>20100</v>
      </c>
      <c r="E91" s="235" t="s">
        <v>942</v>
      </c>
      <c r="F91" s="349">
        <v>2100000</v>
      </c>
      <c r="G91" s="349"/>
      <c r="H91" s="349">
        <f t="shared" si="36"/>
        <v>2100000</v>
      </c>
      <c r="I91" s="349"/>
      <c r="J91" s="349"/>
      <c r="K91" s="349"/>
      <c r="L91" s="349"/>
      <c r="M91" s="349">
        <f t="shared" si="53"/>
        <v>0</v>
      </c>
      <c r="N91" s="349">
        <f t="shared" si="47"/>
        <v>0</v>
      </c>
      <c r="O91" s="349">
        <v>2100000</v>
      </c>
      <c r="P91" s="349">
        <f t="shared" si="37"/>
        <v>0</v>
      </c>
      <c r="Q91" s="349">
        <f t="shared" si="38"/>
        <v>0</v>
      </c>
      <c r="R91" s="349">
        <f t="shared" si="39"/>
        <v>2100000</v>
      </c>
      <c r="S91" s="349"/>
      <c r="T91" s="349">
        <f t="shared" si="40"/>
        <v>2100000</v>
      </c>
      <c r="U91" s="349">
        <f t="shared" si="41"/>
        <v>2100000</v>
      </c>
      <c r="V91" s="349"/>
      <c r="W91" s="349"/>
      <c r="X91" s="349"/>
      <c r="Y91" s="221" t="s">
        <v>1207</v>
      </c>
      <c r="Z91" s="349"/>
      <c r="AA91" s="349"/>
      <c r="AB91" s="349"/>
      <c r="AC91" s="349"/>
      <c r="AD91" s="349"/>
      <c r="AE91" s="349"/>
      <c r="AF91" s="349"/>
      <c r="AG91" s="349"/>
      <c r="AH91" s="349">
        <v>2100000</v>
      </c>
      <c r="AI91" s="349"/>
      <c r="AJ91" s="349">
        <f t="shared" si="52"/>
        <v>2100000</v>
      </c>
      <c r="AK91" s="349">
        <f t="shared" si="43"/>
        <v>0</v>
      </c>
      <c r="AL91" s="349">
        <f t="shared" si="44"/>
        <v>0</v>
      </c>
      <c r="AM91" s="349"/>
      <c r="AN91" s="349"/>
      <c r="AO91" s="349"/>
      <c r="AP91" s="349">
        <f t="shared" si="45"/>
        <v>2100000</v>
      </c>
      <c r="AQ91" s="349"/>
      <c r="AR91" s="349"/>
      <c r="AS91" s="349"/>
      <c r="AT91" s="349"/>
      <c r="AU91" s="349"/>
      <c r="AV91" s="319"/>
      <c r="AW91" s="319"/>
      <c r="AX91" s="319"/>
      <c r="AY91" s="319"/>
      <c r="AZ91" s="394"/>
      <c r="BA91" s="394"/>
      <c r="BB91" s="394"/>
      <c r="BC91" s="394"/>
      <c r="BD91" s="394"/>
      <c r="BE91" s="394"/>
      <c r="BF91" s="394"/>
      <c r="BG91" s="394"/>
      <c r="BH91" s="122"/>
      <c r="BK91" s="122"/>
      <c r="BL91" s="122"/>
      <c r="BM91" s="122"/>
      <c r="BN91" s="699"/>
      <c r="BO91" s="699"/>
      <c r="BP91" s="699"/>
      <c r="BQ91" s="699"/>
      <c r="BR91" s="699"/>
      <c r="BS91" s="699"/>
      <c r="BT91" s="699"/>
      <c r="BU91" s="699"/>
      <c r="BV91" s="699"/>
    </row>
    <row r="92" spans="1:81" s="710" customFormat="1" ht="34.950000000000003" customHeight="1">
      <c r="A92" s="700" t="s">
        <v>1172</v>
      </c>
      <c r="B92" s="701" t="s">
        <v>1139</v>
      </c>
      <c r="C92" s="220">
        <f t="shared" si="48"/>
        <v>77</v>
      </c>
      <c r="D92" s="220">
        <v>20051</v>
      </c>
      <c r="E92" s="235" t="s">
        <v>1208</v>
      </c>
      <c r="F92" s="349">
        <f>1500000+2600000+950000</f>
        <v>5050000</v>
      </c>
      <c r="G92" s="349">
        <v>4100000</v>
      </c>
      <c r="H92" s="349">
        <f t="shared" si="36"/>
        <v>950000</v>
      </c>
      <c r="I92" s="349">
        <v>1500000</v>
      </c>
      <c r="J92" s="349">
        <v>1155067</v>
      </c>
      <c r="K92" s="349"/>
      <c r="L92" s="349"/>
      <c r="M92" s="349">
        <f t="shared" si="53"/>
        <v>0</v>
      </c>
      <c r="N92" s="349">
        <f t="shared" si="47"/>
        <v>1155067</v>
      </c>
      <c r="O92" s="349">
        <f>344933+2600000+950000</f>
        <v>3894933</v>
      </c>
      <c r="P92" s="349">
        <f t="shared" si="37"/>
        <v>0</v>
      </c>
      <c r="Q92" s="349">
        <f t="shared" si="38"/>
        <v>344933</v>
      </c>
      <c r="R92" s="349">
        <f t="shared" si="39"/>
        <v>3550000</v>
      </c>
      <c r="S92" s="349">
        <v>2600000</v>
      </c>
      <c r="T92" s="349">
        <f t="shared" si="40"/>
        <v>950000</v>
      </c>
      <c r="U92" s="349">
        <f t="shared" si="41"/>
        <v>0</v>
      </c>
      <c r="V92" s="349">
        <v>950000</v>
      </c>
      <c r="W92" s="349"/>
      <c r="X92" s="349"/>
      <c r="Y92" s="221" t="s">
        <v>1133</v>
      </c>
      <c r="Z92" s="349"/>
      <c r="AA92" s="349"/>
      <c r="AB92" s="349"/>
      <c r="AC92" s="349"/>
      <c r="AD92" s="349"/>
      <c r="AE92" s="349"/>
      <c r="AF92" s="349"/>
      <c r="AG92" s="349"/>
      <c r="AH92" s="349">
        <v>950000</v>
      </c>
      <c r="AI92" s="349"/>
      <c r="AJ92" s="349">
        <f t="shared" si="52"/>
        <v>950000</v>
      </c>
      <c r="AK92" s="349">
        <f t="shared" si="43"/>
        <v>0</v>
      </c>
      <c r="AL92" s="349">
        <f t="shared" si="44"/>
        <v>0</v>
      </c>
      <c r="AM92" s="349"/>
      <c r="AN92" s="349"/>
      <c r="AO92" s="349"/>
      <c r="AP92" s="349">
        <f t="shared" si="45"/>
        <v>0</v>
      </c>
      <c r="AQ92" s="349">
        <v>950000</v>
      </c>
      <c r="AR92" s="349"/>
      <c r="AS92" s="349"/>
      <c r="AT92" s="349"/>
      <c r="AU92" s="349"/>
      <c r="AV92" s="714"/>
      <c r="AW92" s="714"/>
      <c r="AX92" s="714"/>
      <c r="AY92" s="707"/>
      <c r="AZ92" s="707"/>
      <c r="BA92" s="707"/>
      <c r="BB92" s="707"/>
      <c r="BC92" s="707"/>
      <c r="BD92" s="707"/>
      <c r="BE92" s="707"/>
      <c r="BF92" s="707"/>
      <c r="BG92" s="708"/>
      <c r="BH92" s="708"/>
      <c r="BI92" s="708"/>
      <c r="BJ92" s="708"/>
      <c r="BK92" s="708"/>
      <c r="BL92" s="708"/>
      <c r="BM92" s="708"/>
      <c r="BN92" s="708"/>
      <c r="BO92" s="709"/>
      <c r="BR92" s="709"/>
      <c r="BS92" s="709"/>
      <c r="BT92" s="709"/>
      <c r="BU92" s="711"/>
      <c r="BV92" s="711"/>
      <c r="BW92" s="711"/>
      <c r="BX92" s="711"/>
      <c r="BY92" s="711"/>
      <c r="BZ92" s="711"/>
      <c r="CA92" s="711"/>
      <c r="CB92" s="711"/>
      <c r="CC92" s="711"/>
    </row>
    <row r="93" spans="1:81" s="395" customFormat="1" ht="34.950000000000003" customHeight="1">
      <c r="A93" s="700" t="s">
        <v>1286</v>
      </c>
      <c r="B93" s="701" t="s">
        <v>1297</v>
      </c>
      <c r="C93" s="220">
        <f t="shared" si="48"/>
        <v>78</v>
      </c>
      <c r="D93" s="220">
        <v>1416</v>
      </c>
      <c r="E93" s="235" t="s">
        <v>93</v>
      </c>
      <c r="F93" s="349">
        <f>3600000+250000+150000+470000</f>
        <v>4470000</v>
      </c>
      <c r="G93" s="349">
        <v>4000000</v>
      </c>
      <c r="H93" s="349">
        <f t="shared" si="36"/>
        <v>470000</v>
      </c>
      <c r="I93" s="349">
        <v>3000000</v>
      </c>
      <c r="J93" s="349">
        <v>2846046</v>
      </c>
      <c r="K93" s="349"/>
      <c r="L93" s="349"/>
      <c r="M93" s="349">
        <f t="shared" si="53"/>
        <v>0</v>
      </c>
      <c r="N93" s="349">
        <f t="shared" si="47"/>
        <v>2846046</v>
      </c>
      <c r="O93" s="349">
        <f>600000+250000+153954+150000+470000</f>
        <v>1623954</v>
      </c>
      <c r="P93" s="349">
        <f t="shared" si="37"/>
        <v>0</v>
      </c>
      <c r="Q93" s="349">
        <f t="shared" si="38"/>
        <v>153954</v>
      </c>
      <c r="R93" s="349">
        <f t="shared" si="39"/>
        <v>1470000</v>
      </c>
      <c r="S93" s="349">
        <v>1000000</v>
      </c>
      <c r="T93" s="349">
        <f t="shared" si="40"/>
        <v>470000</v>
      </c>
      <c r="U93" s="349">
        <f t="shared" si="41"/>
        <v>0</v>
      </c>
      <c r="V93" s="349">
        <v>470000</v>
      </c>
      <c r="W93" s="862"/>
      <c r="X93" s="349"/>
      <c r="Y93" s="221" t="s">
        <v>1289</v>
      </c>
      <c r="Z93" s="349"/>
      <c r="AA93" s="349"/>
      <c r="AB93" s="349"/>
      <c r="AC93" s="349"/>
      <c r="AD93" s="349"/>
      <c r="AE93" s="349"/>
      <c r="AF93" s="349"/>
      <c r="AG93" s="349"/>
      <c r="AH93" s="349"/>
      <c r="AI93" s="349">
        <v>470000</v>
      </c>
      <c r="AJ93" s="349">
        <f t="shared" si="52"/>
        <v>470000</v>
      </c>
      <c r="AK93" s="349">
        <f t="shared" ref="AK93:AK101" si="54">T93-AJ93</f>
        <v>0</v>
      </c>
      <c r="AL93" s="349">
        <f>AI93-AM93-AO93</f>
        <v>0</v>
      </c>
      <c r="AM93" s="349">
        <v>470000</v>
      </c>
      <c r="AN93" s="349"/>
      <c r="AO93" s="349"/>
      <c r="AP93" s="349">
        <f t="shared" si="45"/>
        <v>0</v>
      </c>
      <c r="AQ93" s="349">
        <v>470000</v>
      </c>
      <c r="AR93" s="349"/>
      <c r="AS93" s="349"/>
      <c r="AT93" s="349"/>
      <c r="AU93" s="349"/>
      <c r="AV93" s="394"/>
      <c r="AW93" s="394"/>
      <c r="AX93" s="394"/>
      <c r="AY93" s="394"/>
      <c r="AZ93" s="394"/>
      <c r="BA93" s="394"/>
      <c r="BB93" s="394"/>
      <c r="BC93" s="122"/>
      <c r="BF93" s="122"/>
      <c r="BG93" s="122"/>
      <c r="BH93" s="122"/>
      <c r="BI93" s="699"/>
      <c r="BJ93" s="699"/>
      <c r="BK93" s="699"/>
      <c r="BL93" s="699"/>
      <c r="BM93" s="699"/>
      <c r="BN93" s="699"/>
      <c r="BO93" s="699"/>
      <c r="BP93" s="699"/>
      <c r="BQ93" s="699"/>
    </row>
    <row r="94" spans="1:81" s="395" customFormat="1" ht="34.950000000000003" customHeight="1">
      <c r="A94" s="700" t="s">
        <v>1286</v>
      </c>
      <c r="B94" s="701" t="s">
        <v>1297</v>
      </c>
      <c r="C94" s="220">
        <f t="shared" si="48"/>
        <v>79</v>
      </c>
      <c r="D94" s="220">
        <v>1621</v>
      </c>
      <c r="E94" s="235" t="s">
        <v>46</v>
      </c>
      <c r="F94" s="349">
        <v>6030000</v>
      </c>
      <c r="G94" s="349">
        <v>6030000</v>
      </c>
      <c r="H94" s="349">
        <f t="shared" si="36"/>
        <v>0</v>
      </c>
      <c r="I94" s="349">
        <v>3700000</v>
      </c>
      <c r="J94" s="349">
        <v>2206838</v>
      </c>
      <c r="K94" s="349"/>
      <c r="L94" s="349"/>
      <c r="M94" s="349">
        <f t="shared" si="53"/>
        <v>0</v>
      </c>
      <c r="N94" s="349">
        <f t="shared" si="47"/>
        <v>2206838</v>
      </c>
      <c r="O94" s="349">
        <f>700000+1493162+150000</f>
        <v>2343162</v>
      </c>
      <c r="P94" s="349">
        <f t="shared" si="37"/>
        <v>1480000</v>
      </c>
      <c r="Q94" s="349">
        <f t="shared" si="38"/>
        <v>1493162</v>
      </c>
      <c r="R94" s="349">
        <f t="shared" si="39"/>
        <v>850000</v>
      </c>
      <c r="S94" s="349">
        <v>700000</v>
      </c>
      <c r="T94" s="349">
        <f t="shared" si="40"/>
        <v>150000</v>
      </c>
      <c r="U94" s="349">
        <f t="shared" si="41"/>
        <v>0</v>
      </c>
      <c r="V94" s="349">
        <v>150000</v>
      </c>
      <c r="W94" s="862"/>
      <c r="X94" s="349"/>
      <c r="Y94" s="221" t="s">
        <v>1130</v>
      </c>
      <c r="Z94" s="349"/>
      <c r="AA94" s="349"/>
      <c r="AB94" s="349"/>
      <c r="AC94" s="349"/>
      <c r="AD94" s="349"/>
      <c r="AE94" s="349"/>
      <c r="AF94" s="349"/>
      <c r="AG94" s="349"/>
      <c r="AH94" s="349"/>
      <c r="AI94" s="349">
        <v>150000</v>
      </c>
      <c r="AJ94" s="349">
        <f t="shared" si="52"/>
        <v>150000</v>
      </c>
      <c r="AK94" s="349">
        <f t="shared" si="54"/>
        <v>0</v>
      </c>
      <c r="AL94" s="349">
        <f>AI94-AM94-AO94</f>
        <v>0</v>
      </c>
      <c r="AM94" s="349">
        <v>150000</v>
      </c>
      <c r="AN94" s="349"/>
      <c r="AO94" s="349"/>
      <c r="AP94" s="349">
        <f t="shared" si="45"/>
        <v>0</v>
      </c>
      <c r="AQ94" s="349">
        <v>150000</v>
      </c>
      <c r="AR94" s="349"/>
      <c r="AS94" s="349"/>
      <c r="AT94" s="349"/>
      <c r="AU94" s="349"/>
      <c r="AV94" s="394"/>
      <c r="AW94" s="394"/>
      <c r="AX94" s="394"/>
      <c r="AY94" s="394"/>
      <c r="AZ94" s="394"/>
      <c r="BA94" s="394"/>
      <c r="BB94" s="394"/>
      <c r="BC94" s="122"/>
      <c r="BF94" s="122"/>
      <c r="BG94" s="122"/>
      <c r="BH94" s="122"/>
      <c r="BI94" s="699"/>
      <c r="BJ94" s="699"/>
      <c r="BK94" s="699"/>
      <c r="BL94" s="699"/>
      <c r="BM94" s="699"/>
      <c r="BN94" s="699"/>
      <c r="BO94" s="699"/>
      <c r="BP94" s="699"/>
      <c r="BQ94" s="699"/>
    </row>
    <row r="95" spans="1:81" s="395" customFormat="1" ht="34.950000000000003" customHeight="1">
      <c r="A95" s="700" t="s">
        <v>1286</v>
      </c>
      <c r="B95" s="701" t="s">
        <v>1297</v>
      </c>
      <c r="C95" s="220">
        <f t="shared" si="48"/>
        <v>80</v>
      </c>
      <c r="D95" s="220">
        <v>20020</v>
      </c>
      <c r="E95" s="235" t="s">
        <v>1290</v>
      </c>
      <c r="F95" s="349">
        <f>730000+230000</f>
        <v>960000</v>
      </c>
      <c r="G95" s="349">
        <v>730000</v>
      </c>
      <c r="H95" s="349">
        <f t="shared" si="36"/>
        <v>230000</v>
      </c>
      <c r="I95" s="349">
        <v>730000</v>
      </c>
      <c r="J95" s="349">
        <v>405319</v>
      </c>
      <c r="K95" s="349"/>
      <c r="L95" s="349"/>
      <c r="M95" s="349">
        <f t="shared" si="53"/>
        <v>0</v>
      </c>
      <c r="N95" s="349">
        <f t="shared" si="47"/>
        <v>405319</v>
      </c>
      <c r="O95" s="349">
        <f>230000+324681</f>
        <v>554681</v>
      </c>
      <c r="P95" s="349">
        <f t="shared" si="37"/>
        <v>0</v>
      </c>
      <c r="Q95" s="349">
        <f t="shared" si="38"/>
        <v>324681</v>
      </c>
      <c r="R95" s="349">
        <f t="shared" si="39"/>
        <v>230000</v>
      </c>
      <c r="S95" s="349"/>
      <c r="T95" s="349">
        <f t="shared" si="40"/>
        <v>230000</v>
      </c>
      <c r="U95" s="349">
        <f t="shared" si="41"/>
        <v>0</v>
      </c>
      <c r="V95" s="349">
        <v>230000</v>
      </c>
      <c r="W95" s="862"/>
      <c r="X95" s="349"/>
      <c r="Y95" s="221" t="s">
        <v>1291</v>
      </c>
      <c r="Z95" s="349"/>
      <c r="AA95" s="349"/>
      <c r="AB95" s="349"/>
      <c r="AC95" s="349"/>
      <c r="AD95" s="349"/>
      <c r="AE95" s="349"/>
      <c r="AF95" s="349"/>
      <c r="AG95" s="349"/>
      <c r="AH95" s="349"/>
      <c r="AI95" s="349">
        <v>230000</v>
      </c>
      <c r="AJ95" s="349">
        <f t="shared" si="52"/>
        <v>230000</v>
      </c>
      <c r="AK95" s="349">
        <f t="shared" si="54"/>
        <v>0</v>
      </c>
      <c r="AL95" s="349">
        <f>AI95-AM95-AO95</f>
        <v>0</v>
      </c>
      <c r="AM95" s="349">
        <v>230000</v>
      </c>
      <c r="AN95" s="349"/>
      <c r="AO95" s="349"/>
      <c r="AP95" s="349">
        <f t="shared" si="45"/>
        <v>0</v>
      </c>
      <c r="AQ95" s="349">
        <v>230000</v>
      </c>
      <c r="AR95" s="349"/>
      <c r="AS95" s="349"/>
      <c r="AT95" s="349"/>
      <c r="AU95" s="349"/>
      <c r="AV95" s="394"/>
      <c r="AW95" s="394"/>
      <c r="AX95" s="394"/>
      <c r="AY95" s="394"/>
      <c r="AZ95" s="394"/>
      <c r="BA95" s="394"/>
      <c r="BB95" s="394"/>
      <c r="BC95" s="122"/>
      <c r="BF95" s="122"/>
      <c r="BG95" s="122"/>
      <c r="BH95" s="122"/>
      <c r="BI95" s="699"/>
      <c r="BJ95" s="699"/>
      <c r="BK95" s="699"/>
      <c r="BL95" s="699"/>
      <c r="BM95" s="699"/>
      <c r="BN95" s="699"/>
      <c r="BO95" s="699"/>
      <c r="BP95" s="699"/>
      <c r="BQ95" s="699"/>
    </row>
    <row r="96" spans="1:81" s="395" customFormat="1" ht="34.950000000000003" customHeight="1">
      <c r="A96" s="700" t="s">
        <v>1286</v>
      </c>
      <c r="B96" s="701" t="s">
        <v>1297</v>
      </c>
      <c r="C96" s="220">
        <f t="shared" si="48"/>
        <v>81</v>
      </c>
      <c r="D96" s="220">
        <v>2187</v>
      </c>
      <c r="E96" s="235" t="s">
        <v>1292</v>
      </c>
      <c r="F96" s="349">
        <v>10600000</v>
      </c>
      <c r="G96" s="349">
        <v>10600000</v>
      </c>
      <c r="H96" s="349">
        <f t="shared" si="36"/>
        <v>0</v>
      </c>
      <c r="I96" s="349">
        <v>10600000</v>
      </c>
      <c r="J96" s="349">
        <v>9204590</v>
      </c>
      <c r="K96" s="349"/>
      <c r="L96" s="349"/>
      <c r="M96" s="349">
        <f t="shared" si="53"/>
        <v>0</v>
      </c>
      <c r="N96" s="349">
        <f t="shared" si="47"/>
        <v>9204590</v>
      </c>
      <c r="O96" s="349">
        <f>1395410-450000</f>
        <v>945410</v>
      </c>
      <c r="P96" s="349">
        <f t="shared" si="37"/>
        <v>450000</v>
      </c>
      <c r="Q96" s="349">
        <f t="shared" si="38"/>
        <v>1395410</v>
      </c>
      <c r="R96" s="349">
        <f t="shared" si="39"/>
        <v>-450000</v>
      </c>
      <c r="S96" s="349"/>
      <c r="T96" s="349">
        <f t="shared" si="40"/>
        <v>-450000</v>
      </c>
      <c r="U96" s="349">
        <f t="shared" si="41"/>
        <v>0</v>
      </c>
      <c r="V96" s="349">
        <v>-450000</v>
      </c>
      <c r="W96" s="862"/>
      <c r="X96" s="349"/>
      <c r="Y96" s="221" t="s">
        <v>1140</v>
      </c>
      <c r="Z96" s="349"/>
      <c r="AA96" s="349"/>
      <c r="AB96" s="349"/>
      <c r="AC96" s="349"/>
      <c r="AD96" s="349"/>
      <c r="AE96" s="349"/>
      <c r="AF96" s="349"/>
      <c r="AG96" s="349"/>
      <c r="AH96" s="349"/>
      <c r="AI96" s="349">
        <v>-450000</v>
      </c>
      <c r="AJ96" s="349">
        <f t="shared" si="52"/>
        <v>-450000</v>
      </c>
      <c r="AK96" s="349">
        <f t="shared" si="54"/>
        <v>0</v>
      </c>
      <c r="AL96" s="349">
        <f>AI96-AM96-AO96</f>
        <v>0</v>
      </c>
      <c r="AM96" s="349">
        <v>-450000</v>
      </c>
      <c r="AN96" s="349"/>
      <c r="AO96" s="349"/>
      <c r="AP96" s="349">
        <f t="shared" si="45"/>
        <v>0</v>
      </c>
      <c r="AQ96" s="349">
        <v>-450000</v>
      </c>
      <c r="AR96" s="349"/>
      <c r="AS96" s="349"/>
      <c r="AT96" s="349"/>
      <c r="AU96" s="349"/>
      <c r="AV96" s="394"/>
      <c r="AW96" s="394"/>
      <c r="AX96" s="394"/>
      <c r="AY96" s="394"/>
      <c r="AZ96" s="394"/>
      <c r="BA96" s="394"/>
      <c r="BB96" s="394"/>
      <c r="BC96" s="122"/>
      <c r="BF96" s="122"/>
      <c r="BG96" s="122"/>
      <c r="BH96" s="122"/>
      <c r="BI96" s="699"/>
      <c r="BJ96" s="699"/>
      <c r="BK96" s="699"/>
      <c r="BL96" s="699"/>
      <c r="BM96" s="699"/>
      <c r="BN96" s="699"/>
      <c r="BO96" s="699"/>
      <c r="BP96" s="699"/>
      <c r="BQ96" s="699"/>
    </row>
    <row r="97" spans="1:82" s="395" customFormat="1" ht="34.950000000000003" customHeight="1">
      <c r="A97" s="700" t="s">
        <v>1286</v>
      </c>
      <c r="B97" s="701" t="s">
        <v>1297</v>
      </c>
      <c r="C97" s="220">
        <f t="shared" si="48"/>
        <v>82</v>
      </c>
      <c r="D97" s="220">
        <v>2037</v>
      </c>
      <c r="E97" s="235" t="s">
        <v>1293</v>
      </c>
      <c r="F97" s="349">
        <v>5000000</v>
      </c>
      <c r="G97" s="349">
        <v>5000000</v>
      </c>
      <c r="H97" s="349">
        <f t="shared" si="36"/>
        <v>0</v>
      </c>
      <c r="I97" s="349">
        <v>1800000</v>
      </c>
      <c r="J97" s="349">
        <v>754842</v>
      </c>
      <c r="K97" s="349"/>
      <c r="L97" s="349"/>
      <c r="M97" s="349">
        <f t="shared" si="53"/>
        <v>0</v>
      </c>
      <c r="N97" s="349">
        <f t="shared" si="47"/>
        <v>754842</v>
      </c>
      <c r="O97" s="349">
        <f>500000+1045158-200000</f>
        <v>1345158</v>
      </c>
      <c r="P97" s="349">
        <f t="shared" si="37"/>
        <v>2900000</v>
      </c>
      <c r="Q97" s="349">
        <f t="shared" si="38"/>
        <v>1045158</v>
      </c>
      <c r="R97" s="349">
        <f t="shared" si="39"/>
        <v>300000</v>
      </c>
      <c r="S97" s="349">
        <v>500000</v>
      </c>
      <c r="T97" s="349">
        <f t="shared" si="40"/>
        <v>-200000</v>
      </c>
      <c r="U97" s="349">
        <f t="shared" si="41"/>
        <v>0</v>
      </c>
      <c r="V97" s="349">
        <v>-200000</v>
      </c>
      <c r="W97" s="862"/>
      <c r="X97" s="349"/>
      <c r="Y97" s="221" t="s">
        <v>1140</v>
      </c>
      <c r="Z97" s="349"/>
      <c r="AA97" s="349"/>
      <c r="AB97" s="349"/>
      <c r="AC97" s="349"/>
      <c r="AD97" s="349"/>
      <c r="AE97" s="349"/>
      <c r="AF97" s="349"/>
      <c r="AG97" s="349"/>
      <c r="AH97" s="349"/>
      <c r="AI97" s="349">
        <v>-200000</v>
      </c>
      <c r="AJ97" s="349">
        <f t="shared" si="52"/>
        <v>-200000</v>
      </c>
      <c r="AK97" s="349">
        <f t="shared" si="54"/>
        <v>0</v>
      </c>
      <c r="AL97" s="349">
        <f>AI97-AM97-AO97</f>
        <v>0</v>
      </c>
      <c r="AM97" s="349">
        <v>-200000</v>
      </c>
      <c r="AN97" s="349"/>
      <c r="AO97" s="349"/>
      <c r="AP97" s="349">
        <f t="shared" si="45"/>
        <v>0</v>
      </c>
      <c r="AQ97" s="349">
        <v>-200000</v>
      </c>
      <c r="AR97" s="349"/>
      <c r="AS97" s="349"/>
      <c r="AT97" s="349"/>
      <c r="AU97" s="349"/>
      <c r="AV97" s="394"/>
      <c r="AW97" s="394"/>
      <c r="AX97" s="394"/>
      <c r="AY97" s="394"/>
      <c r="AZ97" s="394"/>
      <c r="BA97" s="394"/>
      <c r="BB97" s="394"/>
      <c r="BC97" s="122"/>
      <c r="BF97" s="122"/>
      <c r="BG97" s="122"/>
      <c r="BH97" s="122"/>
      <c r="BI97" s="699"/>
      <c r="BJ97" s="699"/>
      <c r="BK97" s="699"/>
      <c r="BL97" s="699"/>
      <c r="BM97" s="699"/>
      <c r="BN97" s="699"/>
      <c r="BO97" s="699"/>
      <c r="BP97" s="699"/>
      <c r="BQ97" s="699"/>
    </row>
    <row r="98" spans="1:82" s="395" customFormat="1" ht="34.950000000000003" customHeight="1">
      <c r="A98" s="700" t="s">
        <v>1296</v>
      </c>
      <c r="B98" s="701" t="s">
        <v>1297</v>
      </c>
      <c r="C98" s="220">
        <f t="shared" si="48"/>
        <v>83</v>
      </c>
      <c r="D98" s="220">
        <v>2043</v>
      </c>
      <c r="E98" s="448" t="s">
        <v>402</v>
      </c>
      <c r="F98" s="349">
        <v>18350000</v>
      </c>
      <c r="G98" s="349">
        <v>15350000</v>
      </c>
      <c r="H98" s="349">
        <f t="shared" si="36"/>
        <v>3000000</v>
      </c>
      <c r="I98" s="349">
        <v>10350000</v>
      </c>
      <c r="J98" s="349">
        <v>10039721</v>
      </c>
      <c r="K98" s="349"/>
      <c r="L98" s="349"/>
      <c r="M98" s="349">
        <f t="shared" si="53"/>
        <v>0</v>
      </c>
      <c r="N98" s="349">
        <f t="shared" si="47"/>
        <v>10039721</v>
      </c>
      <c r="O98" s="349">
        <f>310279+4500000+3000000</f>
        <v>7810279</v>
      </c>
      <c r="P98" s="349">
        <f t="shared" si="37"/>
        <v>500000</v>
      </c>
      <c r="Q98" s="349">
        <f t="shared" si="38"/>
        <v>310279</v>
      </c>
      <c r="R98" s="349">
        <f t="shared" si="39"/>
        <v>7500000</v>
      </c>
      <c r="S98" s="349">
        <v>4500000</v>
      </c>
      <c r="T98" s="349">
        <f t="shared" si="40"/>
        <v>3000000</v>
      </c>
      <c r="U98" s="349">
        <f t="shared" si="41"/>
        <v>0</v>
      </c>
      <c r="V98" s="349">
        <v>3000000</v>
      </c>
      <c r="W98" s="862"/>
      <c r="X98" s="349"/>
      <c r="Y98" s="221" t="s">
        <v>1298</v>
      </c>
      <c r="Z98" s="349"/>
      <c r="AA98" s="349"/>
      <c r="AB98" s="349"/>
      <c r="AC98" s="349">
        <f>SUM(Z98:AB98)</f>
        <v>0</v>
      </c>
      <c r="AD98" s="349"/>
      <c r="AE98" s="349">
        <f>AB98-AF98-AG98-AH98</f>
        <v>0</v>
      </c>
      <c r="AF98" s="349"/>
      <c r="AG98" s="349"/>
      <c r="AH98" s="349"/>
      <c r="AI98" s="349">
        <v>3000000</v>
      </c>
      <c r="AJ98" s="349">
        <f t="shared" si="52"/>
        <v>3000000</v>
      </c>
      <c r="AK98" s="349">
        <f t="shared" si="54"/>
        <v>0</v>
      </c>
      <c r="AL98" s="349">
        <f>AI98-AM98-AN98-AO98</f>
        <v>0</v>
      </c>
      <c r="AM98" s="349">
        <v>3000000</v>
      </c>
      <c r="AN98" s="349"/>
      <c r="AO98" s="349"/>
      <c r="AP98" s="349">
        <f>AJ98-AR98-AS98-AQ98</f>
        <v>0</v>
      </c>
      <c r="AQ98" s="349">
        <v>3000000</v>
      </c>
      <c r="AR98" s="349"/>
      <c r="AS98" s="349"/>
      <c r="AT98" s="222"/>
      <c r="AU98" s="222"/>
      <c r="AV98" s="122"/>
      <c r="AW98" s="122"/>
      <c r="AX98" s="122"/>
      <c r="AY98" s="699"/>
      <c r="AZ98" s="699"/>
      <c r="BA98" s="699"/>
      <c r="BB98" s="699"/>
      <c r="BC98" s="699"/>
      <c r="BD98" s="699"/>
      <c r="BE98" s="699"/>
      <c r="BF98" s="699"/>
      <c r="BG98" s="699"/>
    </row>
    <row r="99" spans="1:82" s="395" customFormat="1" ht="40.950000000000003" customHeight="1">
      <c r="A99" s="700" t="s">
        <v>1296</v>
      </c>
      <c r="B99" s="701" t="s">
        <v>1297</v>
      </c>
      <c r="C99" s="220">
        <f t="shared" si="48"/>
        <v>84</v>
      </c>
      <c r="D99" s="220">
        <v>20030</v>
      </c>
      <c r="E99" s="235" t="s">
        <v>1183</v>
      </c>
      <c r="F99" s="349">
        <f>47150000+700000</f>
        <v>47850000</v>
      </c>
      <c r="G99" s="349">
        <v>45150000</v>
      </c>
      <c r="H99" s="349">
        <f t="shared" si="36"/>
        <v>2700000</v>
      </c>
      <c r="I99" s="349">
        <v>18150000</v>
      </c>
      <c r="J99" s="349">
        <v>17983016</v>
      </c>
      <c r="K99" s="349"/>
      <c r="L99" s="349"/>
      <c r="M99" s="349">
        <f t="shared" si="53"/>
        <v>0</v>
      </c>
      <c r="N99" s="349">
        <f t="shared" si="47"/>
        <v>17983016</v>
      </c>
      <c r="O99" s="349">
        <f>166984+6500000+10000000+10500000+2000000+700000</f>
        <v>29866984</v>
      </c>
      <c r="P99" s="349">
        <f t="shared" si="37"/>
        <v>0</v>
      </c>
      <c r="Q99" s="349">
        <f t="shared" si="38"/>
        <v>166984</v>
      </c>
      <c r="R99" s="349">
        <f t="shared" si="39"/>
        <v>29700000</v>
      </c>
      <c r="S99" s="349">
        <f>6500000+10000000+10500000</f>
        <v>27000000</v>
      </c>
      <c r="T99" s="349">
        <f t="shared" si="40"/>
        <v>2700000</v>
      </c>
      <c r="U99" s="349">
        <f t="shared" si="41"/>
        <v>0</v>
      </c>
      <c r="V99" s="349">
        <v>2700000</v>
      </c>
      <c r="W99" s="349"/>
      <c r="X99" s="349"/>
      <c r="Y99" s="221" t="s">
        <v>1299</v>
      </c>
      <c r="Z99" s="349"/>
      <c r="AA99" s="349"/>
      <c r="AB99" s="349"/>
      <c r="AC99" s="349">
        <f>SUM(Z99:AB99)</f>
        <v>0</v>
      </c>
      <c r="AD99" s="349"/>
      <c r="AE99" s="349"/>
      <c r="AF99" s="349"/>
      <c r="AG99" s="349"/>
      <c r="AH99" s="349"/>
      <c r="AI99" s="349">
        <v>2700000</v>
      </c>
      <c r="AJ99" s="349">
        <f t="shared" si="52"/>
        <v>2700000</v>
      </c>
      <c r="AK99" s="349">
        <f t="shared" si="54"/>
        <v>0</v>
      </c>
      <c r="AL99" s="349">
        <f>AI99-AM99-AN99-AO99</f>
        <v>0</v>
      </c>
      <c r="AM99" s="349">
        <v>2700000</v>
      </c>
      <c r="AN99" s="349"/>
      <c r="AO99" s="349"/>
      <c r="AP99" s="349">
        <f>AJ99-AR99-AS99-AQ99</f>
        <v>0</v>
      </c>
      <c r="AQ99" s="349">
        <v>2700000</v>
      </c>
      <c r="AR99" s="349"/>
      <c r="AS99" s="349"/>
      <c r="AT99" s="868"/>
      <c r="AU99" s="868"/>
      <c r="AV99" s="394"/>
      <c r="AW99" s="394"/>
      <c r="AX99" s="394"/>
      <c r="AY99" s="394"/>
      <c r="AZ99" s="394"/>
      <c r="BA99" s="394"/>
      <c r="BB99" s="122"/>
      <c r="BE99" s="122"/>
      <c r="BF99" s="122"/>
      <c r="BG99" s="122"/>
      <c r="BH99" s="699"/>
      <c r="BI99" s="699"/>
      <c r="BJ99" s="699"/>
      <c r="BK99" s="699"/>
      <c r="BL99" s="699"/>
      <c r="BM99" s="699"/>
      <c r="BN99" s="699"/>
      <c r="BO99" s="699"/>
      <c r="BP99" s="699"/>
    </row>
    <row r="100" spans="1:82" s="395" customFormat="1" ht="41.4">
      <c r="A100" s="700" t="s">
        <v>1296</v>
      </c>
      <c r="B100" s="701" t="s">
        <v>1297</v>
      </c>
      <c r="C100" s="220">
        <f t="shared" si="48"/>
        <v>85</v>
      </c>
      <c r="D100" s="220">
        <v>20074</v>
      </c>
      <c r="E100" s="235" t="s">
        <v>815</v>
      </c>
      <c r="F100" s="349">
        <v>1500000</v>
      </c>
      <c r="G100" s="349">
        <v>1500000</v>
      </c>
      <c r="H100" s="349">
        <f t="shared" si="36"/>
        <v>0</v>
      </c>
      <c r="I100" s="349"/>
      <c r="J100" s="349"/>
      <c r="K100" s="349"/>
      <c r="L100" s="349"/>
      <c r="M100" s="349">
        <f t="shared" si="53"/>
        <v>0</v>
      </c>
      <c r="N100" s="349">
        <f t="shared" si="47"/>
        <v>0</v>
      </c>
      <c r="O100" s="349"/>
      <c r="P100" s="349">
        <f t="shared" si="37"/>
        <v>1500000</v>
      </c>
      <c r="Q100" s="349">
        <f t="shared" si="38"/>
        <v>0</v>
      </c>
      <c r="R100" s="349">
        <f t="shared" si="39"/>
        <v>0</v>
      </c>
      <c r="S100" s="349">
        <v>700000</v>
      </c>
      <c r="T100" s="349">
        <f t="shared" si="40"/>
        <v>-700000</v>
      </c>
      <c r="U100" s="349">
        <f t="shared" si="41"/>
        <v>0</v>
      </c>
      <c r="V100" s="349">
        <v>-700000</v>
      </c>
      <c r="W100" s="349"/>
      <c r="X100" s="349"/>
      <c r="Y100" s="221" t="s">
        <v>1140</v>
      </c>
      <c r="Z100" s="349"/>
      <c r="AA100" s="349"/>
      <c r="AB100" s="349"/>
      <c r="AC100" s="349">
        <f>SUM(Z100:AB100)</f>
        <v>0</v>
      </c>
      <c r="AD100" s="349"/>
      <c r="AE100" s="349"/>
      <c r="AF100" s="349"/>
      <c r="AG100" s="349"/>
      <c r="AH100" s="349"/>
      <c r="AI100" s="349">
        <v>-700000</v>
      </c>
      <c r="AJ100" s="349">
        <f t="shared" si="52"/>
        <v>-700000</v>
      </c>
      <c r="AK100" s="349">
        <f t="shared" si="54"/>
        <v>0</v>
      </c>
      <c r="AL100" s="349">
        <f>AI100-AM100-AN100-AO100</f>
        <v>0</v>
      </c>
      <c r="AM100" s="349">
        <v>-700000</v>
      </c>
      <c r="AN100" s="349"/>
      <c r="AO100" s="349"/>
      <c r="AP100" s="349">
        <f>AJ100-AR100-AS100-AQ100</f>
        <v>0</v>
      </c>
      <c r="AQ100" s="349">
        <v>-700000</v>
      </c>
      <c r="AR100" s="349"/>
      <c r="AS100" s="349"/>
      <c r="AT100" s="868"/>
      <c r="AU100" s="868"/>
      <c r="AV100" s="394"/>
      <c r="AW100" s="394"/>
      <c r="AX100" s="394"/>
      <c r="AY100" s="394"/>
      <c r="AZ100" s="394"/>
      <c r="BA100" s="394"/>
      <c r="BB100" s="122"/>
      <c r="BE100" s="122"/>
      <c r="BF100" s="122"/>
      <c r="BG100" s="122"/>
      <c r="BH100" s="699"/>
      <c r="BI100" s="699"/>
      <c r="BJ100" s="699"/>
      <c r="BK100" s="699"/>
      <c r="BL100" s="699"/>
      <c r="BM100" s="699"/>
      <c r="BN100" s="699"/>
      <c r="BO100" s="699"/>
      <c r="BP100" s="699"/>
    </row>
    <row r="101" spans="1:82" s="395" customFormat="1" ht="34.950000000000003" customHeight="1">
      <c r="A101" s="700" t="s">
        <v>1296</v>
      </c>
      <c r="B101" s="701" t="s">
        <v>1297</v>
      </c>
      <c r="C101" s="220">
        <f t="shared" si="48"/>
        <v>86</v>
      </c>
      <c r="D101" s="220">
        <v>20104</v>
      </c>
      <c r="E101" s="448" t="s">
        <v>1300</v>
      </c>
      <c r="F101" s="349">
        <v>5000000</v>
      </c>
      <c r="G101" s="349"/>
      <c r="H101" s="349">
        <f t="shared" si="36"/>
        <v>5000000</v>
      </c>
      <c r="I101" s="349"/>
      <c r="J101" s="349"/>
      <c r="K101" s="349"/>
      <c r="L101" s="349"/>
      <c r="M101" s="349">
        <f t="shared" si="53"/>
        <v>0</v>
      </c>
      <c r="N101" s="349">
        <f t="shared" si="47"/>
        <v>0</v>
      </c>
      <c r="O101" s="349">
        <v>5000000</v>
      </c>
      <c r="P101" s="349">
        <f t="shared" si="37"/>
        <v>0</v>
      </c>
      <c r="Q101" s="349">
        <f t="shared" si="38"/>
        <v>0</v>
      </c>
      <c r="R101" s="349">
        <f t="shared" si="39"/>
        <v>5000000</v>
      </c>
      <c r="S101" s="349"/>
      <c r="T101" s="349">
        <f t="shared" si="40"/>
        <v>5000000</v>
      </c>
      <c r="U101" s="349">
        <f t="shared" si="41"/>
        <v>0</v>
      </c>
      <c r="V101" s="349">
        <v>5000000</v>
      </c>
      <c r="W101" s="862"/>
      <c r="X101" s="349"/>
      <c r="Y101" s="221" t="s">
        <v>1301</v>
      </c>
      <c r="Z101" s="349"/>
      <c r="AA101" s="349"/>
      <c r="AB101" s="349"/>
      <c r="AC101" s="349">
        <f>SUM(Z101:AB101)</f>
        <v>0</v>
      </c>
      <c r="AD101" s="349"/>
      <c r="AE101" s="349">
        <f>AB101-AF101-AG101-AH101</f>
        <v>0</v>
      </c>
      <c r="AF101" s="349"/>
      <c r="AG101" s="349"/>
      <c r="AH101" s="349"/>
      <c r="AI101" s="349">
        <v>5000000</v>
      </c>
      <c r="AJ101" s="349">
        <f t="shared" si="52"/>
        <v>5000000</v>
      </c>
      <c r="AK101" s="349">
        <f t="shared" si="54"/>
        <v>0</v>
      </c>
      <c r="AL101" s="349">
        <f>AI101-AM101-AN101-AO101</f>
        <v>0</v>
      </c>
      <c r="AM101" s="349">
        <v>5000000</v>
      </c>
      <c r="AN101" s="349"/>
      <c r="AO101" s="349"/>
      <c r="AP101" s="349">
        <f>AJ101-AR101-AS101-AQ101</f>
        <v>0</v>
      </c>
      <c r="AQ101" s="349">
        <v>5000000</v>
      </c>
      <c r="AR101" s="349"/>
      <c r="AS101" s="349"/>
      <c r="AT101" s="222"/>
      <c r="AU101" s="222"/>
      <c r="AV101" s="122"/>
      <c r="AW101" s="122"/>
      <c r="AX101" s="122"/>
      <c r="AY101" s="699"/>
      <c r="AZ101" s="699"/>
      <c r="BA101" s="699"/>
      <c r="BB101" s="699"/>
      <c r="BC101" s="699"/>
      <c r="BD101" s="699"/>
      <c r="BE101" s="699"/>
      <c r="BF101" s="699"/>
      <c r="BG101" s="699"/>
    </row>
    <row r="102" spans="1:82" s="395" customFormat="1" ht="34.950000000000003" customHeight="1">
      <c r="A102" s="712"/>
      <c r="B102" s="866"/>
      <c r="C102" s="222">
        <f>COUNT(C61:C101)</f>
        <v>41</v>
      </c>
      <c r="D102" s="222"/>
      <c r="E102" s="137" t="s">
        <v>1209</v>
      </c>
      <c r="F102" s="857">
        <f>SUM(F61:F101)</f>
        <v>454445793</v>
      </c>
      <c r="G102" s="857">
        <f t="shared" ref="G102:Z102" si="55">SUM(G61:G101)</f>
        <v>395888000</v>
      </c>
      <c r="H102" s="857">
        <f t="shared" si="55"/>
        <v>58557793</v>
      </c>
      <c r="I102" s="857">
        <f t="shared" si="55"/>
        <v>225368000</v>
      </c>
      <c r="J102" s="857">
        <f t="shared" si="55"/>
        <v>206203453</v>
      </c>
      <c r="K102" s="857">
        <f t="shared" si="55"/>
        <v>0</v>
      </c>
      <c r="L102" s="857">
        <f t="shared" si="55"/>
        <v>30142</v>
      </c>
      <c r="M102" s="857">
        <f t="shared" si="55"/>
        <v>30142</v>
      </c>
      <c r="N102" s="857">
        <f t="shared" si="55"/>
        <v>206233595</v>
      </c>
      <c r="O102" s="857">
        <f t="shared" si="55"/>
        <v>159982198</v>
      </c>
      <c r="P102" s="857">
        <f t="shared" si="55"/>
        <v>88230000</v>
      </c>
      <c r="Q102" s="857">
        <f t="shared" si="55"/>
        <v>19134405</v>
      </c>
      <c r="R102" s="857">
        <f t="shared" si="55"/>
        <v>140847793</v>
      </c>
      <c r="S102" s="857">
        <f t="shared" si="55"/>
        <v>88940000</v>
      </c>
      <c r="T102" s="857">
        <f t="shared" si="55"/>
        <v>51907793</v>
      </c>
      <c r="U102" s="857">
        <f t="shared" si="55"/>
        <v>27345000</v>
      </c>
      <c r="V102" s="857">
        <f t="shared" si="55"/>
        <v>18600000</v>
      </c>
      <c r="W102" s="857">
        <f t="shared" si="55"/>
        <v>0</v>
      </c>
      <c r="X102" s="857">
        <f t="shared" si="55"/>
        <v>5962793</v>
      </c>
      <c r="Y102" s="857"/>
      <c r="Z102" s="857">
        <f t="shared" si="55"/>
        <v>0</v>
      </c>
      <c r="AA102" s="857">
        <f t="shared" ref="AA102:AU102" si="56">SUM(AA61:AA101)</f>
        <v>60000</v>
      </c>
      <c r="AB102" s="857">
        <f t="shared" si="56"/>
        <v>0</v>
      </c>
      <c r="AC102" s="857">
        <f t="shared" si="56"/>
        <v>10530000</v>
      </c>
      <c r="AD102" s="857">
        <f t="shared" si="56"/>
        <v>6530000</v>
      </c>
      <c r="AE102" s="857">
        <f t="shared" si="56"/>
        <v>20988079</v>
      </c>
      <c r="AF102" s="857">
        <f t="shared" si="56"/>
        <v>1600000</v>
      </c>
      <c r="AG102" s="857">
        <f t="shared" si="56"/>
        <v>750000</v>
      </c>
      <c r="AH102" s="857">
        <f t="shared" si="56"/>
        <v>8149714</v>
      </c>
      <c r="AI102" s="857">
        <f t="shared" si="56"/>
        <v>10200000</v>
      </c>
      <c r="AJ102" s="857">
        <f t="shared" si="56"/>
        <v>58807793</v>
      </c>
      <c r="AK102" s="857">
        <f t="shared" si="56"/>
        <v>-6900000</v>
      </c>
      <c r="AL102" s="857">
        <f t="shared" si="56"/>
        <v>0</v>
      </c>
      <c r="AM102" s="857">
        <f t="shared" si="56"/>
        <v>10200000</v>
      </c>
      <c r="AN102" s="857">
        <f t="shared" si="56"/>
        <v>0</v>
      </c>
      <c r="AO102" s="857">
        <f t="shared" si="56"/>
        <v>0</v>
      </c>
      <c r="AP102" s="857">
        <f t="shared" si="56"/>
        <v>27345000</v>
      </c>
      <c r="AQ102" s="857">
        <f t="shared" si="56"/>
        <v>25500000</v>
      </c>
      <c r="AR102" s="857">
        <f t="shared" si="56"/>
        <v>0</v>
      </c>
      <c r="AS102" s="857">
        <f t="shared" si="56"/>
        <v>0</v>
      </c>
      <c r="AT102" s="857">
        <f t="shared" si="56"/>
        <v>0</v>
      </c>
      <c r="AU102" s="857">
        <f t="shared" si="56"/>
        <v>5962793</v>
      </c>
      <c r="AV102" s="698"/>
      <c r="AW102" s="698"/>
      <c r="AX102" s="698"/>
      <c r="AY102" s="698"/>
      <c r="AZ102" s="319"/>
      <c r="BA102" s="319"/>
      <c r="BB102" s="319"/>
      <c r="BC102" s="319"/>
      <c r="BD102" s="319"/>
      <c r="BE102" s="319"/>
      <c r="BF102" s="319"/>
      <c r="BG102" s="319"/>
      <c r="BH102" s="394"/>
      <c r="BI102" s="394"/>
      <c r="BJ102" s="394"/>
      <c r="BK102" s="394"/>
      <c r="BL102" s="394"/>
      <c r="BM102" s="394"/>
      <c r="BN102" s="394"/>
      <c r="BO102" s="394"/>
      <c r="BP102" s="122"/>
      <c r="BS102" s="122"/>
      <c r="BT102" s="122"/>
      <c r="BU102" s="122"/>
      <c r="BV102" s="699"/>
      <c r="BW102" s="699"/>
      <c r="BX102" s="699"/>
      <c r="BY102" s="699"/>
      <c r="BZ102" s="699"/>
      <c r="CA102" s="699"/>
      <c r="CB102" s="699"/>
      <c r="CC102" s="699"/>
      <c r="CD102" s="699"/>
    </row>
    <row r="103" spans="1:82" s="61" customFormat="1" ht="34.950000000000003" customHeight="1">
      <c r="A103" s="702"/>
      <c r="B103" s="864"/>
      <c r="C103" s="855"/>
      <c r="D103" s="856"/>
      <c r="E103" s="852"/>
      <c r="F103" s="857"/>
      <c r="G103" s="857"/>
      <c r="H103" s="857"/>
      <c r="I103" s="857"/>
      <c r="J103" s="857"/>
      <c r="K103" s="857"/>
      <c r="L103" s="857"/>
      <c r="M103" s="857"/>
      <c r="N103" s="857"/>
      <c r="O103" s="857"/>
      <c r="P103" s="857"/>
      <c r="Q103" s="857"/>
      <c r="R103" s="857"/>
      <c r="S103" s="857"/>
      <c r="T103" s="857"/>
      <c r="U103" s="857"/>
      <c r="V103" s="857"/>
      <c r="W103" s="857"/>
      <c r="X103" s="857"/>
      <c r="Y103" s="138"/>
      <c r="Z103" s="857"/>
      <c r="AA103" s="857"/>
      <c r="AB103" s="857"/>
      <c r="AC103" s="857"/>
      <c r="AD103" s="857"/>
      <c r="AE103" s="857"/>
      <c r="AF103" s="857"/>
      <c r="AG103" s="857"/>
      <c r="AH103" s="857"/>
      <c r="AI103" s="857"/>
      <c r="AJ103" s="857"/>
      <c r="AK103" s="857"/>
      <c r="AL103" s="857"/>
      <c r="AM103" s="857"/>
      <c r="AN103" s="857"/>
      <c r="AO103" s="857"/>
      <c r="AP103" s="857"/>
      <c r="AQ103" s="857"/>
      <c r="AR103" s="857"/>
      <c r="AS103" s="857"/>
      <c r="AT103" s="857"/>
      <c r="AU103" s="857"/>
      <c r="AV103" s="690"/>
      <c r="AW103" s="690"/>
      <c r="AX103" s="690"/>
      <c r="AY103" s="690"/>
      <c r="AZ103" s="157"/>
      <c r="BA103" s="157"/>
      <c r="BB103" s="157"/>
      <c r="BC103" s="157"/>
      <c r="BD103" s="157"/>
      <c r="BE103" s="157"/>
      <c r="BF103" s="157"/>
      <c r="BG103" s="157"/>
      <c r="BH103" s="691"/>
      <c r="BI103" s="691"/>
      <c r="BJ103" s="691"/>
      <c r="BK103" s="691"/>
      <c r="BL103" s="691"/>
      <c r="BM103" s="691"/>
      <c r="BN103" s="691"/>
      <c r="BO103" s="691"/>
      <c r="BP103" s="51"/>
      <c r="BS103" s="51"/>
      <c r="BT103" s="51"/>
      <c r="BU103" s="51"/>
      <c r="BV103" s="688"/>
      <c r="BW103" s="688"/>
      <c r="BX103" s="688"/>
      <c r="BY103" s="688"/>
      <c r="BZ103" s="688"/>
      <c r="CA103" s="688"/>
      <c r="CB103" s="688"/>
      <c r="CC103" s="688"/>
      <c r="CD103" s="688"/>
    </row>
    <row r="104" spans="1:82" s="395" customFormat="1" ht="34.950000000000003" customHeight="1">
      <c r="A104" s="872"/>
      <c r="B104" s="873"/>
      <c r="C104" s="220"/>
      <c r="D104" s="220"/>
      <c r="E104" s="137" t="s">
        <v>227</v>
      </c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220"/>
      <c r="Y104" s="135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698"/>
      <c r="AW104" s="698"/>
      <c r="AX104" s="698"/>
      <c r="AY104" s="698"/>
      <c r="AZ104" s="319"/>
      <c r="BA104" s="319"/>
      <c r="BB104" s="319"/>
      <c r="BC104" s="319"/>
      <c r="BD104" s="319"/>
      <c r="BE104" s="319"/>
      <c r="BF104" s="319"/>
      <c r="BG104" s="319"/>
      <c r="BH104" s="394"/>
      <c r="BI104" s="394"/>
      <c r="BJ104" s="394"/>
      <c r="BK104" s="394"/>
      <c r="BL104" s="394"/>
      <c r="BM104" s="394"/>
      <c r="BN104" s="394"/>
      <c r="BO104" s="394"/>
      <c r="BP104" s="122"/>
      <c r="BS104" s="122"/>
      <c r="BT104" s="122"/>
      <c r="BU104" s="122"/>
      <c r="BV104" s="699"/>
      <c r="BW104" s="699"/>
      <c r="BX104" s="699"/>
      <c r="BY104" s="699"/>
      <c r="BZ104" s="699"/>
      <c r="CA104" s="699"/>
      <c r="CB104" s="699"/>
      <c r="CC104" s="699"/>
      <c r="CD104" s="699"/>
    </row>
    <row r="105" spans="1:82" s="395" customFormat="1" ht="34.950000000000003" customHeight="1">
      <c r="A105" s="700" t="s">
        <v>1172</v>
      </c>
      <c r="B105" s="701" t="s">
        <v>1139</v>
      </c>
      <c r="C105" s="220">
        <v>83</v>
      </c>
      <c r="D105" s="220">
        <v>1776</v>
      </c>
      <c r="E105" s="235" t="s">
        <v>48</v>
      </c>
      <c r="F105" s="349">
        <v>3347000</v>
      </c>
      <c r="G105" s="349">
        <v>3347000</v>
      </c>
      <c r="H105" s="349">
        <f>F105-G105</f>
        <v>0</v>
      </c>
      <c r="I105" s="349">
        <v>2365000</v>
      </c>
      <c r="J105" s="349">
        <v>1977005</v>
      </c>
      <c r="K105" s="349"/>
      <c r="L105" s="349"/>
      <c r="M105" s="349">
        <f>SUM(K105:L105)</f>
        <v>0</v>
      </c>
      <c r="N105" s="349">
        <f>M105+J105</f>
        <v>1977005</v>
      </c>
      <c r="O105" s="349">
        <f>500000+387995+432000</f>
        <v>1319995</v>
      </c>
      <c r="P105" s="349">
        <f>F105-N105-O105</f>
        <v>50000</v>
      </c>
      <c r="Q105" s="349">
        <f>I105-N105</f>
        <v>387995</v>
      </c>
      <c r="R105" s="349">
        <f>O105-Q105</f>
        <v>932000</v>
      </c>
      <c r="S105" s="349">
        <v>500000</v>
      </c>
      <c r="T105" s="349">
        <f>R105-S105</f>
        <v>432000</v>
      </c>
      <c r="U105" s="349">
        <f>T105-V105-X105</f>
        <v>0</v>
      </c>
      <c r="V105" s="349">
        <v>432000</v>
      </c>
      <c r="W105" s="349"/>
      <c r="X105" s="349"/>
      <c r="Y105" s="221" t="s">
        <v>1130</v>
      </c>
      <c r="Z105" s="349"/>
      <c r="AA105" s="349"/>
      <c r="AB105" s="349"/>
      <c r="AC105" s="349"/>
      <c r="AD105" s="349"/>
      <c r="AE105" s="349"/>
      <c r="AF105" s="349"/>
      <c r="AG105" s="349"/>
      <c r="AH105" s="349">
        <v>432000</v>
      </c>
      <c r="AI105" s="349">
        <v>432000</v>
      </c>
      <c r="AJ105" s="349">
        <f>SUM(Z105:AI105)</f>
        <v>864000</v>
      </c>
      <c r="AK105" s="349">
        <f>T105-AJ105</f>
        <v>-432000</v>
      </c>
      <c r="AL105" s="349">
        <f>AI105-AM105-AO105</f>
        <v>0</v>
      </c>
      <c r="AM105" s="349">
        <v>432000</v>
      </c>
      <c r="AN105" s="349"/>
      <c r="AO105" s="349"/>
      <c r="AP105" s="349">
        <f>AJ105-AQ105-AU105</f>
        <v>432000</v>
      </c>
      <c r="AQ105" s="349">
        <v>432000</v>
      </c>
      <c r="AR105" s="349"/>
      <c r="AS105" s="349"/>
      <c r="AT105" s="349"/>
      <c r="AU105" s="349"/>
      <c r="AV105" s="319"/>
      <c r="AW105" s="319"/>
      <c r="AX105" s="319"/>
      <c r="AY105" s="319"/>
      <c r="AZ105" s="394"/>
      <c r="BA105" s="394"/>
      <c r="BB105" s="394"/>
      <c r="BC105" s="394"/>
      <c r="BD105" s="394"/>
      <c r="BE105" s="394"/>
      <c r="BF105" s="394"/>
      <c r="BG105" s="394"/>
      <c r="BH105" s="122"/>
      <c r="BK105" s="122"/>
      <c r="BL105" s="122"/>
      <c r="BM105" s="122"/>
      <c r="BN105" s="699"/>
      <c r="BO105" s="699"/>
      <c r="BP105" s="699"/>
      <c r="BQ105" s="699"/>
      <c r="BR105" s="699"/>
      <c r="BS105" s="699"/>
      <c r="BT105" s="699"/>
      <c r="BU105" s="699"/>
      <c r="BV105" s="699"/>
    </row>
    <row r="106" spans="1:82" s="395" customFormat="1" ht="34.950000000000003" customHeight="1">
      <c r="A106" s="700" t="s">
        <v>1172</v>
      </c>
      <c r="B106" s="701" t="s">
        <v>1139</v>
      </c>
      <c r="C106" s="220">
        <f>C105+1</f>
        <v>84</v>
      </c>
      <c r="D106" s="220">
        <v>2218</v>
      </c>
      <c r="E106" s="235" t="s">
        <v>1210</v>
      </c>
      <c r="F106" s="349">
        <v>1400000</v>
      </c>
      <c r="G106" s="349">
        <v>1400000</v>
      </c>
      <c r="H106" s="349">
        <f>F106-G106</f>
        <v>0</v>
      </c>
      <c r="I106" s="349">
        <v>1400000</v>
      </c>
      <c r="J106" s="349">
        <v>965976</v>
      </c>
      <c r="K106" s="349"/>
      <c r="L106" s="349"/>
      <c r="M106" s="349">
        <f>SUM(K106:L106)</f>
        <v>0</v>
      </c>
      <c r="N106" s="349">
        <f>M106+J106</f>
        <v>965976</v>
      </c>
      <c r="O106" s="349">
        <f>434024-432000</f>
        <v>2024</v>
      </c>
      <c r="P106" s="349">
        <f>F106-N106-O106</f>
        <v>432000</v>
      </c>
      <c r="Q106" s="349">
        <f>I106-N106</f>
        <v>434024</v>
      </c>
      <c r="R106" s="349">
        <f>O106-Q106</f>
        <v>-432000</v>
      </c>
      <c r="S106" s="349"/>
      <c r="T106" s="349">
        <f>R106-S106</f>
        <v>-432000</v>
      </c>
      <c r="U106" s="349">
        <f>T106-V106-X106</f>
        <v>0</v>
      </c>
      <c r="V106" s="349">
        <v>-432000</v>
      </c>
      <c r="W106" s="349"/>
      <c r="X106" s="349"/>
      <c r="Y106" s="221" t="s">
        <v>1140</v>
      </c>
      <c r="Z106" s="349"/>
      <c r="AA106" s="349"/>
      <c r="AB106" s="349"/>
      <c r="AC106" s="349"/>
      <c r="AD106" s="349"/>
      <c r="AE106" s="349"/>
      <c r="AF106" s="349"/>
      <c r="AG106" s="349"/>
      <c r="AH106" s="349">
        <v>-432000</v>
      </c>
      <c r="AI106" s="349">
        <v>-432000</v>
      </c>
      <c r="AJ106" s="349">
        <f>SUM(Z106:AI106)</f>
        <v>-864000</v>
      </c>
      <c r="AK106" s="349">
        <f>T106-AJ106</f>
        <v>432000</v>
      </c>
      <c r="AL106" s="349">
        <f>AI106-AM106-AO106</f>
        <v>0</v>
      </c>
      <c r="AM106" s="349">
        <v>-432000</v>
      </c>
      <c r="AN106" s="349"/>
      <c r="AO106" s="349"/>
      <c r="AP106" s="349">
        <f>AJ106-AQ106-AU106</f>
        <v>-432000</v>
      </c>
      <c r="AQ106" s="349">
        <v>-432000</v>
      </c>
      <c r="AR106" s="349"/>
      <c r="AS106" s="349"/>
      <c r="AT106" s="349"/>
      <c r="AU106" s="349"/>
      <c r="AV106" s="319"/>
      <c r="AW106" s="319"/>
      <c r="AX106" s="319"/>
      <c r="AY106" s="319"/>
      <c r="AZ106" s="394"/>
      <c r="BA106" s="394"/>
      <c r="BB106" s="394"/>
      <c r="BC106" s="394"/>
      <c r="BD106" s="394"/>
      <c r="BE106" s="394"/>
      <c r="BF106" s="394"/>
      <c r="BG106" s="394"/>
      <c r="BH106" s="122"/>
      <c r="BK106" s="122"/>
      <c r="BL106" s="122"/>
      <c r="BM106" s="122"/>
      <c r="BN106" s="699"/>
      <c r="BO106" s="699"/>
      <c r="BP106" s="699"/>
      <c r="BQ106" s="699"/>
      <c r="BR106" s="699"/>
      <c r="BS106" s="699"/>
      <c r="BT106" s="699"/>
      <c r="BU106" s="699"/>
      <c r="BV106" s="699"/>
    </row>
    <row r="107" spans="1:82" s="395" customFormat="1" ht="34.950000000000003" customHeight="1">
      <c r="A107" s="700" t="s">
        <v>1286</v>
      </c>
      <c r="B107" s="701" t="s">
        <v>1297</v>
      </c>
      <c r="C107" s="220">
        <f>C106+1</f>
        <v>85</v>
      </c>
      <c r="D107" s="220">
        <v>2218</v>
      </c>
      <c r="E107" s="235" t="s">
        <v>1210</v>
      </c>
      <c r="F107" s="349">
        <f>1400000-432000</f>
        <v>968000</v>
      </c>
      <c r="G107" s="349">
        <v>1400000</v>
      </c>
      <c r="H107" s="349">
        <f>F107-G107</f>
        <v>-432000</v>
      </c>
      <c r="I107" s="349">
        <v>1400000</v>
      </c>
      <c r="J107" s="349">
        <v>965976</v>
      </c>
      <c r="K107" s="349"/>
      <c r="L107" s="349"/>
      <c r="M107" s="349">
        <f>SUM(K107:L107)</f>
        <v>0</v>
      </c>
      <c r="N107" s="349">
        <f>M107+J107</f>
        <v>965976</v>
      </c>
      <c r="O107" s="349">
        <f>434024-432000</f>
        <v>2024</v>
      </c>
      <c r="P107" s="349">
        <f>F107-N107-O107</f>
        <v>0</v>
      </c>
      <c r="Q107" s="349">
        <f>I107-N107</f>
        <v>434024</v>
      </c>
      <c r="R107" s="349">
        <f>O107-Q107</f>
        <v>-432000</v>
      </c>
      <c r="S107" s="349">
        <v>-432000</v>
      </c>
      <c r="T107" s="349">
        <f>R107-S107</f>
        <v>0</v>
      </c>
      <c r="U107" s="349">
        <f>T107-V107-X107</f>
        <v>0</v>
      </c>
      <c r="V107" s="349">
        <v>58416</v>
      </c>
      <c r="W107" s="862"/>
      <c r="X107" s="349">
        <v>-58416</v>
      </c>
      <c r="Y107" s="221" t="s">
        <v>1584</v>
      </c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>
        <f>SUM(Z107:AI107)</f>
        <v>0</v>
      </c>
      <c r="AK107" s="349">
        <f>T107-AJ107</f>
        <v>0</v>
      </c>
      <c r="AL107" s="349">
        <f>AI107-AM107-AO107</f>
        <v>0</v>
      </c>
      <c r="AM107" s="349">
        <v>58416</v>
      </c>
      <c r="AN107" s="349"/>
      <c r="AO107" s="349">
        <v>-58416</v>
      </c>
      <c r="AP107" s="349">
        <f>AJ107-AQ107-AU107</f>
        <v>0</v>
      </c>
      <c r="AQ107" s="349">
        <v>58416</v>
      </c>
      <c r="AR107" s="349"/>
      <c r="AS107" s="349"/>
      <c r="AT107" s="349"/>
      <c r="AU107" s="349">
        <v>-58416</v>
      </c>
      <c r="AV107" s="319"/>
      <c r="AW107" s="319"/>
      <c r="AX107" s="319"/>
      <c r="AY107" s="319"/>
      <c r="AZ107" s="394"/>
      <c r="BA107" s="394"/>
      <c r="BB107" s="394"/>
      <c r="BC107" s="394"/>
      <c r="BD107" s="394"/>
      <c r="BE107" s="394"/>
      <c r="BF107" s="394"/>
      <c r="BG107" s="394"/>
      <c r="BH107" s="122"/>
      <c r="BK107" s="122"/>
      <c r="BL107" s="122"/>
      <c r="BM107" s="122"/>
      <c r="BN107" s="699"/>
      <c r="BO107" s="699"/>
      <c r="BP107" s="699"/>
      <c r="BQ107" s="699"/>
      <c r="BR107" s="699"/>
      <c r="BS107" s="699"/>
      <c r="BT107" s="699"/>
      <c r="BU107" s="699"/>
      <c r="BV107" s="699"/>
    </row>
    <row r="108" spans="1:82" s="395" customFormat="1" ht="34.950000000000003" customHeight="1">
      <c r="A108" s="700" t="s">
        <v>1286</v>
      </c>
      <c r="B108" s="701" t="s">
        <v>1297</v>
      </c>
      <c r="C108" s="220">
        <f>C107+1</f>
        <v>86</v>
      </c>
      <c r="D108" s="220">
        <v>20043</v>
      </c>
      <c r="E108" s="235" t="s">
        <v>643</v>
      </c>
      <c r="F108" s="349">
        <v>1300000</v>
      </c>
      <c r="G108" s="349">
        <v>1300000</v>
      </c>
      <c r="H108" s="349">
        <f>F108-G108</f>
        <v>0</v>
      </c>
      <c r="I108" s="349">
        <v>800000</v>
      </c>
      <c r="J108" s="349">
        <v>304294</v>
      </c>
      <c r="K108" s="349"/>
      <c r="L108" s="349"/>
      <c r="M108" s="349">
        <f>SUM(K108:L108)</f>
        <v>0</v>
      </c>
      <c r="N108" s="349">
        <f>M108+J108</f>
        <v>304294</v>
      </c>
      <c r="O108" s="349">
        <v>495706</v>
      </c>
      <c r="P108" s="349">
        <f>F108-N108-O108</f>
        <v>500000</v>
      </c>
      <c r="Q108" s="349">
        <f>I108-N108</f>
        <v>495706</v>
      </c>
      <c r="R108" s="349">
        <f>O108-Q108</f>
        <v>0</v>
      </c>
      <c r="S108" s="349"/>
      <c r="T108" s="349">
        <f>R108-S108</f>
        <v>0</v>
      </c>
      <c r="U108" s="349">
        <f>T108-V108-X108</f>
        <v>0</v>
      </c>
      <c r="V108" s="349">
        <v>-58416</v>
      </c>
      <c r="W108" s="862"/>
      <c r="X108" s="349">
        <v>58416</v>
      </c>
      <c r="Y108" s="221" t="s">
        <v>1211</v>
      </c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>
        <f>SUM(Z108:AI108)</f>
        <v>0</v>
      </c>
      <c r="AK108" s="349">
        <f>T108-AJ108</f>
        <v>0</v>
      </c>
      <c r="AL108" s="349">
        <f>AI108-AM108-AO108</f>
        <v>0</v>
      </c>
      <c r="AM108" s="349">
        <v>-58416</v>
      </c>
      <c r="AN108" s="349"/>
      <c r="AO108" s="349">
        <v>58416</v>
      </c>
      <c r="AP108" s="349">
        <f>AJ108-AQ108-AU108</f>
        <v>0</v>
      </c>
      <c r="AQ108" s="349">
        <v>-58416</v>
      </c>
      <c r="AR108" s="349"/>
      <c r="AS108" s="349"/>
      <c r="AT108" s="349"/>
      <c r="AU108" s="349">
        <v>58416</v>
      </c>
      <c r="AV108" s="319"/>
      <c r="AW108" s="319"/>
      <c r="AX108" s="319"/>
      <c r="AY108" s="319"/>
      <c r="AZ108" s="394"/>
      <c r="BA108" s="394"/>
      <c r="BB108" s="394"/>
      <c r="BC108" s="394"/>
      <c r="BD108" s="394"/>
      <c r="BE108" s="394"/>
      <c r="BF108" s="394"/>
      <c r="BG108" s="394"/>
      <c r="BH108" s="122"/>
      <c r="BK108" s="122"/>
      <c r="BL108" s="122"/>
      <c r="BM108" s="122"/>
      <c r="BN108" s="699"/>
      <c r="BO108" s="699"/>
      <c r="BP108" s="699"/>
      <c r="BQ108" s="699"/>
      <c r="BR108" s="699"/>
      <c r="BS108" s="699"/>
      <c r="BT108" s="699"/>
      <c r="BU108" s="699"/>
      <c r="BV108" s="699"/>
    </row>
    <row r="109" spans="1:82" s="395" customFormat="1" ht="34.950000000000003" customHeight="1">
      <c r="A109" s="712"/>
      <c r="B109" s="866"/>
      <c r="C109" s="222">
        <f>COUNT(C105:C108)</f>
        <v>4</v>
      </c>
      <c r="D109" s="222"/>
      <c r="E109" s="137" t="s">
        <v>287</v>
      </c>
      <c r="F109" s="857">
        <f>SUM(F105:F108)</f>
        <v>7015000</v>
      </c>
      <c r="G109" s="857">
        <f t="shared" ref="G109:AU109" si="57">SUM(G105:G108)</f>
        <v>7447000</v>
      </c>
      <c r="H109" s="857">
        <f t="shared" si="57"/>
        <v>-432000</v>
      </c>
      <c r="I109" s="857">
        <f t="shared" si="57"/>
        <v>5965000</v>
      </c>
      <c r="J109" s="857">
        <f t="shared" si="57"/>
        <v>4213251</v>
      </c>
      <c r="K109" s="857">
        <f t="shared" si="57"/>
        <v>0</v>
      </c>
      <c r="L109" s="857">
        <f t="shared" si="57"/>
        <v>0</v>
      </c>
      <c r="M109" s="857">
        <f t="shared" si="57"/>
        <v>0</v>
      </c>
      <c r="N109" s="857">
        <f t="shared" si="57"/>
        <v>4213251</v>
      </c>
      <c r="O109" s="857">
        <f t="shared" si="57"/>
        <v>1819749</v>
      </c>
      <c r="P109" s="857">
        <f t="shared" si="57"/>
        <v>982000</v>
      </c>
      <c r="Q109" s="857">
        <f t="shared" si="57"/>
        <v>1751749</v>
      </c>
      <c r="R109" s="857">
        <f t="shared" si="57"/>
        <v>68000</v>
      </c>
      <c r="S109" s="857">
        <f t="shared" si="57"/>
        <v>68000</v>
      </c>
      <c r="T109" s="857">
        <f t="shared" si="57"/>
        <v>0</v>
      </c>
      <c r="U109" s="857">
        <f t="shared" si="57"/>
        <v>0</v>
      </c>
      <c r="V109" s="857">
        <f t="shared" si="57"/>
        <v>0</v>
      </c>
      <c r="W109" s="857"/>
      <c r="X109" s="857">
        <f t="shared" si="57"/>
        <v>0</v>
      </c>
      <c r="Y109" s="857"/>
      <c r="Z109" s="857">
        <f t="shared" si="57"/>
        <v>0</v>
      </c>
      <c r="AA109" s="857">
        <f t="shared" si="57"/>
        <v>0</v>
      </c>
      <c r="AB109" s="857">
        <f t="shared" si="57"/>
        <v>0</v>
      </c>
      <c r="AC109" s="857">
        <f t="shared" si="57"/>
        <v>0</v>
      </c>
      <c r="AD109" s="857">
        <f t="shared" si="57"/>
        <v>0</v>
      </c>
      <c r="AE109" s="857">
        <f t="shared" si="57"/>
        <v>0</v>
      </c>
      <c r="AF109" s="857">
        <f t="shared" si="57"/>
        <v>0</v>
      </c>
      <c r="AG109" s="857">
        <f t="shared" si="57"/>
        <v>0</v>
      </c>
      <c r="AH109" s="857">
        <f t="shared" si="57"/>
        <v>0</v>
      </c>
      <c r="AI109" s="857">
        <f t="shared" si="57"/>
        <v>0</v>
      </c>
      <c r="AJ109" s="857">
        <f t="shared" si="57"/>
        <v>0</v>
      </c>
      <c r="AK109" s="857">
        <f t="shared" si="57"/>
        <v>0</v>
      </c>
      <c r="AL109" s="857">
        <f t="shared" si="57"/>
        <v>0</v>
      </c>
      <c r="AM109" s="857">
        <f t="shared" si="57"/>
        <v>0</v>
      </c>
      <c r="AN109" s="857"/>
      <c r="AO109" s="857">
        <f t="shared" si="57"/>
        <v>0</v>
      </c>
      <c r="AP109" s="857">
        <f t="shared" si="57"/>
        <v>0</v>
      </c>
      <c r="AQ109" s="857">
        <f t="shared" si="57"/>
        <v>0</v>
      </c>
      <c r="AR109" s="857">
        <f t="shared" si="57"/>
        <v>0</v>
      </c>
      <c r="AS109" s="857">
        <f t="shared" si="57"/>
        <v>0</v>
      </c>
      <c r="AT109" s="857">
        <f t="shared" si="57"/>
        <v>0</v>
      </c>
      <c r="AU109" s="857">
        <f t="shared" si="57"/>
        <v>0</v>
      </c>
      <c r="AV109" s="698"/>
      <c r="AW109" s="698"/>
      <c r="AX109" s="698"/>
      <c r="AY109" s="698"/>
      <c r="AZ109" s="319"/>
      <c r="BA109" s="319"/>
      <c r="BB109" s="319"/>
      <c r="BC109" s="319"/>
      <c r="BD109" s="319"/>
      <c r="BE109" s="319"/>
      <c r="BF109" s="319"/>
      <c r="BG109" s="319"/>
      <c r="BH109" s="394"/>
      <c r="BI109" s="394"/>
      <c r="BJ109" s="394"/>
      <c r="BK109" s="394"/>
      <c r="BL109" s="394"/>
      <c r="BM109" s="394"/>
      <c r="BN109" s="394"/>
      <c r="BO109" s="394"/>
      <c r="BP109" s="122"/>
      <c r="BS109" s="122"/>
      <c r="BT109" s="122"/>
      <c r="BU109" s="122"/>
      <c r="BV109" s="699"/>
      <c r="BW109" s="699"/>
      <c r="BX109" s="699"/>
      <c r="BY109" s="699"/>
      <c r="BZ109" s="699"/>
      <c r="CA109" s="699"/>
      <c r="CB109" s="699"/>
      <c r="CC109" s="699"/>
      <c r="CD109" s="699"/>
    </row>
    <row r="110" spans="1:82" s="61" customFormat="1" ht="34.950000000000003" customHeight="1">
      <c r="A110" s="702"/>
      <c r="B110" s="864"/>
      <c r="C110" s="855"/>
      <c r="D110" s="856"/>
      <c r="E110" s="852"/>
      <c r="F110" s="857"/>
      <c r="G110" s="857"/>
      <c r="H110" s="857"/>
      <c r="I110" s="857"/>
      <c r="J110" s="857"/>
      <c r="K110" s="857"/>
      <c r="L110" s="857"/>
      <c r="M110" s="857"/>
      <c r="N110" s="857"/>
      <c r="O110" s="857"/>
      <c r="P110" s="857"/>
      <c r="Q110" s="857"/>
      <c r="R110" s="857"/>
      <c r="S110" s="857"/>
      <c r="T110" s="857"/>
      <c r="U110" s="857"/>
      <c r="V110" s="857"/>
      <c r="W110" s="857"/>
      <c r="X110" s="857"/>
      <c r="Y110" s="138"/>
      <c r="Z110" s="857"/>
      <c r="AA110" s="857"/>
      <c r="AB110" s="857"/>
      <c r="AC110" s="857"/>
      <c r="AD110" s="857"/>
      <c r="AE110" s="857"/>
      <c r="AF110" s="857"/>
      <c r="AG110" s="857"/>
      <c r="AH110" s="857"/>
      <c r="AI110" s="857"/>
      <c r="AJ110" s="857"/>
      <c r="AK110" s="857"/>
      <c r="AL110" s="857"/>
      <c r="AM110" s="857"/>
      <c r="AN110" s="857"/>
      <c r="AO110" s="857"/>
      <c r="AP110" s="857"/>
      <c r="AQ110" s="857"/>
      <c r="AR110" s="857"/>
      <c r="AS110" s="857"/>
      <c r="AT110" s="857"/>
      <c r="AU110" s="857"/>
      <c r="AV110" s="690"/>
      <c r="AW110" s="690"/>
      <c r="AX110" s="690"/>
      <c r="AY110" s="690"/>
      <c r="AZ110" s="157"/>
      <c r="BA110" s="157"/>
      <c r="BB110" s="157"/>
      <c r="BC110" s="157"/>
      <c r="BD110" s="157"/>
      <c r="BE110" s="157"/>
      <c r="BF110" s="157"/>
      <c r="BG110" s="157"/>
      <c r="BH110" s="691"/>
      <c r="BI110" s="691"/>
      <c r="BJ110" s="691"/>
      <c r="BK110" s="691"/>
      <c r="BL110" s="691"/>
      <c r="BM110" s="691"/>
      <c r="BN110" s="691"/>
      <c r="BO110" s="691"/>
      <c r="BP110" s="51"/>
      <c r="BS110" s="51"/>
      <c r="BT110" s="51"/>
      <c r="BU110" s="51"/>
      <c r="BV110" s="688"/>
      <c r="BW110" s="688"/>
      <c r="BX110" s="688"/>
      <c r="BY110" s="688"/>
      <c r="BZ110" s="688"/>
      <c r="CA110" s="688"/>
      <c r="CB110" s="688"/>
      <c r="CC110" s="688"/>
      <c r="CD110" s="688"/>
    </row>
    <row r="111" spans="1:82" s="395" customFormat="1" ht="34.950000000000003" customHeight="1">
      <c r="A111" s="872"/>
      <c r="B111" s="873"/>
      <c r="C111" s="220"/>
      <c r="D111" s="220"/>
      <c r="E111" s="137" t="s">
        <v>1212</v>
      </c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220"/>
      <c r="Y111" s="135"/>
      <c r="Z111" s="220"/>
      <c r="AA111" s="220"/>
      <c r="AB111" s="220"/>
      <c r="AC111" s="220"/>
      <c r="AD111" s="220"/>
      <c r="AE111" s="220"/>
      <c r="AF111" s="220"/>
      <c r="AG111" s="220"/>
      <c r="AH111" s="220"/>
      <c r="AI111" s="220"/>
      <c r="AJ111" s="220"/>
      <c r="AK111" s="220"/>
      <c r="AL111" s="220"/>
      <c r="AM111" s="349"/>
      <c r="AN111" s="349"/>
      <c r="AO111" s="220"/>
      <c r="AP111" s="220"/>
      <c r="AQ111" s="220"/>
      <c r="AR111" s="349"/>
      <c r="AS111" s="349"/>
      <c r="AT111" s="349"/>
      <c r="AU111" s="220"/>
      <c r="AV111" s="698"/>
      <c r="AW111" s="698"/>
      <c r="AX111" s="698"/>
      <c r="AY111" s="698"/>
      <c r="AZ111" s="319"/>
      <c r="BA111" s="319"/>
      <c r="BB111" s="319"/>
      <c r="BC111" s="319"/>
      <c r="BD111" s="319"/>
      <c r="BE111" s="319"/>
      <c r="BF111" s="319"/>
      <c r="BG111" s="319"/>
      <c r="BH111" s="394"/>
      <c r="BI111" s="394"/>
      <c r="BJ111" s="394"/>
      <c r="BK111" s="394"/>
      <c r="BL111" s="394"/>
      <c r="BM111" s="394"/>
      <c r="BN111" s="394"/>
      <c r="BO111" s="394"/>
      <c r="BP111" s="122"/>
      <c r="BS111" s="122"/>
      <c r="BT111" s="122"/>
      <c r="BU111" s="122"/>
      <c r="BV111" s="699"/>
      <c r="BW111" s="699"/>
      <c r="BX111" s="699"/>
      <c r="BY111" s="699"/>
      <c r="BZ111" s="699"/>
      <c r="CA111" s="699"/>
      <c r="CB111" s="699"/>
      <c r="CC111" s="699"/>
      <c r="CD111" s="699"/>
    </row>
    <row r="112" spans="1:82" s="395" customFormat="1" ht="41.4">
      <c r="A112" s="697" t="s">
        <v>1134</v>
      </c>
      <c r="B112" s="701" t="s">
        <v>1135</v>
      </c>
      <c r="C112" s="220">
        <v>87</v>
      </c>
      <c r="D112" s="220">
        <v>20045</v>
      </c>
      <c r="E112" s="235" t="s">
        <v>1213</v>
      </c>
      <c r="F112" s="349">
        <v>962000</v>
      </c>
      <c r="G112" s="349">
        <v>962000</v>
      </c>
      <c r="H112" s="349">
        <f>F112-G112</f>
        <v>0</v>
      </c>
      <c r="I112" s="349">
        <v>370000</v>
      </c>
      <c r="J112" s="349">
        <v>359009</v>
      </c>
      <c r="K112" s="349"/>
      <c r="L112" s="349"/>
      <c r="M112" s="349">
        <f>SUM(K112:L112)</f>
        <v>0</v>
      </c>
      <c r="N112" s="349">
        <f>M112+J112</f>
        <v>359009</v>
      </c>
      <c r="O112" s="349">
        <f>10991+592000-150000</f>
        <v>452991</v>
      </c>
      <c r="P112" s="349">
        <f>F112-N112-O112</f>
        <v>150000</v>
      </c>
      <c r="Q112" s="349">
        <f>I112-N112</f>
        <v>10991</v>
      </c>
      <c r="R112" s="349">
        <f>O112-Q112</f>
        <v>442000</v>
      </c>
      <c r="S112" s="349">
        <v>592000</v>
      </c>
      <c r="T112" s="349">
        <f>R112-S112</f>
        <v>-150000</v>
      </c>
      <c r="U112" s="349">
        <f>T112-V112-X112</f>
        <v>0</v>
      </c>
      <c r="V112" s="349">
        <v>-150000</v>
      </c>
      <c r="W112" s="349"/>
      <c r="X112" s="349"/>
      <c r="Y112" s="221" t="s">
        <v>1140</v>
      </c>
      <c r="Z112" s="349"/>
      <c r="AA112" s="349"/>
      <c r="AB112" s="349"/>
      <c r="AC112" s="349">
        <f>SUM(Z112:AB112)</f>
        <v>0</v>
      </c>
      <c r="AD112" s="349"/>
      <c r="AE112" s="349"/>
      <c r="AF112" s="349"/>
      <c r="AG112" s="349"/>
      <c r="AH112" s="349"/>
      <c r="AI112" s="349"/>
      <c r="AJ112" s="349">
        <f>SUM(Z112:AI112)</f>
        <v>0</v>
      </c>
      <c r="AK112" s="349">
        <f>T112-AJ112</f>
        <v>-150000</v>
      </c>
      <c r="AL112" s="349">
        <f>AI112-AM112-AO112</f>
        <v>0</v>
      </c>
      <c r="AM112" s="349"/>
      <c r="AN112" s="349"/>
      <c r="AO112" s="862"/>
      <c r="AP112" s="349">
        <f>AJ112-AQ112-AU112</f>
        <v>0</v>
      </c>
      <c r="AQ112" s="349"/>
      <c r="AR112" s="349"/>
      <c r="AS112" s="349"/>
      <c r="AT112" s="349"/>
      <c r="AU112" s="854"/>
      <c r="AV112" s="319"/>
      <c r="AW112" s="319"/>
      <c r="AX112" s="319"/>
      <c r="AY112" s="319"/>
      <c r="AZ112" s="319"/>
      <c r="BA112" s="319"/>
      <c r="BB112" s="394"/>
      <c r="BC112" s="394"/>
      <c r="BD112" s="394"/>
      <c r="BE112" s="394"/>
      <c r="BF112" s="394"/>
      <c r="BG112" s="394"/>
      <c r="BH112" s="394"/>
      <c r="BI112" s="394"/>
      <c r="BJ112" s="122"/>
      <c r="BM112" s="122"/>
      <c r="BN112" s="122"/>
      <c r="BO112" s="122"/>
      <c r="BP112" s="699"/>
      <c r="BQ112" s="699"/>
      <c r="BR112" s="699"/>
      <c r="BS112" s="699"/>
      <c r="BT112" s="699"/>
      <c r="BU112" s="699"/>
      <c r="BV112" s="699"/>
      <c r="BW112" s="699"/>
      <c r="BX112" s="699"/>
    </row>
    <row r="113" spans="1:82" s="395" customFormat="1" ht="34.950000000000003" customHeight="1">
      <c r="A113" s="697" t="s">
        <v>1134</v>
      </c>
      <c r="B113" s="701" t="s">
        <v>1135</v>
      </c>
      <c r="C113" s="220">
        <f>C112+1</f>
        <v>88</v>
      </c>
      <c r="D113" s="220">
        <v>20099</v>
      </c>
      <c r="E113" s="235" t="s">
        <v>944</v>
      </c>
      <c r="F113" s="349">
        <v>580000</v>
      </c>
      <c r="G113" s="349"/>
      <c r="H113" s="349">
        <f>F113-G113</f>
        <v>580000</v>
      </c>
      <c r="I113" s="349"/>
      <c r="J113" s="349"/>
      <c r="K113" s="349"/>
      <c r="L113" s="349"/>
      <c r="M113" s="349">
        <f>SUM(K113:L113)</f>
        <v>0</v>
      </c>
      <c r="N113" s="349">
        <f>M113+J113</f>
        <v>0</v>
      </c>
      <c r="O113" s="349">
        <v>580000</v>
      </c>
      <c r="P113" s="349">
        <f>F113-N113-O113</f>
        <v>0</v>
      </c>
      <c r="Q113" s="349">
        <f>I113-N113</f>
        <v>0</v>
      </c>
      <c r="R113" s="349">
        <f>O113-Q113</f>
        <v>580000</v>
      </c>
      <c r="S113" s="349"/>
      <c r="T113" s="349">
        <f>R113-S113</f>
        <v>580000</v>
      </c>
      <c r="U113" s="349">
        <f>T113-V113-X113</f>
        <v>0</v>
      </c>
      <c r="V113" s="349">
        <v>580000</v>
      </c>
      <c r="W113" s="349"/>
      <c r="X113" s="349"/>
      <c r="Y113" s="221" t="s">
        <v>1214</v>
      </c>
      <c r="Z113" s="349"/>
      <c r="AA113" s="349"/>
      <c r="AB113" s="349"/>
      <c r="AC113" s="349">
        <f>SUM(Z113:AB113)</f>
        <v>0</v>
      </c>
      <c r="AD113" s="349"/>
      <c r="AE113" s="349"/>
      <c r="AF113" s="349"/>
      <c r="AG113" s="349">
        <v>580000</v>
      </c>
      <c r="AH113" s="349"/>
      <c r="AI113" s="349"/>
      <c r="AJ113" s="349">
        <f>SUM(Z113:AI113)</f>
        <v>580000</v>
      </c>
      <c r="AK113" s="349">
        <f>T113-AJ113</f>
        <v>0</v>
      </c>
      <c r="AL113" s="349">
        <f>AI113-AM113-AO113</f>
        <v>0</v>
      </c>
      <c r="AM113" s="349"/>
      <c r="AN113" s="349"/>
      <c r="AO113" s="862"/>
      <c r="AP113" s="349">
        <f>AJ113-AQ113-AU113</f>
        <v>0</v>
      </c>
      <c r="AQ113" s="349">
        <v>580000</v>
      </c>
      <c r="AR113" s="349"/>
      <c r="AS113" s="349"/>
      <c r="AT113" s="349"/>
      <c r="AU113" s="854"/>
      <c r="AV113" s="319"/>
      <c r="AW113" s="319"/>
      <c r="AX113" s="319"/>
      <c r="AY113" s="319"/>
      <c r="AZ113" s="319"/>
      <c r="BA113" s="319"/>
      <c r="BB113" s="394"/>
      <c r="BC113" s="394"/>
      <c r="BD113" s="394"/>
      <c r="BE113" s="394"/>
      <c r="BF113" s="394"/>
      <c r="BG113" s="394"/>
      <c r="BH113" s="394"/>
      <c r="BI113" s="394"/>
      <c r="BJ113" s="122"/>
      <c r="BM113" s="122"/>
      <c r="BN113" s="122"/>
      <c r="BO113" s="122"/>
      <c r="BP113" s="699"/>
      <c r="BQ113" s="699"/>
      <c r="BR113" s="699"/>
      <c r="BS113" s="699"/>
      <c r="BT113" s="699"/>
      <c r="BU113" s="699"/>
      <c r="BV113" s="699"/>
      <c r="BW113" s="699"/>
      <c r="BX113" s="699"/>
    </row>
    <row r="114" spans="1:82" s="395" customFormat="1" ht="34.950000000000003" customHeight="1">
      <c r="A114" s="700" t="s">
        <v>1172</v>
      </c>
      <c r="B114" s="701" t="s">
        <v>1139</v>
      </c>
      <c r="C114" s="220">
        <f>C113+1</f>
        <v>89</v>
      </c>
      <c r="D114" s="220">
        <v>1486</v>
      </c>
      <c r="E114" s="235" t="s">
        <v>1215</v>
      </c>
      <c r="F114" s="349">
        <v>9590365</v>
      </c>
      <c r="G114" s="349">
        <v>9590365</v>
      </c>
      <c r="H114" s="349">
        <f>F114-G114</f>
        <v>0</v>
      </c>
      <c r="I114" s="349">
        <v>8090365</v>
      </c>
      <c r="J114" s="349">
        <v>7117418</v>
      </c>
      <c r="K114" s="349"/>
      <c r="L114" s="349"/>
      <c r="M114" s="349">
        <f>SUM(K114:L114)</f>
        <v>0</v>
      </c>
      <c r="N114" s="349">
        <f>M114+J114</f>
        <v>7117418</v>
      </c>
      <c r="O114" s="349">
        <f>700000+972947-120000</f>
        <v>1552947</v>
      </c>
      <c r="P114" s="349">
        <f>F114-N114-O114</f>
        <v>920000</v>
      </c>
      <c r="Q114" s="349">
        <f>I114-N114</f>
        <v>972947</v>
      </c>
      <c r="R114" s="349">
        <f>O114-Q114</f>
        <v>580000</v>
      </c>
      <c r="S114" s="349">
        <v>700000</v>
      </c>
      <c r="T114" s="349">
        <f>R114-S114</f>
        <v>-120000</v>
      </c>
      <c r="U114" s="349">
        <f>T114-V114-X114</f>
        <v>0</v>
      </c>
      <c r="V114" s="349">
        <v>-120000</v>
      </c>
      <c r="W114" s="349"/>
      <c r="X114" s="349"/>
      <c r="Y114" s="221" t="s">
        <v>1140</v>
      </c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>
        <f>SUM(Z114:AI114)</f>
        <v>0</v>
      </c>
      <c r="AK114" s="349">
        <f>T114-AJ114</f>
        <v>-120000</v>
      </c>
      <c r="AL114" s="349">
        <f>AI114-AM114-AO114</f>
        <v>0</v>
      </c>
      <c r="AM114" s="862"/>
      <c r="AN114" s="862"/>
      <c r="AO114" s="854"/>
      <c r="AP114" s="349">
        <f>AJ114-AQ114-AU114</f>
        <v>0</v>
      </c>
      <c r="AQ114" s="854"/>
      <c r="AR114" s="862"/>
      <c r="AS114" s="862"/>
      <c r="AT114" s="862"/>
      <c r="AU114" s="854"/>
      <c r="AV114" s="319"/>
      <c r="AW114" s="319"/>
      <c r="AX114" s="319"/>
      <c r="AY114" s="319"/>
      <c r="AZ114" s="394"/>
      <c r="BA114" s="394"/>
      <c r="BB114" s="394"/>
      <c r="BC114" s="394"/>
      <c r="BD114" s="394"/>
      <c r="BE114" s="394"/>
      <c r="BF114" s="394"/>
      <c r="BG114" s="394"/>
      <c r="BH114" s="122"/>
      <c r="BK114" s="122"/>
      <c r="BL114" s="122"/>
      <c r="BM114" s="122"/>
      <c r="BN114" s="699"/>
      <c r="BO114" s="699"/>
      <c r="BP114" s="699"/>
      <c r="BQ114" s="699"/>
      <c r="BR114" s="699"/>
      <c r="BS114" s="699"/>
      <c r="BT114" s="699"/>
      <c r="BU114" s="699"/>
      <c r="BV114" s="699"/>
    </row>
    <row r="115" spans="1:82" s="395" customFormat="1" ht="34.950000000000003" customHeight="1">
      <c r="A115" s="700" t="s">
        <v>1172</v>
      </c>
      <c r="B115" s="701" t="s">
        <v>1139</v>
      </c>
      <c r="C115" s="220">
        <f>C114+1</f>
        <v>90</v>
      </c>
      <c r="D115" s="220">
        <v>20046</v>
      </c>
      <c r="E115" s="235" t="s">
        <v>1585</v>
      </c>
      <c r="F115" s="349">
        <f>235000+240000</f>
        <v>475000</v>
      </c>
      <c r="G115" s="349">
        <v>235000</v>
      </c>
      <c r="H115" s="349">
        <f>F115-G115</f>
        <v>240000</v>
      </c>
      <c r="I115" s="349">
        <v>235000</v>
      </c>
      <c r="J115" s="349">
        <v>130928</v>
      </c>
      <c r="K115" s="349"/>
      <c r="L115" s="349"/>
      <c r="M115" s="349">
        <f>SUM(K115:L115)</f>
        <v>0</v>
      </c>
      <c r="N115" s="349">
        <f>M115+J115</f>
        <v>130928</v>
      </c>
      <c r="O115" s="349">
        <f>104072+240000</f>
        <v>344072</v>
      </c>
      <c r="P115" s="349">
        <f>F115-N115-O115</f>
        <v>0</v>
      </c>
      <c r="Q115" s="349">
        <f>I115-N115</f>
        <v>104072</v>
      </c>
      <c r="R115" s="349">
        <f>O115-Q115</f>
        <v>240000</v>
      </c>
      <c r="S115" s="349"/>
      <c r="T115" s="349">
        <f>R115-S115</f>
        <v>240000</v>
      </c>
      <c r="U115" s="349">
        <f>T115-V115-X115</f>
        <v>240000</v>
      </c>
      <c r="V115" s="349"/>
      <c r="W115" s="349"/>
      <c r="X115" s="349"/>
      <c r="Y115" s="221" t="s">
        <v>1216</v>
      </c>
      <c r="Z115" s="349"/>
      <c r="AA115" s="349"/>
      <c r="AB115" s="349"/>
      <c r="AC115" s="349"/>
      <c r="AD115" s="349"/>
      <c r="AE115" s="349"/>
      <c r="AF115" s="349"/>
      <c r="AG115" s="349"/>
      <c r="AH115" s="349">
        <v>240000</v>
      </c>
      <c r="AI115" s="349"/>
      <c r="AJ115" s="349">
        <f>SUM(Z115:AI115)</f>
        <v>240000</v>
      </c>
      <c r="AK115" s="349">
        <f>T115-AJ115</f>
        <v>0</v>
      </c>
      <c r="AL115" s="349">
        <f>AI115-AM115-AO115</f>
        <v>0</v>
      </c>
      <c r="AM115" s="862"/>
      <c r="AN115" s="862"/>
      <c r="AO115" s="854"/>
      <c r="AP115" s="349">
        <f>AJ115-AQ115-AU115</f>
        <v>240000</v>
      </c>
      <c r="AQ115" s="854"/>
      <c r="AR115" s="862"/>
      <c r="AS115" s="862"/>
      <c r="AT115" s="862"/>
      <c r="AU115" s="854"/>
      <c r="AV115" s="319"/>
      <c r="AW115" s="319"/>
      <c r="AX115" s="319"/>
      <c r="AY115" s="319"/>
      <c r="AZ115" s="394"/>
      <c r="BA115" s="394"/>
      <c r="BB115" s="394"/>
      <c r="BC115" s="394"/>
      <c r="BD115" s="394"/>
      <c r="BE115" s="394"/>
      <c r="BF115" s="394"/>
      <c r="BG115" s="394"/>
      <c r="BH115" s="122"/>
      <c r="BK115" s="122"/>
      <c r="BL115" s="122"/>
      <c r="BM115" s="122"/>
      <c r="BN115" s="699"/>
      <c r="BO115" s="699"/>
      <c r="BP115" s="699"/>
      <c r="BQ115" s="699"/>
      <c r="BR115" s="699"/>
      <c r="BS115" s="699"/>
      <c r="BT115" s="699"/>
      <c r="BU115" s="699"/>
      <c r="BV115" s="699"/>
    </row>
    <row r="116" spans="1:82" s="395" customFormat="1" ht="34.950000000000003" customHeight="1">
      <c r="A116" s="712"/>
      <c r="B116" s="866"/>
      <c r="C116" s="222">
        <f>COUNT(C112:C115)</f>
        <v>4</v>
      </c>
      <c r="D116" s="222"/>
      <c r="E116" s="137" t="s">
        <v>1217</v>
      </c>
      <c r="F116" s="857">
        <f>SUM(F112:F115)</f>
        <v>11607365</v>
      </c>
      <c r="G116" s="857">
        <f t="shared" ref="G116:AU116" si="58">SUM(G112:G115)</f>
        <v>10787365</v>
      </c>
      <c r="H116" s="857">
        <f t="shared" si="58"/>
        <v>820000</v>
      </c>
      <c r="I116" s="857">
        <f t="shared" si="58"/>
        <v>8695365</v>
      </c>
      <c r="J116" s="857">
        <f t="shared" si="58"/>
        <v>7607355</v>
      </c>
      <c r="K116" s="857">
        <f t="shared" si="58"/>
        <v>0</v>
      </c>
      <c r="L116" s="857">
        <f t="shared" si="58"/>
        <v>0</v>
      </c>
      <c r="M116" s="857">
        <f t="shared" si="58"/>
        <v>0</v>
      </c>
      <c r="N116" s="857">
        <f t="shared" si="58"/>
        <v>7607355</v>
      </c>
      <c r="O116" s="857">
        <f t="shared" si="58"/>
        <v>2930010</v>
      </c>
      <c r="P116" s="857">
        <f t="shared" si="58"/>
        <v>1070000</v>
      </c>
      <c r="Q116" s="857">
        <f t="shared" si="58"/>
        <v>1088010</v>
      </c>
      <c r="R116" s="857">
        <f t="shared" si="58"/>
        <v>1842000</v>
      </c>
      <c r="S116" s="857">
        <f t="shared" si="58"/>
        <v>1292000</v>
      </c>
      <c r="T116" s="857">
        <f t="shared" si="58"/>
        <v>550000</v>
      </c>
      <c r="U116" s="857">
        <f t="shared" si="58"/>
        <v>240000</v>
      </c>
      <c r="V116" s="857">
        <f t="shared" si="58"/>
        <v>310000</v>
      </c>
      <c r="W116" s="857"/>
      <c r="X116" s="857">
        <f t="shared" si="58"/>
        <v>0</v>
      </c>
      <c r="Y116" s="857"/>
      <c r="Z116" s="857">
        <f t="shared" si="58"/>
        <v>0</v>
      </c>
      <c r="AA116" s="857">
        <f t="shared" si="58"/>
        <v>0</v>
      </c>
      <c r="AB116" s="857">
        <f t="shared" si="58"/>
        <v>0</v>
      </c>
      <c r="AC116" s="857">
        <f t="shared" si="58"/>
        <v>0</v>
      </c>
      <c r="AD116" s="857">
        <f t="shared" si="58"/>
        <v>0</v>
      </c>
      <c r="AE116" s="857">
        <f t="shared" si="58"/>
        <v>0</v>
      </c>
      <c r="AF116" s="857">
        <f t="shared" si="58"/>
        <v>0</v>
      </c>
      <c r="AG116" s="857">
        <f t="shared" si="58"/>
        <v>580000</v>
      </c>
      <c r="AH116" s="857">
        <f t="shared" si="58"/>
        <v>240000</v>
      </c>
      <c r="AI116" s="857">
        <f t="shared" si="58"/>
        <v>0</v>
      </c>
      <c r="AJ116" s="857">
        <f t="shared" si="58"/>
        <v>820000</v>
      </c>
      <c r="AK116" s="857">
        <f t="shared" si="58"/>
        <v>-270000</v>
      </c>
      <c r="AL116" s="857">
        <f t="shared" si="58"/>
        <v>0</v>
      </c>
      <c r="AM116" s="857">
        <f t="shared" si="58"/>
        <v>0</v>
      </c>
      <c r="AN116" s="857"/>
      <c r="AO116" s="857">
        <f t="shared" si="58"/>
        <v>0</v>
      </c>
      <c r="AP116" s="857">
        <f t="shared" si="58"/>
        <v>240000</v>
      </c>
      <c r="AQ116" s="857">
        <f t="shared" si="58"/>
        <v>580000</v>
      </c>
      <c r="AR116" s="857">
        <f t="shared" si="58"/>
        <v>0</v>
      </c>
      <c r="AS116" s="857">
        <f t="shared" si="58"/>
        <v>0</v>
      </c>
      <c r="AT116" s="857">
        <f t="shared" si="58"/>
        <v>0</v>
      </c>
      <c r="AU116" s="857">
        <f t="shared" si="58"/>
        <v>0</v>
      </c>
      <c r="AV116" s="698"/>
      <c r="AW116" s="698"/>
      <c r="AX116" s="698"/>
      <c r="AY116" s="698"/>
      <c r="AZ116" s="319"/>
      <c r="BA116" s="319"/>
      <c r="BB116" s="319"/>
      <c r="BC116" s="319"/>
      <c r="BD116" s="319"/>
      <c r="BE116" s="319"/>
      <c r="BF116" s="319"/>
      <c r="BG116" s="319"/>
      <c r="BH116" s="394"/>
      <c r="BI116" s="394"/>
      <c r="BJ116" s="394"/>
      <c r="BK116" s="394"/>
      <c r="BL116" s="394"/>
      <c r="BM116" s="394"/>
      <c r="BN116" s="394"/>
      <c r="BO116" s="394"/>
      <c r="BP116" s="122"/>
      <c r="BS116" s="122"/>
      <c r="BT116" s="122"/>
      <c r="BU116" s="122"/>
      <c r="BV116" s="699"/>
      <c r="BW116" s="699"/>
      <c r="BX116" s="699"/>
      <c r="BY116" s="699"/>
      <c r="BZ116" s="699"/>
      <c r="CA116" s="699"/>
      <c r="CB116" s="699"/>
      <c r="CC116" s="699"/>
      <c r="CD116" s="699"/>
    </row>
    <row r="117" spans="1:82" s="61" customFormat="1" ht="34.950000000000003" hidden="1" customHeight="1">
      <c r="A117" s="702"/>
      <c r="B117" s="864"/>
      <c r="C117" s="855"/>
      <c r="D117" s="856"/>
      <c r="E117" s="852" t="s">
        <v>1218</v>
      </c>
      <c r="F117" s="857"/>
      <c r="G117" s="857"/>
      <c r="H117" s="857"/>
      <c r="I117" s="857"/>
      <c r="J117" s="857"/>
      <c r="K117" s="857"/>
      <c r="L117" s="857"/>
      <c r="M117" s="857"/>
      <c r="N117" s="857"/>
      <c r="O117" s="857"/>
      <c r="P117" s="857"/>
      <c r="Q117" s="857"/>
      <c r="R117" s="857"/>
      <c r="S117" s="857"/>
      <c r="T117" s="857">
        <f>T114</f>
        <v>-120000</v>
      </c>
      <c r="U117" s="857"/>
      <c r="V117" s="857"/>
      <c r="W117" s="857"/>
      <c r="X117" s="857"/>
      <c r="Y117" s="138"/>
      <c r="Z117" s="857"/>
      <c r="AA117" s="857"/>
      <c r="AB117" s="857"/>
      <c r="AC117" s="857"/>
      <c r="AD117" s="857"/>
      <c r="AE117" s="857"/>
      <c r="AF117" s="857"/>
      <c r="AG117" s="857"/>
      <c r="AH117" s="857"/>
      <c r="AI117" s="857"/>
      <c r="AJ117" s="857">
        <f>AJ114</f>
        <v>0</v>
      </c>
      <c r="AK117" s="857"/>
      <c r="AL117" s="857"/>
      <c r="AM117" s="857"/>
      <c r="AN117" s="857"/>
      <c r="AO117" s="857"/>
      <c r="AP117" s="857"/>
      <c r="AQ117" s="857"/>
      <c r="AR117" s="857"/>
      <c r="AS117" s="857"/>
      <c r="AT117" s="857"/>
      <c r="AU117" s="857"/>
      <c r="AV117" s="690"/>
      <c r="AW117" s="690"/>
      <c r="AX117" s="690"/>
      <c r="AY117" s="690"/>
      <c r="AZ117" s="157"/>
      <c r="BA117" s="157"/>
      <c r="BB117" s="157"/>
      <c r="BC117" s="157"/>
      <c r="BD117" s="157"/>
      <c r="BE117" s="157"/>
      <c r="BF117" s="157"/>
      <c r="BG117" s="157"/>
      <c r="BH117" s="691"/>
      <c r="BI117" s="691"/>
      <c r="BJ117" s="691"/>
      <c r="BK117" s="691"/>
      <c r="BL117" s="691"/>
      <c r="BM117" s="691"/>
      <c r="BN117" s="691"/>
      <c r="BO117" s="691"/>
      <c r="BP117" s="51"/>
      <c r="BS117" s="51"/>
      <c r="BT117" s="51"/>
      <c r="BU117" s="51"/>
      <c r="BV117" s="688"/>
      <c r="BW117" s="688"/>
      <c r="BX117" s="688"/>
      <c r="BY117" s="688"/>
      <c r="BZ117" s="688"/>
      <c r="CA117" s="688"/>
      <c r="CB117" s="688"/>
      <c r="CC117" s="688"/>
      <c r="CD117" s="688"/>
    </row>
    <row r="118" spans="1:82" s="61" customFormat="1" ht="34.950000000000003" hidden="1" customHeight="1">
      <c r="A118" s="702"/>
      <c r="B118" s="864"/>
      <c r="C118" s="855"/>
      <c r="D118" s="856"/>
      <c r="E118" s="852" t="s">
        <v>1219</v>
      </c>
      <c r="F118" s="857"/>
      <c r="G118" s="857"/>
      <c r="H118" s="857"/>
      <c r="I118" s="857"/>
      <c r="J118" s="857"/>
      <c r="K118" s="857"/>
      <c r="L118" s="857"/>
      <c r="M118" s="857"/>
      <c r="N118" s="857"/>
      <c r="O118" s="857"/>
      <c r="P118" s="857"/>
      <c r="Q118" s="857"/>
      <c r="R118" s="857"/>
      <c r="S118" s="857"/>
      <c r="T118" s="857">
        <f>T116-T117</f>
        <v>670000</v>
      </c>
      <c r="U118" s="857"/>
      <c r="V118" s="857"/>
      <c r="W118" s="857"/>
      <c r="X118" s="857"/>
      <c r="Y118" s="138"/>
      <c r="Z118" s="857"/>
      <c r="AA118" s="857"/>
      <c r="AB118" s="857"/>
      <c r="AC118" s="857"/>
      <c r="AD118" s="857"/>
      <c r="AE118" s="857"/>
      <c r="AF118" s="857"/>
      <c r="AG118" s="857"/>
      <c r="AH118" s="857"/>
      <c r="AI118" s="857"/>
      <c r="AJ118" s="857">
        <f>AJ116-AJ117</f>
        <v>820000</v>
      </c>
      <c r="AK118" s="857"/>
      <c r="AL118" s="857"/>
      <c r="AM118" s="857"/>
      <c r="AN118" s="857"/>
      <c r="AO118" s="857"/>
      <c r="AP118" s="857"/>
      <c r="AQ118" s="857"/>
      <c r="AR118" s="857"/>
      <c r="AS118" s="857"/>
      <c r="AT118" s="857"/>
      <c r="AU118" s="857"/>
      <c r="AV118" s="690"/>
      <c r="AW118" s="690"/>
      <c r="AX118" s="690"/>
      <c r="AY118" s="690"/>
      <c r="AZ118" s="157"/>
      <c r="BA118" s="157"/>
      <c r="BB118" s="157"/>
      <c r="BC118" s="157"/>
      <c r="BD118" s="157"/>
      <c r="BE118" s="157"/>
      <c r="BF118" s="157"/>
      <c r="BG118" s="157"/>
      <c r="BH118" s="691"/>
      <c r="BI118" s="691"/>
      <c r="BJ118" s="691"/>
      <c r="BK118" s="691"/>
      <c r="BL118" s="691"/>
      <c r="BM118" s="691"/>
      <c r="BN118" s="691"/>
      <c r="BO118" s="691"/>
      <c r="BP118" s="51"/>
      <c r="BS118" s="51"/>
      <c r="BT118" s="51"/>
      <c r="BU118" s="51"/>
      <c r="BV118" s="688"/>
      <c r="BW118" s="688"/>
      <c r="BX118" s="688"/>
      <c r="BY118" s="688"/>
      <c r="BZ118" s="688"/>
      <c r="CA118" s="688"/>
      <c r="CB118" s="688"/>
      <c r="CC118" s="688"/>
      <c r="CD118" s="688"/>
    </row>
    <row r="119" spans="1:82" s="61" customFormat="1" ht="34.950000000000003" customHeight="1">
      <c r="A119" s="702"/>
      <c r="B119" s="864"/>
      <c r="C119" s="855"/>
      <c r="D119" s="856"/>
      <c r="E119" s="852"/>
      <c r="F119" s="857"/>
      <c r="G119" s="857"/>
      <c r="H119" s="857"/>
      <c r="I119" s="857"/>
      <c r="J119" s="857"/>
      <c r="K119" s="857"/>
      <c r="L119" s="857"/>
      <c r="M119" s="857"/>
      <c r="N119" s="857"/>
      <c r="O119" s="857"/>
      <c r="P119" s="857"/>
      <c r="Q119" s="857"/>
      <c r="R119" s="857"/>
      <c r="S119" s="857"/>
      <c r="T119" s="857"/>
      <c r="U119" s="857"/>
      <c r="V119" s="857"/>
      <c r="W119" s="857"/>
      <c r="X119" s="857"/>
      <c r="Y119" s="138"/>
      <c r="Z119" s="857"/>
      <c r="AA119" s="857"/>
      <c r="AB119" s="857"/>
      <c r="AC119" s="857"/>
      <c r="AD119" s="857"/>
      <c r="AE119" s="857"/>
      <c r="AF119" s="857"/>
      <c r="AG119" s="857"/>
      <c r="AH119" s="857"/>
      <c r="AI119" s="857"/>
      <c r="AJ119" s="857"/>
      <c r="AK119" s="857"/>
      <c r="AL119" s="857"/>
      <c r="AM119" s="857"/>
      <c r="AN119" s="857"/>
      <c r="AO119" s="857"/>
      <c r="AP119" s="857"/>
      <c r="AQ119" s="857"/>
      <c r="AR119" s="857"/>
      <c r="AS119" s="857"/>
      <c r="AT119" s="857"/>
      <c r="AU119" s="857"/>
      <c r="AV119" s="690"/>
      <c r="AW119" s="690"/>
      <c r="AX119" s="690"/>
      <c r="AY119" s="690"/>
      <c r="AZ119" s="157"/>
      <c r="BA119" s="157"/>
      <c r="BB119" s="157"/>
      <c r="BC119" s="157"/>
      <c r="BD119" s="157"/>
      <c r="BE119" s="157"/>
      <c r="BF119" s="157"/>
      <c r="BG119" s="157"/>
      <c r="BH119" s="691"/>
      <c r="BI119" s="691"/>
      <c r="BJ119" s="691"/>
      <c r="BK119" s="691"/>
      <c r="BL119" s="691"/>
      <c r="BM119" s="691"/>
      <c r="BN119" s="691"/>
      <c r="BO119" s="691"/>
      <c r="BP119" s="51"/>
      <c r="BS119" s="51"/>
      <c r="BT119" s="51"/>
      <c r="BU119" s="51"/>
      <c r="BV119" s="688"/>
      <c r="BW119" s="688"/>
      <c r="BX119" s="688"/>
      <c r="BY119" s="688"/>
      <c r="BZ119" s="688"/>
      <c r="CA119" s="688"/>
      <c r="CB119" s="688"/>
      <c r="CC119" s="688"/>
      <c r="CD119" s="688"/>
    </row>
    <row r="120" spans="1:82" s="395" customFormat="1" ht="34.950000000000003" customHeight="1">
      <c r="A120" s="872"/>
      <c r="B120" s="873"/>
      <c r="C120" s="220"/>
      <c r="D120" s="220"/>
      <c r="E120" s="137" t="s">
        <v>1220</v>
      </c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220"/>
      <c r="Y120" s="135"/>
      <c r="Z120" s="220"/>
      <c r="AA120" s="220"/>
      <c r="AB120" s="220"/>
      <c r="AC120" s="220"/>
      <c r="AD120" s="220"/>
      <c r="AE120" s="220"/>
      <c r="AF120" s="220"/>
      <c r="AG120" s="220"/>
      <c r="AH120" s="220"/>
      <c r="AI120" s="220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698"/>
      <c r="AW120" s="698"/>
      <c r="AX120" s="698"/>
      <c r="AY120" s="698"/>
      <c r="AZ120" s="319"/>
      <c r="BA120" s="319"/>
      <c r="BB120" s="319"/>
      <c r="BC120" s="319"/>
      <c r="BD120" s="319"/>
      <c r="BE120" s="319"/>
      <c r="BF120" s="319"/>
      <c r="BG120" s="319"/>
      <c r="BH120" s="394"/>
      <c r="BI120" s="394"/>
      <c r="BJ120" s="394"/>
      <c r="BK120" s="394"/>
      <c r="BL120" s="394"/>
      <c r="BM120" s="394"/>
      <c r="BN120" s="394"/>
      <c r="BO120" s="394"/>
      <c r="BP120" s="122"/>
      <c r="BS120" s="122"/>
      <c r="BT120" s="122"/>
      <c r="BU120" s="122"/>
      <c r="BV120" s="699"/>
      <c r="BW120" s="699"/>
      <c r="BX120" s="699"/>
      <c r="BY120" s="699"/>
      <c r="BZ120" s="699"/>
      <c r="CA120" s="699"/>
      <c r="CB120" s="699"/>
      <c r="CC120" s="699"/>
      <c r="CD120" s="699"/>
    </row>
    <row r="121" spans="1:82" s="710" customFormat="1" ht="34.950000000000003" customHeight="1">
      <c r="A121" s="697" t="s">
        <v>1147</v>
      </c>
      <c r="B121" s="701" t="s">
        <v>1148</v>
      </c>
      <c r="C121" s="220">
        <v>91</v>
      </c>
      <c r="D121" s="220">
        <v>20085</v>
      </c>
      <c r="E121" s="235" t="s">
        <v>925</v>
      </c>
      <c r="F121" s="349">
        <v>200000</v>
      </c>
      <c r="G121" s="349"/>
      <c r="H121" s="349">
        <f>F121-G121</f>
        <v>200000</v>
      </c>
      <c r="I121" s="349"/>
      <c r="J121" s="349"/>
      <c r="K121" s="349"/>
      <c r="L121" s="349"/>
      <c r="M121" s="349"/>
      <c r="N121" s="349">
        <f>M121+J121</f>
        <v>0</v>
      </c>
      <c r="O121" s="349">
        <v>200000</v>
      </c>
      <c r="P121" s="349">
        <f>F121-N121-O121</f>
        <v>0</v>
      </c>
      <c r="Q121" s="349">
        <f>I121-N121</f>
        <v>0</v>
      </c>
      <c r="R121" s="349">
        <f>O121-Q121</f>
        <v>200000</v>
      </c>
      <c r="S121" s="349"/>
      <c r="T121" s="349">
        <f>R121-S121</f>
        <v>200000</v>
      </c>
      <c r="U121" s="349">
        <f>T121-V121-X121</f>
        <v>50000</v>
      </c>
      <c r="V121" s="349">
        <v>150000</v>
      </c>
      <c r="W121" s="349"/>
      <c r="X121" s="349"/>
      <c r="Y121" s="221" t="s">
        <v>1221</v>
      </c>
      <c r="Z121" s="349"/>
      <c r="AA121" s="349">
        <v>200000</v>
      </c>
      <c r="AB121" s="349"/>
      <c r="AC121" s="349"/>
      <c r="AD121" s="349"/>
      <c r="AE121" s="349"/>
      <c r="AF121" s="349"/>
      <c r="AG121" s="349"/>
      <c r="AH121" s="349"/>
      <c r="AI121" s="349"/>
      <c r="AJ121" s="349">
        <f>SUM(Z121:AI121)</f>
        <v>200000</v>
      </c>
      <c r="AK121" s="349">
        <f>T121-AJ121</f>
        <v>0</v>
      </c>
      <c r="AL121" s="349">
        <f>AI121-AM121-AO121</f>
        <v>0</v>
      </c>
      <c r="AM121" s="349"/>
      <c r="AN121" s="349"/>
      <c r="AO121" s="862"/>
      <c r="AP121" s="349">
        <f>AJ121-AQ121-AU121</f>
        <v>50000</v>
      </c>
      <c r="AQ121" s="349">
        <v>150000</v>
      </c>
      <c r="AR121" s="349"/>
      <c r="AS121" s="349"/>
      <c r="AT121" s="349"/>
      <c r="AU121" s="349"/>
      <c r="AV121" s="705"/>
      <c r="AW121" s="706"/>
      <c r="AX121" s="706"/>
      <c r="AY121" s="706"/>
      <c r="AZ121" s="707"/>
      <c r="BA121" s="707"/>
      <c r="BB121" s="707"/>
      <c r="BC121" s="707"/>
      <c r="BD121" s="707"/>
      <c r="BE121" s="707"/>
      <c r="BF121" s="707"/>
      <c r="BG121" s="707"/>
      <c r="BH121" s="708"/>
      <c r="BI121" s="708"/>
      <c r="BJ121" s="708"/>
      <c r="BK121" s="708"/>
      <c r="BL121" s="708"/>
      <c r="BM121" s="708"/>
      <c r="BN121" s="708"/>
      <c r="BO121" s="708"/>
      <c r="BP121" s="709"/>
      <c r="BS121" s="709"/>
      <c r="BT121" s="709"/>
      <c r="BU121" s="709"/>
      <c r="BV121" s="711"/>
      <c r="BW121" s="711"/>
      <c r="BX121" s="711"/>
      <c r="BY121" s="711"/>
      <c r="BZ121" s="711"/>
      <c r="CA121" s="711"/>
      <c r="CB121" s="711"/>
      <c r="CC121" s="711"/>
      <c r="CD121" s="711"/>
    </row>
    <row r="122" spans="1:82" s="395" customFormat="1" ht="34.950000000000003" customHeight="1">
      <c r="A122" s="712"/>
      <c r="B122" s="866"/>
      <c r="C122" s="222">
        <f>COUNT(C121)</f>
        <v>1</v>
      </c>
      <c r="D122" s="222"/>
      <c r="E122" s="137" t="s">
        <v>1222</v>
      </c>
      <c r="F122" s="857">
        <f>SUM(F121)</f>
        <v>200000</v>
      </c>
      <c r="G122" s="857">
        <f t="shared" ref="G122:AU122" si="59">SUM(G121)</f>
        <v>0</v>
      </c>
      <c r="H122" s="857">
        <f t="shared" si="59"/>
        <v>200000</v>
      </c>
      <c r="I122" s="857">
        <f t="shared" si="59"/>
        <v>0</v>
      </c>
      <c r="J122" s="857">
        <f t="shared" si="59"/>
        <v>0</v>
      </c>
      <c r="K122" s="857">
        <f t="shared" si="59"/>
        <v>0</v>
      </c>
      <c r="L122" s="857">
        <f t="shared" si="59"/>
        <v>0</v>
      </c>
      <c r="M122" s="857">
        <f t="shared" si="59"/>
        <v>0</v>
      </c>
      <c r="N122" s="857">
        <f t="shared" si="59"/>
        <v>0</v>
      </c>
      <c r="O122" s="857">
        <f t="shared" si="59"/>
        <v>200000</v>
      </c>
      <c r="P122" s="857">
        <f t="shared" si="59"/>
        <v>0</v>
      </c>
      <c r="Q122" s="857">
        <f t="shared" si="59"/>
        <v>0</v>
      </c>
      <c r="R122" s="857">
        <f t="shared" si="59"/>
        <v>200000</v>
      </c>
      <c r="S122" s="857">
        <f t="shared" si="59"/>
        <v>0</v>
      </c>
      <c r="T122" s="857">
        <f t="shared" si="59"/>
        <v>200000</v>
      </c>
      <c r="U122" s="857">
        <f t="shared" si="59"/>
        <v>50000</v>
      </c>
      <c r="V122" s="857">
        <f t="shared" si="59"/>
        <v>150000</v>
      </c>
      <c r="W122" s="857"/>
      <c r="X122" s="857">
        <f t="shared" si="59"/>
        <v>0</v>
      </c>
      <c r="Y122" s="857"/>
      <c r="Z122" s="857">
        <f t="shared" si="59"/>
        <v>0</v>
      </c>
      <c r="AA122" s="857">
        <f t="shared" si="59"/>
        <v>200000</v>
      </c>
      <c r="AB122" s="857">
        <f t="shared" si="59"/>
        <v>0</v>
      </c>
      <c r="AC122" s="857">
        <f t="shared" si="59"/>
        <v>0</v>
      </c>
      <c r="AD122" s="857">
        <f t="shared" si="59"/>
        <v>0</v>
      </c>
      <c r="AE122" s="857">
        <f t="shared" si="59"/>
        <v>0</v>
      </c>
      <c r="AF122" s="857">
        <f t="shared" si="59"/>
        <v>0</v>
      </c>
      <c r="AG122" s="857">
        <f t="shared" si="59"/>
        <v>0</v>
      </c>
      <c r="AH122" s="857">
        <f t="shared" si="59"/>
        <v>0</v>
      </c>
      <c r="AI122" s="857">
        <f t="shared" si="59"/>
        <v>0</v>
      </c>
      <c r="AJ122" s="857">
        <f t="shared" si="59"/>
        <v>200000</v>
      </c>
      <c r="AK122" s="857">
        <f t="shared" si="59"/>
        <v>0</v>
      </c>
      <c r="AL122" s="857">
        <f t="shared" si="59"/>
        <v>0</v>
      </c>
      <c r="AM122" s="857">
        <f t="shared" si="59"/>
        <v>0</v>
      </c>
      <c r="AN122" s="857"/>
      <c r="AO122" s="857">
        <f t="shared" si="59"/>
        <v>0</v>
      </c>
      <c r="AP122" s="857">
        <f t="shared" si="59"/>
        <v>50000</v>
      </c>
      <c r="AQ122" s="857">
        <f t="shared" si="59"/>
        <v>150000</v>
      </c>
      <c r="AR122" s="857">
        <f t="shared" si="59"/>
        <v>0</v>
      </c>
      <c r="AS122" s="857">
        <f t="shared" si="59"/>
        <v>0</v>
      </c>
      <c r="AT122" s="857">
        <f t="shared" si="59"/>
        <v>0</v>
      </c>
      <c r="AU122" s="857">
        <f t="shared" si="59"/>
        <v>0</v>
      </c>
      <c r="AV122" s="698"/>
      <c r="AW122" s="698"/>
      <c r="AX122" s="698"/>
      <c r="AY122" s="698"/>
      <c r="AZ122" s="319"/>
      <c r="BA122" s="319"/>
      <c r="BB122" s="319"/>
      <c r="BC122" s="319"/>
      <c r="BD122" s="319"/>
      <c r="BE122" s="319"/>
      <c r="BF122" s="319"/>
      <c r="BG122" s="319"/>
      <c r="BH122" s="394"/>
      <c r="BI122" s="394"/>
      <c r="BJ122" s="394"/>
      <c r="BK122" s="394"/>
      <c r="BL122" s="394"/>
      <c r="BM122" s="394"/>
      <c r="BN122" s="394"/>
      <c r="BO122" s="394"/>
      <c r="BP122" s="122"/>
      <c r="BS122" s="122"/>
      <c r="BT122" s="122"/>
      <c r="BU122" s="122"/>
      <c r="BV122" s="699"/>
      <c r="BW122" s="699"/>
      <c r="BX122" s="699"/>
      <c r="BY122" s="699"/>
      <c r="BZ122" s="699"/>
      <c r="CA122" s="699"/>
      <c r="CB122" s="699"/>
      <c r="CC122" s="699"/>
      <c r="CD122" s="699"/>
    </row>
    <row r="123" spans="1:82" s="61" customFormat="1" ht="34.950000000000003" customHeight="1">
      <c r="A123" s="702"/>
      <c r="B123" s="864"/>
      <c r="C123" s="855"/>
      <c r="D123" s="856"/>
      <c r="E123" s="852"/>
      <c r="F123" s="857"/>
      <c r="G123" s="857"/>
      <c r="H123" s="857"/>
      <c r="I123" s="857"/>
      <c r="J123" s="857"/>
      <c r="K123" s="857"/>
      <c r="L123" s="857"/>
      <c r="M123" s="857"/>
      <c r="N123" s="857"/>
      <c r="O123" s="857"/>
      <c r="P123" s="857"/>
      <c r="Q123" s="857"/>
      <c r="R123" s="857"/>
      <c r="S123" s="857"/>
      <c r="T123" s="857"/>
      <c r="U123" s="857"/>
      <c r="V123" s="857"/>
      <c r="W123" s="857"/>
      <c r="X123" s="857"/>
      <c r="Y123" s="138"/>
      <c r="Z123" s="857"/>
      <c r="AA123" s="857"/>
      <c r="AB123" s="857"/>
      <c r="AC123" s="857"/>
      <c r="AD123" s="857"/>
      <c r="AE123" s="857"/>
      <c r="AF123" s="857"/>
      <c r="AG123" s="857"/>
      <c r="AH123" s="857"/>
      <c r="AI123" s="857"/>
      <c r="AJ123" s="857"/>
      <c r="AK123" s="857"/>
      <c r="AL123" s="857"/>
      <c r="AM123" s="857"/>
      <c r="AN123" s="857"/>
      <c r="AO123" s="857"/>
      <c r="AP123" s="857"/>
      <c r="AQ123" s="857"/>
      <c r="AR123" s="857"/>
      <c r="AS123" s="857"/>
      <c r="AT123" s="857"/>
      <c r="AU123" s="857"/>
      <c r="AV123" s="690"/>
      <c r="AW123" s="690"/>
      <c r="AX123" s="690"/>
      <c r="AY123" s="690"/>
      <c r="AZ123" s="157"/>
      <c r="BA123" s="157"/>
      <c r="BB123" s="157"/>
      <c r="BC123" s="157"/>
      <c r="BD123" s="157"/>
      <c r="BE123" s="157"/>
      <c r="BF123" s="157"/>
      <c r="BG123" s="157"/>
      <c r="BH123" s="691"/>
      <c r="BI123" s="691"/>
      <c r="BJ123" s="691"/>
      <c r="BK123" s="691"/>
      <c r="BL123" s="691"/>
      <c r="BM123" s="691"/>
      <c r="BN123" s="691"/>
      <c r="BO123" s="691"/>
      <c r="BP123" s="51"/>
      <c r="BS123" s="51"/>
      <c r="BT123" s="51"/>
      <c r="BU123" s="51"/>
      <c r="BV123" s="688"/>
      <c r="BW123" s="688"/>
      <c r="BX123" s="688"/>
      <c r="BY123" s="688"/>
      <c r="BZ123" s="688"/>
      <c r="CA123" s="688"/>
      <c r="CB123" s="688"/>
      <c r="CC123" s="688"/>
      <c r="CD123" s="688"/>
    </row>
    <row r="124" spans="1:82" s="395" customFormat="1" ht="34.950000000000003" customHeight="1">
      <c r="A124" s="872"/>
      <c r="B124" s="873"/>
      <c r="C124" s="220"/>
      <c r="D124" s="220"/>
      <c r="E124" s="137" t="s">
        <v>651</v>
      </c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220"/>
      <c r="Y124" s="135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698"/>
      <c r="AW124" s="698"/>
      <c r="AX124" s="698"/>
      <c r="AY124" s="698"/>
      <c r="AZ124" s="319"/>
      <c r="BA124" s="319"/>
      <c r="BB124" s="319"/>
      <c r="BC124" s="319"/>
      <c r="BD124" s="319"/>
      <c r="BE124" s="319"/>
      <c r="BF124" s="319"/>
      <c r="BG124" s="319"/>
      <c r="BH124" s="394"/>
      <c r="BI124" s="394"/>
      <c r="BJ124" s="394"/>
      <c r="BK124" s="394"/>
      <c r="BL124" s="394"/>
      <c r="BM124" s="394"/>
      <c r="BN124" s="394"/>
      <c r="BO124" s="394"/>
      <c r="BP124" s="122"/>
      <c r="BS124" s="122"/>
      <c r="BT124" s="122"/>
      <c r="BU124" s="122"/>
      <c r="BV124" s="699"/>
      <c r="BW124" s="699"/>
      <c r="BX124" s="699"/>
      <c r="BY124" s="699"/>
      <c r="BZ124" s="699"/>
      <c r="CA124" s="699"/>
      <c r="CB124" s="699"/>
      <c r="CC124" s="699"/>
      <c r="CD124" s="699"/>
    </row>
    <row r="125" spans="1:82" s="395" customFormat="1" ht="34.950000000000003" customHeight="1">
      <c r="A125" s="697" t="s">
        <v>1122</v>
      </c>
      <c r="B125" s="701" t="s">
        <v>1123</v>
      </c>
      <c r="C125" s="220">
        <v>92</v>
      </c>
      <c r="D125" s="220">
        <v>20090</v>
      </c>
      <c r="E125" s="235" t="s">
        <v>943</v>
      </c>
      <c r="F125" s="349">
        <v>280000</v>
      </c>
      <c r="G125" s="349"/>
      <c r="H125" s="349">
        <f>F125-G125</f>
        <v>280000</v>
      </c>
      <c r="I125" s="349"/>
      <c r="J125" s="349"/>
      <c r="K125" s="349"/>
      <c r="L125" s="349"/>
      <c r="M125" s="349">
        <f>SUM(K125:L125)</f>
        <v>0</v>
      </c>
      <c r="N125" s="349">
        <f>M125+J125</f>
        <v>0</v>
      </c>
      <c r="O125" s="349">
        <v>280000</v>
      </c>
      <c r="P125" s="349">
        <f>F125-N125-O125</f>
        <v>0</v>
      </c>
      <c r="Q125" s="349">
        <f>I125-N125</f>
        <v>0</v>
      </c>
      <c r="R125" s="349">
        <f>O125-Q125</f>
        <v>280000</v>
      </c>
      <c r="S125" s="349"/>
      <c r="T125" s="349">
        <f>R125-S125</f>
        <v>280000</v>
      </c>
      <c r="U125" s="349">
        <f>T125-V125-X125</f>
        <v>280000</v>
      </c>
      <c r="V125" s="349"/>
      <c r="W125" s="349"/>
      <c r="X125" s="349"/>
      <c r="Y125" s="221" t="s">
        <v>1223</v>
      </c>
      <c r="Z125" s="349"/>
      <c r="AA125" s="349"/>
      <c r="AB125" s="349">
        <v>280000</v>
      </c>
      <c r="AC125" s="349"/>
      <c r="AD125" s="349"/>
      <c r="AE125" s="349"/>
      <c r="AF125" s="349"/>
      <c r="AG125" s="349"/>
      <c r="AH125" s="349"/>
      <c r="AI125" s="349"/>
      <c r="AJ125" s="349">
        <f>SUM(Z125:AI125)</f>
        <v>280000</v>
      </c>
      <c r="AK125" s="349">
        <f>T125-AJ125</f>
        <v>0</v>
      </c>
      <c r="AL125" s="349">
        <f>AI125-AM125-AO125</f>
        <v>0</v>
      </c>
      <c r="AM125" s="349"/>
      <c r="AN125" s="349"/>
      <c r="AO125" s="862"/>
      <c r="AP125" s="349">
        <f>AJ125-AQ125-AU125</f>
        <v>280000</v>
      </c>
      <c r="AQ125" s="349"/>
      <c r="AR125" s="349"/>
      <c r="AS125" s="349"/>
      <c r="AT125" s="349"/>
      <c r="AU125" s="349"/>
      <c r="AV125" s="698"/>
      <c r="AW125" s="698"/>
      <c r="AX125" s="698"/>
      <c r="AY125" s="698"/>
      <c r="AZ125" s="319"/>
      <c r="BA125" s="319"/>
      <c r="BB125" s="319"/>
      <c r="BC125" s="319"/>
      <c r="BD125" s="319"/>
      <c r="BE125" s="319"/>
      <c r="BF125" s="319"/>
      <c r="BG125" s="319"/>
      <c r="BH125" s="394"/>
      <c r="BI125" s="394"/>
      <c r="BJ125" s="394"/>
      <c r="BK125" s="394"/>
      <c r="BL125" s="394"/>
      <c r="BM125" s="394"/>
      <c r="BN125" s="394"/>
      <c r="BO125" s="394"/>
      <c r="BP125" s="122"/>
      <c r="BS125" s="122"/>
      <c r="BT125" s="122"/>
      <c r="BU125" s="122"/>
      <c r="BV125" s="699"/>
      <c r="BW125" s="699"/>
      <c r="BX125" s="699"/>
      <c r="BY125" s="699"/>
      <c r="BZ125" s="699"/>
      <c r="CA125" s="699"/>
      <c r="CB125" s="699"/>
      <c r="CC125" s="699"/>
      <c r="CD125" s="699"/>
    </row>
    <row r="126" spans="1:82" s="395" customFormat="1" ht="34.950000000000003" customHeight="1">
      <c r="A126" s="700" t="s">
        <v>1138</v>
      </c>
      <c r="B126" s="701" t="s">
        <v>1139</v>
      </c>
      <c r="C126" s="220">
        <f>C125+1</f>
        <v>93</v>
      </c>
      <c r="D126" s="220">
        <v>20101</v>
      </c>
      <c r="E126" s="235" t="s">
        <v>1224</v>
      </c>
      <c r="F126" s="349">
        <v>3400000</v>
      </c>
      <c r="G126" s="349"/>
      <c r="H126" s="349">
        <f>F126-G126</f>
        <v>3400000</v>
      </c>
      <c r="I126" s="349"/>
      <c r="J126" s="349"/>
      <c r="K126" s="349"/>
      <c r="L126" s="349"/>
      <c r="M126" s="349">
        <f>SUM(K126:L126)</f>
        <v>0</v>
      </c>
      <c r="N126" s="349">
        <f>M126+J126</f>
        <v>0</v>
      </c>
      <c r="O126" s="349">
        <v>3400000</v>
      </c>
      <c r="P126" s="349">
        <f>F126-N126-O126</f>
        <v>0</v>
      </c>
      <c r="Q126" s="349">
        <f>I126-N126</f>
        <v>0</v>
      </c>
      <c r="R126" s="349">
        <f>O126-Q126</f>
        <v>3400000</v>
      </c>
      <c r="S126" s="349"/>
      <c r="T126" s="349">
        <f>R126-S126</f>
        <v>3400000</v>
      </c>
      <c r="U126" s="349">
        <f>T126-V126-X126</f>
        <v>3400000</v>
      </c>
      <c r="V126" s="349"/>
      <c r="W126" s="349"/>
      <c r="X126" s="349"/>
      <c r="Y126" s="221" t="s">
        <v>1225</v>
      </c>
      <c r="Z126" s="349"/>
      <c r="AA126" s="349"/>
      <c r="AB126" s="349"/>
      <c r="AC126" s="349"/>
      <c r="AD126" s="349"/>
      <c r="AE126" s="349"/>
      <c r="AF126" s="349"/>
      <c r="AG126" s="349"/>
      <c r="AH126" s="349">
        <v>3400000</v>
      </c>
      <c r="AI126" s="349"/>
      <c r="AJ126" s="349">
        <f>SUM(Z126:AI126)</f>
        <v>3400000</v>
      </c>
      <c r="AK126" s="349">
        <f>T126-AJ126</f>
        <v>0</v>
      </c>
      <c r="AL126" s="349">
        <f>AI126-AM126-AO126</f>
        <v>0</v>
      </c>
      <c r="AM126" s="349"/>
      <c r="AN126" s="349"/>
      <c r="AO126" s="862"/>
      <c r="AP126" s="349">
        <f>AJ126-AQ126-AU126</f>
        <v>3400000</v>
      </c>
      <c r="AQ126" s="349"/>
      <c r="AR126" s="349"/>
      <c r="AS126" s="349"/>
      <c r="AT126" s="349"/>
      <c r="AU126" s="349"/>
      <c r="AV126" s="319"/>
      <c r="AW126" s="319"/>
      <c r="AX126" s="319"/>
      <c r="AY126" s="319"/>
      <c r="AZ126" s="394"/>
      <c r="BA126" s="394"/>
      <c r="BB126" s="394"/>
      <c r="BC126" s="394"/>
      <c r="BD126" s="394"/>
      <c r="BE126" s="394"/>
      <c r="BF126" s="394"/>
      <c r="BG126" s="394"/>
      <c r="BH126" s="122"/>
      <c r="BK126" s="122"/>
      <c r="BL126" s="122"/>
      <c r="BM126" s="122"/>
      <c r="BN126" s="699"/>
      <c r="BO126" s="699"/>
      <c r="BP126" s="699"/>
      <c r="BQ126" s="699"/>
      <c r="BR126" s="699"/>
      <c r="BS126" s="699"/>
      <c r="BT126" s="699"/>
      <c r="BU126" s="699"/>
      <c r="BV126" s="699"/>
    </row>
    <row r="127" spans="1:82" s="395" customFormat="1" ht="34.950000000000003" customHeight="1">
      <c r="A127" s="700" t="s">
        <v>1286</v>
      </c>
      <c r="B127" s="701" t="s">
        <v>1297</v>
      </c>
      <c r="C127" s="220">
        <f>C126+1</f>
        <v>94</v>
      </c>
      <c r="D127" s="220">
        <v>20103</v>
      </c>
      <c r="E127" s="235" t="s">
        <v>1005</v>
      </c>
      <c r="F127" s="349">
        <v>770000</v>
      </c>
      <c r="G127" s="349"/>
      <c r="H127" s="349">
        <f>F127-G127</f>
        <v>770000</v>
      </c>
      <c r="I127" s="349"/>
      <c r="J127" s="349"/>
      <c r="K127" s="349"/>
      <c r="L127" s="349"/>
      <c r="M127" s="349">
        <f>SUM(K127:L127)</f>
        <v>0</v>
      </c>
      <c r="N127" s="349">
        <f>M127+J127</f>
        <v>0</v>
      </c>
      <c r="O127" s="349">
        <v>770000</v>
      </c>
      <c r="P127" s="349">
        <f>F127-N127-O127</f>
        <v>0</v>
      </c>
      <c r="Q127" s="349">
        <f>I127-N127</f>
        <v>0</v>
      </c>
      <c r="R127" s="349">
        <f>O127-Q127</f>
        <v>770000</v>
      </c>
      <c r="S127" s="349"/>
      <c r="T127" s="349">
        <f>R127-S127</f>
        <v>770000</v>
      </c>
      <c r="U127" s="349">
        <f>T127-V127-X127-W127</f>
        <v>0</v>
      </c>
      <c r="V127" s="349"/>
      <c r="W127" s="349">
        <v>770000</v>
      </c>
      <c r="X127" s="349"/>
      <c r="Y127" s="221" t="s">
        <v>1006</v>
      </c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>
        <v>770000</v>
      </c>
      <c r="AJ127" s="349">
        <f>SUM(Z127:AI127)</f>
        <v>770000</v>
      </c>
      <c r="AK127" s="349">
        <f>T127-AJ127</f>
        <v>0</v>
      </c>
      <c r="AL127" s="349"/>
      <c r="AM127" s="349"/>
      <c r="AN127" s="349">
        <f>AI127</f>
        <v>770000</v>
      </c>
      <c r="AO127" s="862"/>
      <c r="AP127" s="349"/>
      <c r="AQ127" s="349"/>
      <c r="AR127" s="349">
        <f>AI127</f>
        <v>770000</v>
      </c>
      <c r="AS127" s="349"/>
      <c r="AT127" s="349"/>
      <c r="AU127" s="349"/>
      <c r="AV127" s="319"/>
      <c r="AW127" s="319"/>
      <c r="AX127" s="319"/>
      <c r="AY127" s="319"/>
      <c r="AZ127" s="394"/>
      <c r="BA127" s="394"/>
      <c r="BB127" s="394"/>
      <c r="BC127" s="394"/>
      <c r="BD127" s="394"/>
      <c r="BE127" s="394"/>
      <c r="BF127" s="394"/>
      <c r="BG127" s="394"/>
      <c r="BH127" s="122"/>
      <c r="BK127" s="122"/>
      <c r="BL127" s="122"/>
      <c r="BM127" s="122"/>
      <c r="BN127" s="699"/>
      <c r="BO127" s="699"/>
      <c r="BP127" s="699"/>
      <c r="BQ127" s="699"/>
      <c r="BR127" s="699"/>
      <c r="BS127" s="699"/>
      <c r="BT127" s="699"/>
      <c r="BU127" s="699"/>
      <c r="BV127" s="699"/>
    </row>
    <row r="128" spans="1:82" s="395" customFormat="1" ht="34.950000000000003" customHeight="1">
      <c r="A128" s="712"/>
      <c r="B128" s="866"/>
      <c r="C128" s="222">
        <f>COUNT(C125:C127)</f>
        <v>3</v>
      </c>
      <c r="D128" s="222"/>
      <c r="E128" s="137" t="s">
        <v>652</v>
      </c>
      <c r="F128" s="857">
        <f>SUM(F125:F127)</f>
        <v>4450000</v>
      </c>
      <c r="G128" s="857">
        <f t="shared" ref="G128:AQ128" si="60">SUM(G125:G127)</f>
        <v>0</v>
      </c>
      <c r="H128" s="857">
        <f t="shared" si="60"/>
        <v>4450000</v>
      </c>
      <c r="I128" s="857">
        <f t="shared" si="60"/>
        <v>0</v>
      </c>
      <c r="J128" s="857">
        <f t="shared" si="60"/>
        <v>0</v>
      </c>
      <c r="K128" s="857">
        <f t="shared" si="60"/>
        <v>0</v>
      </c>
      <c r="L128" s="857">
        <f t="shared" si="60"/>
        <v>0</v>
      </c>
      <c r="M128" s="857">
        <f t="shared" si="60"/>
        <v>0</v>
      </c>
      <c r="N128" s="857">
        <f t="shared" si="60"/>
        <v>0</v>
      </c>
      <c r="O128" s="857">
        <f t="shared" si="60"/>
        <v>4450000</v>
      </c>
      <c r="P128" s="857">
        <f t="shared" si="60"/>
        <v>0</v>
      </c>
      <c r="Q128" s="857">
        <f t="shared" si="60"/>
        <v>0</v>
      </c>
      <c r="R128" s="857">
        <f t="shared" si="60"/>
        <v>4450000</v>
      </c>
      <c r="S128" s="857">
        <f t="shared" si="60"/>
        <v>0</v>
      </c>
      <c r="T128" s="857">
        <f t="shared" si="60"/>
        <v>4450000</v>
      </c>
      <c r="U128" s="857">
        <f t="shared" si="60"/>
        <v>3680000</v>
      </c>
      <c r="V128" s="857">
        <f t="shared" si="60"/>
        <v>0</v>
      </c>
      <c r="W128" s="857">
        <f t="shared" si="60"/>
        <v>770000</v>
      </c>
      <c r="X128" s="857">
        <f t="shared" si="60"/>
        <v>0</v>
      </c>
      <c r="Y128" s="857"/>
      <c r="Z128" s="857">
        <f t="shared" si="60"/>
        <v>0</v>
      </c>
      <c r="AA128" s="857">
        <f t="shared" si="60"/>
        <v>0</v>
      </c>
      <c r="AB128" s="857">
        <f t="shared" si="60"/>
        <v>280000</v>
      </c>
      <c r="AC128" s="857">
        <f t="shared" si="60"/>
        <v>0</v>
      </c>
      <c r="AD128" s="857">
        <f t="shared" si="60"/>
        <v>0</v>
      </c>
      <c r="AE128" s="857">
        <f t="shared" si="60"/>
        <v>0</v>
      </c>
      <c r="AF128" s="857">
        <f t="shared" si="60"/>
        <v>0</v>
      </c>
      <c r="AG128" s="857">
        <f t="shared" si="60"/>
        <v>0</v>
      </c>
      <c r="AH128" s="857">
        <f t="shared" si="60"/>
        <v>3400000</v>
      </c>
      <c r="AI128" s="857">
        <f t="shared" si="60"/>
        <v>770000</v>
      </c>
      <c r="AJ128" s="857">
        <f t="shared" si="60"/>
        <v>4450000</v>
      </c>
      <c r="AK128" s="857">
        <f t="shared" si="60"/>
        <v>0</v>
      </c>
      <c r="AL128" s="857">
        <f t="shared" si="60"/>
        <v>0</v>
      </c>
      <c r="AM128" s="857">
        <f t="shared" si="60"/>
        <v>0</v>
      </c>
      <c r="AN128" s="857">
        <f t="shared" si="60"/>
        <v>770000</v>
      </c>
      <c r="AO128" s="857">
        <f t="shared" si="60"/>
        <v>0</v>
      </c>
      <c r="AP128" s="857">
        <f t="shared" si="60"/>
        <v>3680000</v>
      </c>
      <c r="AQ128" s="857">
        <f t="shared" si="60"/>
        <v>0</v>
      </c>
      <c r="AR128" s="857">
        <f>SUM(AR125:AR127)</f>
        <v>770000</v>
      </c>
      <c r="AS128" s="857">
        <f>SUM(AS125:AS127)</f>
        <v>0</v>
      </c>
      <c r="AT128" s="857">
        <f>SUM(AT125:AT127)</f>
        <v>0</v>
      </c>
      <c r="AU128" s="857">
        <f>SUM(AU125:AU127)</f>
        <v>0</v>
      </c>
      <c r="AV128" s="698"/>
      <c r="AW128" s="698"/>
      <c r="AX128" s="698"/>
      <c r="AY128" s="698"/>
      <c r="AZ128" s="319"/>
      <c r="BA128" s="319"/>
      <c r="BB128" s="319"/>
      <c r="BC128" s="319"/>
      <c r="BD128" s="319"/>
      <c r="BE128" s="319"/>
      <c r="BF128" s="319"/>
      <c r="BG128" s="319"/>
      <c r="BH128" s="394"/>
      <c r="BI128" s="394"/>
      <c r="BJ128" s="394"/>
      <c r="BK128" s="394"/>
      <c r="BL128" s="394"/>
      <c r="BM128" s="394"/>
      <c r="BN128" s="394"/>
      <c r="BO128" s="394"/>
      <c r="BP128" s="122"/>
      <c r="BS128" s="122"/>
      <c r="BT128" s="122"/>
      <c r="BU128" s="122"/>
      <c r="BV128" s="699"/>
      <c r="BW128" s="699"/>
      <c r="BX128" s="699"/>
      <c r="BY128" s="699"/>
      <c r="BZ128" s="699"/>
      <c r="CA128" s="699"/>
      <c r="CB128" s="699"/>
      <c r="CC128" s="699"/>
      <c r="CD128" s="699"/>
    </row>
    <row r="129" spans="1:82" s="61" customFormat="1" ht="34.950000000000003" customHeight="1">
      <c r="A129" s="702"/>
      <c r="B129" s="864"/>
      <c r="C129" s="855"/>
      <c r="D129" s="856"/>
      <c r="E129" s="852"/>
      <c r="F129" s="857"/>
      <c r="G129" s="857"/>
      <c r="H129" s="857"/>
      <c r="I129" s="857"/>
      <c r="J129" s="857"/>
      <c r="K129" s="857"/>
      <c r="L129" s="857"/>
      <c r="M129" s="857"/>
      <c r="N129" s="857"/>
      <c r="O129" s="857"/>
      <c r="P129" s="857"/>
      <c r="Q129" s="857"/>
      <c r="R129" s="857"/>
      <c r="S129" s="857"/>
      <c r="T129" s="857"/>
      <c r="U129" s="857"/>
      <c r="V129" s="857"/>
      <c r="W129" s="857"/>
      <c r="X129" s="857"/>
      <c r="Y129" s="138"/>
      <c r="Z129" s="857"/>
      <c r="AA129" s="857"/>
      <c r="AB129" s="857"/>
      <c r="AC129" s="857"/>
      <c r="AD129" s="857"/>
      <c r="AE129" s="857"/>
      <c r="AF129" s="857"/>
      <c r="AG129" s="857"/>
      <c r="AH129" s="857"/>
      <c r="AI129" s="857"/>
      <c r="AJ129" s="349">
        <f>SUM(Z129:AI129)</f>
        <v>0</v>
      </c>
      <c r="AK129" s="349">
        <f>T129-AJ129</f>
        <v>0</v>
      </c>
      <c r="AL129" s="349">
        <f>AB129-AM129-AO129</f>
        <v>0</v>
      </c>
      <c r="AM129" s="349"/>
      <c r="AN129" s="349"/>
      <c r="AO129" s="349"/>
      <c r="AP129" s="349">
        <f>AJ129-AQ129-AU129</f>
        <v>0</v>
      </c>
      <c r="AQ129" s="349"/>
      <c r="AR129" s="349"/>
      <c r="AS129" s="349"/>
      <c r="AT129" s="349"/>
      <c r="AU129" s="349"/>
      <c r="AV129" s="690"/>
      <c r="AW129" s="690"/>
      <c r="AX129" s="690"/>
      <c r="AY129" s="690"/>
      <c r="AZ129" s="157"/>
      <c r="BA129" s="157"/>
      <c r="BB129" s="157"/>
      <c r="BC129" s="157"/>
      <c r="BD129" s="157"/>
      <c r="BE129" s="157"/>
      <c r="BF129" s="157"/>
      <c r="BG129" s="157"/>
      <c r="BH129" s="691"/>
      <c r="BI129" s="691"/>
      <c r="BJ129" s="691"/>
      <c r="BK129" s="691"/>
      <c r="BL129" s="691"/>
      <c r="BM129" s="691"/>
      <c r="BN129" s="691"/>
      <c r="BO129" s="691"/>
      <c r="BP129" s="51"/>
      <c r="BS129" s="51"/>
      <c r="BT129" s="51"/>
      <c r="BU129" s="51"/>
      <c r="BV129" s="688"/>
      <c r="BW129" s="688"/>
      <c r="BX129" s="688"/>
      <c r="BY129" s="688"/>
      <c r="BZ129" s="688"/>
      <c r="CA129" s="688"/>
      <c r="CB129" s="688"/>
      <c r="CC129" s="688"/>
      <c r="CD129" s="688"/>
    </row>
    <row r="130" spans="1:82" s="395" customFormat="1" ht="34.950000000000003" customHeight="1">
      <c r="A130" s="697"/>
      <c r="B130" s="873"/>
      <c r="C130" s="220"/>
      <c r="D130" s="220"/>
      <c r="E130" s="137" t="s">
        <v>202</v>
      </c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220"/>
      <c r="Y130" s="135"/>
      <c r="Z130" s="220"/>
      <c r="AA130" s="220"/>
      <c r="AB130" s="220"/>
      <c r="AC130" s="220"/>
      <c r="AD130" s="220"/>
      <c r="AE130" s="220"/>
      <c r="AF130" s="220"/>
      <c r="AG130" s="220"/>
      <c r="AH130" s="220"/>
      <c r="AI130" s="220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698"/>
      <c r="AW130" s="698"/>
      <c r="AX130" s="698"/>
      <c r="AY130" s="698"/>
      <c r="AZ130" s="319"/>
      <c r="BA130" s="319"/>
      <c r="BB130" s="319"/>
      <c r="BC130" s="319"/>
      <c r="BD130" s="319"/>
      <c r="BE130" s="319"/>
      <c r="BF130" s="319"/>
      <c r="BG130" s="319"/>
      <c r="BH130" s="394"/>
      <c r="BI130" s="394"/>
      <c r="BJ130" s="394"/>
      <c r="BK130" s="394"/>
      <c r="BL130" s="394"/>
      <c r="BM130" s="394"/>
      <c r="BN130" s="394"/>
      <c r="BO130" s="394"/>
      <c r="BP130" s="122"/>
      <c r="BS130" s="122"/>
      <c r="BT130" s="122"/>
      <c r="BU130" s="122"/>
      <c r="BV130" s="699"/>
      <c r="BW130" s="699"/>
      <c r="BX130" s="699"/>
      <c r="BY130" s="699"/>
      <c r="BZ130" s="699"/>
      <c r="CA130" s="699"/>
      <c r="CB130" s="699"/>
      <c r="CC130" s="699"/>
      <c r="CD130" s="699"/>
    </row>
    <row r="131" spans="1:82" s="395" customFormat="1" ht="34.950000000000003" customHeight="1">
      <c r="A131" s="700" t="s">
        <v>1172</v>
      </c>
      <c r="B131" s="701" t="s">
        <v>1139</v>
      </c>
      <c r="C131" s="220">
        <v>95</v>
      </c>
      <c r="D131" s="220">
        <v>20080</v>
      </c>
      <c r="E131" s="235" t="s">
        <v>914</v>
      </c>
      <c r="F131" s="349">
        <v>4000000</v>
      </c>
      <c r="G131" s="349">
        <v>4000000</v>
      </c>
      <c r="H131" s="349">
        <f>F131-G131</f>
        <v>0</v>
      </c>
      <c r="I131" s="349"/>
      <c r="J131" s="349"/>
      <c r="K131" s="349"/>
      <c r="L131" s="349"/>
      <c r="M131" s="349">
        <f>SUM(K131:L131)</f>
        <v>0</v>
      </c>
      <c r="N131" s="349">
        <f>M131+J131</f>
        <v>0</v>
      </c>
      <c r="O131" s="349">
        <f>4000000-950000</f>
        <v>3050000</v>
      </c>
      <c r="P131" s="349">
        <f>F131-N131-O131</f>
        <v>950000</v>
      </c>
      <c r="Q131" s="349">
        <f>I131-N131</f>
        <v>0</v>
      </c>
      <c r="R131" s="349">
        <f>O131-Q131</f>
        <v>3050000</v>
      </c>
      <c r="S131" s="349">
        <v>4000000</v>
      </c>
      <c r="T131" s="349">
        <f>R131-S131</f>
        <v>-950000</v>
      </c>
      <c r="U131" s="349">
        <f>T131-V131-X131</f>
        <v>0</v>
      </c>
      <c r="V131" s="349">
        <v>-950000</v>
      </c>
      <c r="W131" s="349"/>
      <c r="X131" s="349"/>
      <c r="Y131" s="221" t="s">
        <v>1140</v>
      </c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>
        <f>SUM(Z131:AI131)</f>
        <v>0</v>
      </c>
      <c r="AK131" s="349">
        <f>T131-AJ131</f>
        <v>-950000</v>
      </c>
      <c r="AL131" s="349">
        <f>AI131-AM131-AO131</f>
        <v>0</v>
      </c>
      <c r="AM131" s="349"/>
      <c r="AN131" s="349"/>
      <c r="AO131" s="862"/>
      <c r="AP131" s="349">
        <f>AJ131-AQ131-AU131</f>
        <v>0</v>
      </c>
      <c r="AQ131" s="349"/>
      <c r="AR131" s="349"/>
      <c r="AS131" s="349"/>
      <c r="AT131" s="349"/>
      <c r="AU131" s="349"/>
      <c r="AV131" s="319"/>
      <c r="AW131" s="319"/>
      <c r="AX131" s="319"/>
      <c r="AY131" s="319"/>
      <c r="AZ131" s="394"/>
      <c r="BA131" s="394"/>
      <c r="BB131" s="394"/>
      <c r="BC131" s="394"/>
      <c r="BD131" s="394"/>
      <c r="BE131" s="394"/>
      <c r="BF131" s="394"/>
      <c r="BG131" s="394"/>
      <c r="BH131" s="122"/>
      <c r="BK131" s="122"/>
      <c r="BL131" s="122"/>
      <c r="BM131" s="122"/>
      <c r="BN131" s="699"/>
      <c r="BO131" s="699"/>
      <c r="BP131" s="699"/>
      <c r="BQ131" s="699"/>
      <c r="BR131" s="699"/>
      <c r="BS131" s="699"/>
      <c r="BT131" s="699"/>
      <c r="BU131" s="699"/>
      <c r="BV131" s="699"/>
    </row>
    <row r="132" spans="1:82" s="395" customFormat="1" ht="34.950000000000003" customHeight="1">
      <c r="A132" s="712"/>
      <c r="B132" s="866"/>
      <c r="C132" s="222">
        <f>COUNT(C131)</f>
        <v>1</v>
      </c>
      <c r="D132" s="222"/>
      <c r="E132" s="137" t="s">
        <v>299</v>
      </c>
      <c r="F132" s="857">
        <f t="shared" ref="F132:V132" si="61">SUM(F131)</f>
        <v>4000000</v>
      </c>
      <c r="G132" s="857">
        <f t="shared" si="61"/>
        <v>4000000</v>
      </c>
      <c r="H132" s="857">
        <f t="shared" si="61"/>
        <v>0</v>
      </c>
      <c r="I132" s="857">
        <f t="shared" si="61"/>
        <v>0</v>
      </c>
      <c r="J132" s="857">
        <f t="shared" si="61"/>
        <v>0</v>
      </c>
      <c r="K132" s="857">
        <f t="shared" si="61"/>
        <v>0</v>
      </c>
      <c r="L132" s="857">
        <f t="shared" si="61"/>
        <v>0</v>
      </c>
      <c r="M132" s="857">
        <f t="shared" si="61"/>
        <v>0</v>
      </c>
      <c r="N132" s="857">
        <f t="shared" si="61"/>
        <v>0</v>
      </c>
      <c r="O132" s="857">
        <f t="shared" si="61"/>
        <v>3050000</v>
      </c>
      <c r="P132" s="857">
        <f t="shared" si="61"/>
        <v>950000</v>
      </c>
      <c r="Q132" s="857">
        <f t="shared" si="61"/>
        <v>0</v>
      </c>
      <c r="R132" s="857">
        <f t="shared" si="61"/>
        <v>3050000</v>
      </c>
      <c r="S132" s="857">
        <f t="shared" si="61"/>
        <v>4000000</v>
      </c>
      <c r="T132" s="857">
        <f t="shared" si="61"/>
        <v>-950000</v>
      </c>
      <c r="U132" s="857">
        <f t="shared" si="61"/>
        <v>0</v>
      </c>
      <c r="V132" s="857">
        <f t="shared" si="61"/>
        <v>-950000</v>
      </c>
      <c r="W132" s="857"/>
      <c r="X132" s="857">
        <f>SUM(X131)</f>
        <v>0</v>
      </c>
      <c r="Y132" s="857"/>
      <c r="Z132" s="857">
        <f t="shared" ref="Z132:AM132" si="62">SUM(Z131)</f>
        <v>0</v>
      </c>
      <c r="AA132" s="857">
        <f t="shared" si="62"/>
        <v>0</v>
      </c>
      <c r="AB132" s="857">
        <f t="shared" si="62"/>
        <v>0</v>
      </c>
      <c r="AC132" s="857">
        <f t="shared" si="62"/>
        <v>0</v>
      </c>
      <c r="AD132" s="857">
        <f t="shared" si="62"/>
        <v>0</v>
      </c>
      <c r="AE132" s="857">
        <f t="shared" si="62"/>
        <v>0</v>
      </c>
      <c r="AF132" s="857">
        <f t="shared" si="62"/>
        <v>0</v>
      </c>
      <c r="AG132" s="857">
        <f t="shared" si="62"/>
        <v>0</v>
      </c>
      <c r="AH132" s="857">
        <f t="shared" si="62"/>
        <v>0</v>
      </c>
      <c r="AI132" s="857">
        <f t="shared" si="62"/>
        <v>0</v>
      </c>
      <c r="AJ132" s="857">
        <f t="shared" si="62"/>
        <v>0</v>
      </c>
      <c r="AK132" s="857">
        <f t="shared" si="62"/>
        <v>-950000</v>
      </c>
      <c r="AL132" s="857">
        <f t="shared" si="62"/>
        <v>0</v>
      </c>
      <c r="AM132" s="857">
        <f t="shared" si="62"/>
        <v>0</v>
      </c>
      <c r="AN132" s="857"/>
      <c r="AO132" s="857">
        <f>SUM(AO131)</f>
        <v>0</v>
      </c>
      <c r="AP132" s="857">
        <f>SUM(AP131)</f>
        <v>0</v>
      </c>
      <c r="AQ132" s="857">
        <f>SUM(AQ131)</f>
        <v>0</v>
      </c>
      <c r="AR132" s="857"/>
      <c r="AS132" s="857"/>
      <c r="AT132" s="857"/>
      <c r="AU132" s="857">
        <f>SUM(AU131)</f>
        <v>0</v>
      </c>
      <c r="AV132" s="698"/>
      <c r="AW132" s="698"/>
      <c r="AX132" s="698"/>
      <c r="AY132" s="698"/>
      <c r="AZ132" s="319"/>
      <c r="BA132" s="319"/>
      <c r="BB132" s="319"/>
      <c r="BC132" s="319"/>
      <c r="BD132" s="319"/>
      <c r="BE132" s="319"/>
      <c r="BF132" s="319"/>
      <c r="BG132" s="319"/>
      <c r="BH132" s="394"/>
      <c r="BI132" s="394"/>
      <c r="BJ132" s="394"/>
      <c r="BK132" s="394"/>
      <c r="BL132" s="394"/>
      <c r="BM132" s="394"/>
      <c r="BN132" s="394"/>
      <c r="BO132" s="394"/>
      <c r="BP132" s="122"/>
      <c r="BS132" s="122"/>
      <c r="BT132" s="122"/>
      <c r="BU132" s="122"/>
      <c r="BV132" s="699"/>
      <c r="BW132" s="699"/>
      <c r="BX132" s="699"/>
      <c r="BY132" s="699"/>
      <c r="BZ132" s="699"/>
      <c r="CA132" s="699"/>
      <c r="CB132" s="699"/>
      <c r="CC132" s="699"/>
      <c r="CD132" s="699"/>
    </row>
    <row r="133" spans="1:82" s="61" customFormat="1" ht="34.950000000000003" customHeight="1">
      <c r="A133" s="702"/>
      <c r="B133" s="864"/>
      <c r="C133" s="855"/>
      <c r="D133" s="856"/>
      <c r="E133" s="852"/>
      <c r="F133" s="857"/>
      <c r="G133" s="857"/>
      <c r="H133" s="857"/>
      <c r="I133" s="857"/>
      <c r="J133" s="857"/>
      <c r="K133" s="857"/>
      <c r="L133" s="857"/>
      <c r="M133" s="857"/>
      <c r="N133" s="857"/>
      <c r="O133" s="857"/>
      <c r="P133" s="857"/>
      <c r="Q133" s="857"/>
      <c r="R133" s="857"/>
      <c r="S133" s="857"/>
      <c r="T133" s="857"/>
      <c r="U133" s="857"/>
      <c r="V133" s="857"/>
      <c r="W133" s="857"/>
      <c r="X133" s="857"/>
      <c r="Y133" s="857"/>
      <c r="Z133" s="857"/>
      <c r="AA133" s="857"/>
      <c r="AB133" s="857"/>
      <c r="AC133" s="857"/>
      <c r="AD133" s="857"/>
      <c r="AE133" s="857"/>
      <c r="AF133" s="857"/>
      <c r="AG133" s="857"/>
      <c r="AH133" s="857"/>
      <c r="AI133" s="857"/>
      <c r="AJ133" s="857"/>
      <c r="AK133" s="857"/>
      <c r="AL133" s="857"/>
      <c r="AM133" s="857"/>
      <c r="AN133" s="857"/>
      <c r="AO133" s="857"/>
      <c r="AP133" s="857"/>
      <c r="AQ133" s="857"/>
      <c r="AR133" s="857"/>
      <c r="AS133" s="857"/>
      <c r="AT133" s="857"/>
      <c r="AU133" s="857"/>
      <c r="AV133" s="690"/>
      <c r="AW133" s="690"/>
      <c r="AX133" s="690"/>
      <c r="AY133" s="690"/>
      <c r="AZ133" s="157"/>
      <c r="BA133" s="157"/>
      <c r="BB133" s="157"/>
      <c r="BC133" s="157"/>
      <c r="BD133" s="157"/>
      <c r="BE133" s="157"/>
      <c r="BF133" s="157"/>
      <c r="BG133" s="157"/>
      <c r="BH133" s="691"/>
      <c r="BI133" s="691"/>
      <c r="BJ133" s="691"/>
      <c r="BK133" s="691"/>
      <c r="BL133" s="691"/>
      <c r="BM133" s="691"/>
      <c r="BN133" s="691"/>
      <c r="BO133" s="691"/>
      <c r="BP133" s="51"/>
      <c r="BS133" s="51"/>
      <c r="BT133" s="51"/>
      <c r="BU133" s="51"/>
      <c r="BV133" s="688"/>
      <c r="BW133" s="688"/>
      <c r="BX133" s="688"/>
      <c r="BY133" s="688"/>
      <c r="BZ133" s="688"/>
      <c r="CA133" s="688"/>
      <c r="CB133" s="688"/>
      <c r="CC133" s="688"/>
      <c r="CD133" s="688"/>
    </row>
    <row r="134" spans="1:82" s="61" customFormat="1" ht="34.950000000000003" customHeight="1">
      <c r="A134" s="697"/>
      <c r="B134" s="863"/>
      <c r="C134" s="140"/>
      <c r="D134" s="847"/>
      <c r="E134" s="852" t="s">
        <v>1226</v>
      </c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140"/>
      <c r="Y134" s="226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690"/>
      <c r="AW134" s="690"/>
      <c r="AX134" s="690"/>
      <c r="AY134" s="690"/>
      <c r="AZ134" s="157"/>
      <c r="BA134" s="157"/>
      <c r="BB134" s="157"/>
      <c r="BC134" s="157"/>
      <c r="BD134" s="157"/>
      <c r="BE134" s="157"/>
      <c r="BF134" s="157"/>
      <c r="BG134" s="157"/>
      <c r="BH134" s="691"/>
      <c r="BI134" s="691"/>
      <c r="BJ134" s="691"/>
      <c r="BK134" s="691"/>
      <c r="BL134" s="691"/>
      <c r="BM134" s="691"/>
      <c r="BN134" s="691"/>
      <c r="BO134" s="691"/>
      <c r="BP134" s="51"/>
      <c r="BS134" s="51"/>
      <c r="BT134" s="51"/>
      <c r="BU134" s="51"/>
      <c r="BV134" s="688"/>
      <c r="BW134" s="688"/>
      <c r="BX134" s="688"/>
      <c r="BY134" s="688"/>
      <c r="BZ134" s="688"/>
      <c r="CA134" s="688"/>
      <c r="CB134" s="688"/>
      <c r="CC134" s="688"/>
      <c r="CD134" s="688"/>
    </row>
    <row r="135" spans="1:82" s="395" customFormat="1" ht="34.950000000000003" customHeight="1">
      <c r="A135" s="700" t="s">
        <v>1286</v>
      </c>
      <c r="B135" s="701" t="s">
        <v>1297</v>
      </c>
      <c r="C135" s="220">
        <v>96</v>
      </c>
      <c r="D135" s="220">
        <v>2066</v>
      </c>
      <c r="E135" s="235" t="s">
        <v>282</v>
      </c>
      <c r="F135" s="349">
        <v>112500</v>
      </c>
      <c r="G135" s="349">
        <v>112500</v>
      </c>
      <c r="H135" s="349">
        <f>F135-G135</f>
        <v>0</v>
      </c>
      <c r="I135" s="349">
        <v>112500</v>
      </c>
      <c r="J135" s="349">
        <v>111299</v>
      </c>
      <c r="K135" s="349"/>
      <c r="L135" s="349"/>
      <c r="M135" s="349">
        <f>SUM(K135:L135)</f>
        <v>0</v>
      </c>
      <c r="N135" s="349">
        <f>M135+J135</f>
        <v>111299</v>
      </c>
      <c r="O135" s="349">
        <v>1201</v>
      </c>
      <c r="P135" s="349">
        <f>F135-N135-O135</f>
        <v>0</v>
      </c>
      <c r="Q135" s="349">
        <f>I135-N135</f>
        <v>1201</v>
      </c>
      <c r="R135" s="349">
        <f>O135-Q135</f>
        <v>0</v>
      </c>
      <c r="S135" s="349"/>
      <c r="T135" s="349">
        <f>R135-S135</f>
        <v>0</v>
      </c>
      <c r="U135" s="349">
        <f>T135-V135-X135</f>
        <v>0</v>
      </c>
      <c r="V135" s="349">
        <v>56250</v>
      </c>
      <c r="W135" s="853"/>
      <c r="X135" s="349">
        <v>-56250</v>
      </c>
      <c r="Y135" s="221" t="s">
        <v>1227</v>
      </c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>
        <f>SUM(Z135:AI135)</f>
        <v>0</v>
      </c>
      <c r="AK135" s="349">
        <f>T135-AJ135</f>
        <v>0</v>
      </c>
      <c r="AL135" s="349">
        <f>AI135-AM135-AO135</f>
        <v>0</v>
      </c>
      <c r="AM135" s="349">
        <v>56250</v>
      </c>
      <c r="AN135" s="349"/>
      <c r="AO135" s="349">
        <v>-56250</v>
      </c>
      <c r="AP135" s="349">
        <f>AJ135-AQ135-AU135</f>
        <v>0</v>
      </c>
      <c r="AQ135" s="349">
        <v>56250</v>
      </c>
      <c r="AR135" s="349"/>
      <c r="AS135" s="349"/>
      <c r="AT135" s="349"/>
      <c r="AU135" s="349">
        <v>-56250</v>
      </c>
      <c r="AV135" s="319"/>
      <c r="AW135" s="319"/>
      <c r="AX135" s="319"/>
      <c r="AY135" s="319"/>
      <c r="AZ135" s="394"/>
      <c r="BA135" s="394"/>
      <c r="BB135" s="394"/>
      <c r="BC135" s="394"/>
      <c r="BD135" s="394"/>
      <c r="BE135" s="394"/>
      <c r="BF135" s="394"/>
      <c r="BG135" s="394"/>
      <c r="BH135" s="122"/>
      <c r="BK135" s="122"/>
      <c r="BL135" s="122"/>
      <c r="BM135" s="122"/>
      <c r="BN135" s="699"/>
      <c r="BO135" s="699"/>
      <c r="BP135" s="699"/>
      <c r="BQ135" s="699"/>
      <c r="BR135" s="699"/>
      <c r="BS135" s="699"/>
      <c r="BT135" s="699"/>
      <c r="BU135" s="699"/>
      <c r="BV135" s="699"/>
    </row>
    <row r="136" spans="1:82" s="395" customFormat="1" ht="34.950000000000003" customHeight="1">
      <c r="A136" s="712"/>
      <c r="B136" s="866"/>
      <c r="C136" s="222">
        <f>COUNT(C135)</f>
        <v>1</v>
      </c>
      <c r="D136" s="222"/>
      <c r="E136" s="137" t="s">
        <v>299</v>
      </c>
      <c r="F136" s="857">
        <f t="shared" ref="F136:V136" si="63">SUM(F135)</f>
        <v>112500</v>
      </c>
      <c r="G136" s="857">
        <f t="shared" si="63"/>
        <v>112500</v>
      </c>
      <c r="H136" s="857">
        <f t="shared" si="63"/>
        <v>0</v>
      </c>
      <c r="I136" s="857">
        <f t="shared" si="63"/>
        <v>112500</v>
      </c>
      <c r="J136" s="857">
        <f t="shared" si="63"/>
        <v>111299</v>
      </c>
      <c r="K136" s="857">
        <f t="shared" si="63"/>
        <v>0</v>
      </c>
      <c r="L136" s="857">
        <f t="shared" si="63"/>
        <v>0</v>
      </c>
      <c r="M136" s="857">
        <f t="shared" si="63"/>
        <v>0</v>
      </c>
      <c r="N136" s="857">
        <f t="shared" si="63"/>
        <v>111299</v>
      </c>
      <c r="O136" s="857">
        <f t="shared" si="63"/>
        <v>1201</v>
      </c>
      <c r="P136" s="857">
        <f t="shared" si="63"/>
        <v>0</v>
      </c>
      <c r="Q136" s="857">
        <f t="shared" si="63"/>
        <v>1201</v>
      </c>
      <c r="R136" s="857">
        <f t="shared" si="63"/>
        <v>0</v>
      </c>
      <c r="S136" s="857">
        <f t="shared" si="63"/>
        <v>0</v>
      </c>
      <c r="T136" s="857">
        <f t="shared" si="63"/>
        <v>0</v>
      </c>
      <c r="U136" s="857">
        <f t="shared" si="63"/>
        <v>0</v>
      </c>
      <c r="V136" s="857">
        <f t="shared" si="63"/>
        <v>56250</v>
      </c>
      <c r="W136" s="857"/>
      <c r="X136" s="857">
        <f>SUM(X135)</f>
        <v>-56250</v>
      </c>
      <c r="Y136" s="857"/>
      <c r="Z136" s="857">
        <f t="shared" ref="Z136:AM136" si="64">SUM(Z135)</f>
        <v>0</v>
      </c>
      <c r="AA136" s="857">
        <f t="shared" si="64"/>
        <v>0</v>
      </c>
      <c r="AB136" s="857">
        <f t="shared" si="64"/>
        <v>0</v>
      </c>
      <c r="AC136" s="857">
        <f t="shared" si="64"/>
        <v>0</v>
      </c>
      <c r="AD136" s="857">
        <f t="shared" si="64"/>
        <v>0</v>
      </c>
      <c r="AE136" s="857">
        <f t="shared" si="64"/>
        <v>0</v>
      </c>
      <c r="AF136" s="857">
        <f t="shared" si="64"/>
        <v>0</v>
      </c>
      <c r="AG136" s="857">
        <f t="shared" si="64"/>
        <v>0</v>
      </c>
      <c r="AH136" s="857">
        <f t="shared" si="64"/>
        <v>0</v>
      </c>
      <c r="AI136" s="857">
        <f t="shared" si="64"/>
        <v>0</v>
      </c>
      <c r="AJ136" s="857">
        <f t="shared" si="64"/>
        <v>0</v>
      </c>
      <c r="AK136" s="857">
        <f t="shared" si="64"/>
        <v>0</v>
      </c>
      <c r="AL136" s="857">
        <f t="shared" si="64"/>
        <v>0</v>
      </c>
      <c r="AM136" s="857">
        <f t="shared" si="64"/>
        <v>56250</v>
      </c>
      <c r="AN136" s="857"/>
      <c r="AO136" s="857">
        <f t="shared" ref="AO136:AU136" si="65">SUM(AO135)</f>
        <v>-56250</v>
      </c>
      <c r="AP136" s="857">
        <f t="shared" si="65"/>
        <v>0</v>
      </c>
      <c r="AQ136" s="857">
        <f t="shared" si="65"/>
        <v>56250</v>
      </c>
      <c r="AR136" s="857">
        <f t="shared" si="65"/>
        <v>0</v>
      </c>
      <c r="AS136" s="857">
        <f t="shared" si="65"/>
        <v>0</v>
      </c>
      <c r="AT136" s="857">
        <f t="shared" si="65"/>
        <v>0</v>
      </c>
      <c r="AU136" s="857">
        <f t="shared" si="65"/>
        <v>-56250</v>
      </c>
      <c r="AV136" s="698"/>
      <c r="AW136" s="698"/>
      <c r="AX136" s="698"/>
      <c r="AY136" s="698"/>
      <c r="AZ136" s="319"/>
      <c r="BA136" s="319"/>
      <c r="BB136" s="319"/>
      <c r="BC136" s="319"/>
      <c r="BD136" s="319"/>
      <c r="BE136" s="319"/>
      <c r="BF136" s="319"/>
      <c r="BG136" s="319"/>
      <c r="BH136" s="394"/>
      <c r="BI136" s="394"/>
      <c r="BJ136" s="394"/>
      <c r="BK136" s="394"/>
      <c r="BL136" s="394"/>
      <c r="BM136" s="394"/>
      <c r="BN136" s="394"/>
      <c r="BO136" s="394"/>
      <c r="BP136" s="122"/>
      <c r="BS136" s="122"/>
      <c r="BT136" s="122"/>
      <c r="BU136" s="122"/>
      <c r="BV136" s="699"/>
      <c r="BW136" s="699"/>
      <c r="BX136" s="699"/>
      <c r="BY136" s="699"/>
      <c r="BZ136" s="699"/>
      <c r="CA136" s="699"/>
      <c r="CB136" s="699"/>
      <c r="CC136" s="699"/>
      <c r="CD136" s="699"/>
    </row>
    <row r="137" spans="1:82" s="61" customFormat="1" ht="34.950000000000003" customHeight="1">
      <c r="A137" s="697"/>
      <c r="B137" s="701"/>
      <c r="C137" s="855"/>
      <c r="D137" s="856"/>
      <c r="E137" s="852"/>
      <c r="F137" s="857"/>
      <c r="G137" s="857"/>
      <c r="H137" s="857"/>
      <c r="I137" s="857"/>
      <c r="J137" s="857"/>
      <c r="K137" s="857"/>
      <c r="L137" s="857"/>
      <c r="M137" s="857"/>
      <c r="N137" s="857"/>
      <c r="O137" s="857"/>
      <c r="P137" s="857"/>
      <c r="Q137" s="857"/>
      <c r="R137" s="857"/>
      <c r="S137" s="857"/>
      <c r="T137" s="857"/>
      <c r="U137" s="857"/>
      <c r="V137" s="857"/>
      <c r="W137" s="857"/>
      <c r="X137" s="857"/>
      <c r="Y137" s="138"/>
      <c r="Z137" s="857"/>
      <c r="AA137" s="857"/>
      <c r="AB137" s="857"/>
      <c r="AC137" s="857"/>
      <c r="AD137" s="857"/>
      <c r="AE137" s="857"/>
      <c r="AF137" s="857"/>
      <c r="AG137" s="857"/>
      <c r="AH137" s="857"/>
      <c r="AI137" s="857"/>
      <c r="AJ137" s="349">
        <f>SUM(Z137:AI137)</f>
        <v>0</v>
      </c>
      <c r="AK137" s="349">
        <f>T137-AJ137</f>
        <v>0</v>
      </c>
      <c r="AL137" s="349">
        <f>AB137-AM137-AO137</f>
        <v>0</v>
      </c>
      <c r="AM137" s="349"/>
      <c r="AN137" s="349"/>
      <c r="AO137" s="349"/>
      <c r="AP137" s="349">
        <f>AJ137-AQ137-AU137</f>
        <v>0</v>
      </c>
      <c r="AQ137" s="349"/>
      <c r="AR137" s="349"/>
      <c r="AS137" s="349"/>
      <c r="AT137" s="349"/>
      <c r="AU137" s="349"/>
      <c r="AV137" s="690"/>
      <c r="AW137" s="690"/>
      <c r="AX137" s="690"/>
      <c r="AY137" s="690"/>
      <c r="AZ137" s="157"/>
      <c r="BA137" s="157"/>
      <c r="BB137" s="157"/>
      <c r="BC137" s="157"/>
      <c r="BD137" s="157"/>
      <c r="BE137" s="157"/>
      <c r="BF137" s="157"/>
      <c r="BG137" s="157"/>
      <c r="BH137" s="691"/>
      <c r="BI137" s="691"/>
      <c r="BJ137" s="691"/>
      <c r="BK137" s="691"/>
      <c r="BL137" s="691"/>
      <c r="BM137" s="691"/>
      <c r="BN137" s="691"/>
      <c r="BO137" s="691"/>
      <c r="BP137" s="51"/>
      <c r="BS137" s="51"/>
      <c r="BT137" s="51"/>
      <c r="BU137" s="51"/>
      <c r="BV137" s="688"/>
      <c r="BW137" s="688"/>
      <c r="BX137" s="688"/>
      <c r="BY137" s="688"/>
      <c r="BZ137" s="688"/>
      <c r="CA137" s="688"/>
      <c r="CB137" s="688"/>
      <c r="CC137" s="688"/>
      <c r="CD137" s="688"/>
    </row>
    <row r="138" spans="1:82" s="716" customFormat="1" ht="34.950000000000003" customHeight="1">
      <c r="A138" s="715"/>
      <c r="B138" s="867" t="s">
        <v>379</v>
      </c>
      <c r="C138" s="857">
        <f>C132+C128+C122+C116+C109+C102+C58+C22+C136</f>
        <v>100</v>
      </c>
      <c r="D138" s="856"/>
      <c r="E138" s="222" t="s">
        <v>167</v>
      </c>
      <c r="F138" s="857">
        <f>F132+F128+F122+F116+F109+F102+F58+F22+F136</f>
        <v>1676030825</v>
      </c>
      <c r="G138" s="857">
        <f t="shared" ref="G138:AU138" si="66">G132+G128+G122+G116+G109+G102+G58+G22+G136</f>
        <v>1557305312</v>
      </c>
      <c r="H138" s="857">
        <f t="shared" si="66"/>
        <v>118725513</v>
      </c>
      <c r="I138" s="857">
        <f t="shared" si="66"/>
        <v>784515018</v>
      </c>
      <c r="J138" s="857">
        <f t="shared" si="66"/>
        <v>702283173.99000001</v>
      </c>
      <c r="K138" s="857">
        <f t="shared" si="66"/>
        <v>214812</v>
      </c>
      <c r="L138" s="857">
        <f t="shared" si="66"/>
        <v>3662264.42</v>
      </c>
      <c r="M138" s="857">
        <f t="shared" si="66"/>
        <v>3877076.42</v>
      </c>
      <c r="N138" s="857">
        <f t="shared" si="66"/>
        <v>706160250.40999997</v>
      </c>
      <c r="O138" s="857">
        <f t="shared" si="66"/>
        <v>490167331</v>
      </c>
      <c r="P138" s="857">
        <f t="shared" si="66"/>
        <v>479703243.59000003</v>
      </c>
      <c r="Q138" s="857">
        <f t="shared" si="66"/>
        <v>78354767.590000004</v>
      </c>
      <c r="R138" s="857">
        <f t="shared" si="66"/>
        <v>411812563.41000003</v>
      </c>
      <c r="S138" s="857">
        <f t="shared" si="66"/>
        <v>289732419</v>
      </c>
      <c r="T138" s="857">
        <f t="shared" si="66"/>
        <v>122080144.41</v>
      </c>
      <c r="U138" s="857">
        <f t="shared" si="66"/>
        <v>69270085.409999996</v>
      </c>
      <c r="V138" s="857">
        <f t="shared" si="66"/>
        <v>20606250</v>
      </c>
      <c r="W138" s="857">
        <f t="shared" si="66"/>
        <v>770000</v>
      </c>
      <c r="X138" s="857">
        <f t="shared" si="66"/>
        <v>31433809</v>
      </c>
      <c r="Y138" s="857"/>
      <c r="Z138" s="857">
        <f t="shared" si="66"/>
        <v>500000</v>
      </c>
      <c r="AA138" s="857">
        <f t="shared" si="66"/>
        <v>6760000</v>
      </c>
      <c r="AB138" s="857">
        <f t="shared" si="66"/>
        <v>630000</v>
      </c>
      <c r="AC138" s="857">
        <f t="shared" si="66"/>
        <v>10530000</v>
      </c>
      <c r="AD138" s="857">
        <f t="shared" si="66"/>
        <v>6780000</v>
      </c>
      <c r="AE138" s="857">
        <f t="shared" si="66"/>
        <v>31784211</v>
      </c>
      <c r="AF138" s="857">
        <f t="shared" si="66"/>
        <v>1600000</v>
      </c>
      <c r="AG138" s="857">
        <f t="shared" si="66"/>
        <v>-976492</v>
      </c>
      <c r="AH138" s="857">
        <f t="shared" si="66"/>
        <v>56650892</v>
      </c>
      <c r="AI138" s="857">
        <f t="shared" si="66"/>
        <v>17291533</v>
      </c>
      <c r="AJ138" s="857">
        <f t="shared" si="66"/>
        <v>131550144</v>
      </c>
      <c r="AK138" s="857">
        <f t="shared" si="66"/>
        <v>-9469999.5899999999</v>
      </c>
      <c r="AL138" s="857">
        <f t="shared" si="66"/>
        <v>-281123</v>
      </c>
      <c r="AM138" s="857">
        <f t="shared" si="66"/>
        <v>10256250</v>
      </c>
      <c r="AN138" s="857">
        <f t="shared" si="66"/>
        <v>770000</v>
      </c>
      <c r="AO138" s="857">
        <f t="shared" si="66"/>
        <v>6546406</v>
      </c>
      <c r="AP138" s="857">
        <f t="shared" si="66"/>
        <v>71450804</v>
      </c>
      <c r="AQ138" s="857">
        <f t="shared" si="66"/>
        <v>28726250</v>
      </c>
      <c r="AR138" s="857">
        <f t="shared" si="66"/>
        <v>770000</v>
      </c>
      <c r="AS138" s="857">
        <f t="shared" si="66"/>
        <v>0</v>
      </c>
      <c r="AT138" s="857">
        <f t="shared" si="66"/>
        <v>0</v>
      </c>
      <c r="AU138" s="857">
        <f t="shared" si="66"/>
        <v>30603090</v>
      </c>
      <c r="AV138" s="690"/>
      <c r="AW138" s="690"/>
      <c r="AX138" s="690"/>
      <c r="AY138" s="690"/>
      <c r="AZ138" s="157"/>
      <c r="BA138" s="157"/>
      <c r="BB138" s="157"/>
      <c r="BC138" s="157"/>
      <c r="BD138" s="157"/>
      <c r="BE138" s="157"/>
      <c r="BF138" s="157"/>
      <c r="BG138" s="157"/>
      <c r="BH138" s="691"/>
      <c r="BI138" s="691"/>
      <c r="BJ138" s="691"/>
      <c r="BK138" s="691"/>
      <c r="BL138" s="691"/>
      <c r="BM138" s="691"/>
      <c r="BN138" s="691"/>
      <c r="BO138" s="691"/>
      <c r="BP138" s="51"/>
      <c r="BS138" s="51"/>
      <c r="BT138" s="51"/>
      <c r="BU138" s="51"/>
      <c r="BV138" s="688"/>
      <c r="BW138" s="688"/>
      <c r="BX138" s="688"/>
      <c r="BY138" s="688"/>
      <c r="BZ138" s="688"/>
      <c r="CA138" s="688"/>
      <c r="CB138" s="688"/>
      <c r="CC138" s="688"/>
      <c r="CD138" s="688"/>
    </row>
    <row r="139" spans="1:82" s="716" customFormat="1" ht="40.5" customHeight="1">
      <c r="A139" s="715"/>
      <c r="B139" s="867"/>
      <c r="C139" s="857"/>
      <c r="D139" s="856"/>
      <c r="E139" s="222"/>
      <c r="F139" s="857"/>
      <c r="G139" s="857"/>
      <c r="H139" s="857"/>
      <c r="I139" s="857"/>
      <c r="J139" s="857"/>
      <c r="K139" s="857"/>
      <c r="L139" s="857"/>
      <c r="M139" s="857"/>
      <c r="N139" s="857"/>
      <c r="O139" s="857"/>
      <c r="P139" s="857"/>
      <c r="Q139" s="857"/>
      <c r="R139" s="857"/>
      <c r="S139" s="857"/>
      <c r="T139" s="857"/>
      <c r="U139" s="857"/>
      <c r="V139" s="857"/>
      <c r="W139" s="857"/>
      <c r="X139" s="857"/>
      <c r="Y139" s="857"/>
      <c r="Z139" s="857"/>
      <c r="AA139" s="857"/>
      <c r="AB139" s="857"/>
      <c r="AC139" s="857"/>
      <c r="AD139" s="857"/>
      <c r="AE139" s="857"/>
      <c r="AF139" s="857"/>
      <c r="AG139" s="857"/>
      <c r="AH139" s="857"/>
      <c r="AI139" s="857"/>
      <c r="AJ139" s="857"/>
      <c r="AK139" s="857"/>
      <c r="AL139" s="857"/>
      <c r="AM139" s="857"/>
      <c r="AN139" s="857"/>
      <c r="AO139" s="857"/>
      <c r="AP139" s="857"/>
      <c r="AQ139" s="857"/>
      <c r="AR139" s="857"/>
      <c r="AS139" s="857"/>
      <c r="AT139" s="857"/>
      <c r="AU139" s="857"/>
      <c r="AV139" s="690"/>
      <c r="AW139" s="690"/>
      <c r="AX139" s="690"/>
      <c r="AY139" s="690"/>
      <c r="AZ139" s="157"/>
      <c r="BA139" s="157"/>
      <c r="BB139" s="157"/>
      <c r="BC139" s="157"/>
      <c r="BD139" s="157"/>
      <c r="BE139" s="157"/>
      <c r="BF139" s="157"/>
      <c r="BG139" s="157"/>
      <c r="BH139" s="691"/>
      <c r="BI139" s="691"/>
      <c r="BJ139" s="691"/>
      <c r="BK139" s="691"/>
      <c r="BL139" s="691"/>
      <c r="BM139" s="691"/>
      <c r="BN139" s="691"/>
      <c r="BO139" s="691"/>
      <c r="BP139" s="51"/>
      <c r="BS139" s="51"/>
      <c r="BT139" s="51"/>
      <c r="BU139" s="51"/>
      <c r="BV139" s="688"/>
      <c r="BW139" s="688"/>
      <c r="BX139" s="688"/>
      <c r="BY139" s="688"/>
      <c r="BZ139" s="688"/>
      <c r="CA139" s="688"/>
      <c r="CB139" s="688"/>
      <c r="CC139" s="688"/>
      <c r="CD139" s="688"/>
    </row>
    <row r="140" spans="1:82" hidden="1">
      <c r="A140" s="717"/>
      <c r="B140" s="718"/>
      <c r="C140" s="719"/>
      <c r="D140" s="689"/>
      <c r="E140" s="718"/>
      <c r="F140" s="719"/>
      <c r="G140" s="719"/>
      <c r="H140" s="719"/>
      <c r="I140" s="719"/>
      <c r="J140" s="719"/>
      <c r="K140" s="719"/>
      <c r="L140" s="719"/>
      <c r="M140" s="719"/>
      <c r="N140" s="719"/>
      <c r="O140" s="719"/>
      <c r="P140" s="719"/>
      <c r="Q140" s="719"/>
      <c r="R140" s="719"/>
      <c r="S140" s="719"/>
      <c r="T140" s="719"/>
      <c r="U140" s="719"/>
      <c r="V140" s="719"/>
      <c r="X140" s="719"/>
      <c r="Y140" s="39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3"/>
      <c r="AK140" s="51"/>
      <c r="AL140" s="53"/>
      <c r="AM140" s="53"/>
      <c r="AO140" s="53"/>
      <c r="AP140" s="51"/>
      <c r="AQ140" s="51"/>
      <c r="AU140" s="51"/>
      <c r="AZ140" s="157"/>
      <c r="BA140" s="157"/>
      <c r="BB140" s="157"/>
      <c r="BC140" s="157"/>
      <c r="BD140" s="157"/>
      <c r="BE140" s="157"/>
      <c r="BF140" s="157"/>
      <c r="BG140" s="157"/>
      <c r="BH140" s="691"/>
      <c r="BI140" s="691"/>
      <c r="BJ140" s="691"/>
      <c r="BK140" s="691"/>
      <c r="BL140" s="691"/>
      <c r="BM140" s="691"/>
      <c r="BN140" s="691"/>
      <c r="BO140" s="691"/>
      <c r="BP140" s="51"/>
      <c r="BQ140" s="61"/>
      <c r="BR140" s="51"/>
      <c r="BS140" s="51"/>
      <c r="BT140" s="51"/>
      <c r="BU140" s="51"/>
      <c r="BV140" s="688"/>
      <c r="BW140" s="688"/>
      <c r="BX140" s="688"/>
      <c r="BY140" s="688"/>
      <c r="BZ140" s="688"/>
      <c r="CA140" s="688"/>
      <c r="CB140" s="688"/>
      <c r="CC140" s="688"/>
      <c r="CD140" s="688"/>
    </row>
    <row r="141" spans="1:82" hidden="1">
      <c r="A141" s="717"/>
      <c r="B141" s="718"/>
      <c r="C141" s="121">
        <f>'[3]וע. 1.2023'!C47</f>
        <v>1</v>
      </c>
      <c r="D141" s="695"/>
      <c r="E141" s="271" t="s">
        <v>1228</v>
      </c>
      <c r="F141" s="121">
        <f>'[3]וע. 1.2023'!F47</f>
        <v>500000</v>
      </c>
      <c r="G141" s="121">
        <f>'[3]וע. 1.2023'!G47</f>
        <v>0</v>
      </c>
      <c r="H141" s="121">
        <f>'[3]וע. 1.2023'!H47</f>
        <v>500000</v>
      </c>
      <c r="I141" s="121">
        <f>'[3]וע. 1.2023'!I47</f>
        <v>0</v>
      </c>
      <c r="J141" s="121">
        <f>'[3]וע. 1.2023'!J47</f>
        <v>0</v>
      </c>
      <c r="K141" s="121">
        <f>'[3]וע. 1.2023'!K47</f>
        <v>0</v>
      </c>
      <c r="L141" s="121">
        <f>'[3]וע. 1.2023'!L47</f>
        <v>0</v>
      </c>
      <c r="M141" s="121">
        <f>'[3]וע. 1.2023'!M47</f>
        <v>0</v>
      </c>
      <c r="N141" s="121">
        <f>'[3]וע. 1.2023'!N47</f>
        <v>0</v>
      </c>
      <c r="O141" s="121">
        <f>'[3]וע. 1.2023'!O47</f>
        <v>500000</v>
      </c>
      <c r="P141" s="121">
        <f>'[3]וע. 1.2023'!P47</f>
        <v>0</v>
      </c>
      <c r="Q141" s="121">
        <f>'[3]וע. 1.2023'!Q47</f>
        <v>0</v>
      </c>
      <c r="R141" s="121">
        <f>'[3]וע. 1.2023'!R47</f>
        <v>500000</v>
      </c>
      <c r="S141" s="121">
        <f>'[3]וע. 1.2023'!S47</f>
        <v>0</v>
      </c>
      <c r="T141" s="121">
        <f>'[3]וע. 1.2023'!T47</f>
        <v>500000</v>
      </c>
      <c r="U141" s="121">
        <f>'[3]וע. 1.2023'!U47</f>
        <v>500000</v>
      </c>
      <c r="V141" s="121">
        <f>'[3]וע. 1.2023'!V47</f>
        <v>0</v>
      </c>
      <c r="W141" s="713"/>
      <c r="X141" s="121">
        <f>'[3]וע. 1.2023'!W47</f>
        <v>0</v>
      </c>
      <c r="Y141" s="39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3"/>
      <c r="AK141" s="51"/>
      <c r="AL141" s="51"/>
      <c r="AM141" s="51"/>
      <c r="AO141" s="51"/>
      <c r="AP141" s="51"/>
      <c r="AQ141" s="51"/>
      <c r="AU141" s="51"/>
      <c r="AZ141" s="157"/>
      <c r="BA141" s="157"/>
      <c r="BB141" s="157"/>
      <c r="BC141" s="157"/>
      <c r="BD141" s="157"/>
      <c r="BE141" s="157"/>
      <c r="BF141" s="157"/>
      <c r="BG141" s="157"/>
      <c r="BH141" s="691"/>
      <c r="BI141" s="691"/>
      <c r="BJ141" s="691"/>
      <c r="BK141" s="691"/>
      <c r="BL141" s="691"/>
      <c r="BM141" s="691"/>
      <c r="BN141" s="691"/>
      <c r="BO141" s="691"/>
      <c r="BP141" s="51"/>
      <c r="BQ141" s="61"/>
      <c r="BR141" s="51"/>
      <c r="BS141" s="51"/>
      <c r="BT141" s="51"/>
      <c r="BU141" s="51"/>
      <c r="BV141" s="688"/>
      <c r="BW141" s="688"/>
      <c r="BX141" s="688"/>
      <c r="BY141" s="688"/>
      <c r="BZ141" s="688"/>
      <c r="CA141" s="688"/>
      <c r="CB141" s="688"/>
      <c r="CC141" s="688"/>
      <c r="CD141" s="688"/>
    </row>
    <row r="142" spans="1:82" hidden="1">
      <c r="A142" s="717"/>
      <c r="B142" s="718"/>
      <c r="C142" s="121">
        <f>'[3]וע. 2.2023 מאוחד'!C80</f>
        <v>8</v>
      </c>
      <c r="D142" s="695"/>
      <c r="E142" s="271" t="s">
        <v>1229</v>
      </c>
      <c r="F142" s="121">
        <f>'[3]וע. 2.2023 מאוחד'!F80</f>
        <v>36960000</v>
      </c>
      <c r="G142" s="121">
        <f>'[3]וע. 2.2023 מאוחד'!G80</f>
        <v>3200000</v>
      </c>
      <c r="H142" s="121">
        <f>'[3]וע. 2.2023 מאוחד'!H80</f>
        <v>33760000</v>
      </c>
      <c r="I142" s="121">
        <f>'[3]וע. 2.2023 מאוחד'!I80</f>
        <v>800000</v>
      </c>
      <c r="J142" s="121">
        <f>'[3]וע. 2.2023 מאוחד'!J80</f>
        <v>552536</v>
      </c>
      <c r="K142" s="121">
        <f>'[3]וע. 2.2023 מאוחד'!K80</f>
        <v>0</v>
      </c>
      <c r="L142" s="121">
        <f>'[3]וע. 2.2023 מאוחד'!L80</f>
        <v>30142</v>
      </c>
      <c r="M142" s="121">
        <f>'[3]וע. 2.2023 מאוחד'!M80</f>
        <v>30142</v>
      </c>
      <c r="N142" s="121">
        <f>'[3]וע. 2.2023 מאוחד'!N80</f>
        <v>582678</v>
      </c>
      <c r="O142" s="121">
        <f>'[3]וע. 2.2023 מאוחד'!O80</f>
        <v>14977322</v>
      </c>
      <c r="P142" s="121">
        <f>'[3]וע. 2.2023 מאוחד'!P80</f>
        <v>21400000</v>
      </c>
      <c r="Q142" s="121">
        <f>'[3]וע. 2.2023 מאוחד'!Q80</f>
        <v>217322</v>
      </c>
      <c r="R142" s="121">
        <f>'[3]וע. 2.2023 מאוחד'!R80</f>
        <v>14760000</v>
      </c>
      <c r="S142" s="121">
        <f>'[3]וע. 2.2023 מאוחד'!S80</f>
        <v>500000</v>
      </c>
      <c r="T142" s="121">
        <f>'[3]וע. 2.2023 מאוחד'!T80</f>
        <v>14260000</v>
      </c>
      <c r="U142" s="121">
        <f>'[3]וע. 2.2023 מאוחד'!U80</f>
        <v>6550000</v>
      </c>
      <c r="V142" s="121">
        <f>'[3]וע. 2.2023 מאוחד'!V80</f>
        <v>0</v>
      </c>
      <c r="W142" s="713"/>
      <c r="X142" s="121">
        <f>'[3]וע. 2.2023 מאוחד'!W80</f>
        <v>7710000</v>
      </c>
      <c r="Y142" s="39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3"/>
      <c r="AK142" s="51"/>
      <c r="AL142" s="51"/>
      <c r="AM142" s="51"/>
      <c r="AO142" s="51"/>
      <c r="AP142" s="51"/>
      <c r="AQ142" s="51"/>
      <c r="AU142" s="51"/>
      <c r="AZ142" s="157"/>
      <c r="BA142" s="157"/>
      <c r="BB142" s="157"/>
      <c r="BC142" s="157"/>
      <c r="BD142" s="157"/>
      <c r="BE142" s="157"/>
      <c r="BF142" s="157"/>
      <c r="BG142" s="157"/>
      <c r="BH142" s="691"/>
      <c r="BI142" s="691"/>
      <c r="BJ142" s="691"/>
      <c r="BK142" s="691"/>
      <c r="BL142" s="691"/>
      <c r="BM142" s="691"/>
      <c r="BN142" s="691"/>
      <c r="BO142" s="691"/>
      <c r="BP142" s="51"/>
      <c r="BQ142" s="61"/>
      <c r="BR142" s="51"/>
      <c r="BS142" s="51"/>
      <c r="BT142" s="51"/>
      <c r="BU142" s="51"/>
      <c r="BV142" s="688"/>
      <c r="BW142" s="688"/>
      <c r="BX142" s="688"/>
      <c r="BY142" s="688"/>
      <c r="BZ142" s="688"/>
      <c r="CA142" s="688"/>
      <c r="CB142" s="688"/>
      <c r="CC142" s="688"/>
      <c r="CD142" s="688"/>
    </row>
    <row r="143" spans="1:82" hidden="1">
      <c r="A143" s="717"/>
      <c r="B143" s="718"/>
      <c r="C143" s="121">
        <f>'[3]וע. 3.2023 להגשה מימוש 4-5.2023'!C52</f>
        <v>15</v>
      </c>
      <c r="D143" s="695"/>
      <c r="E143" s="271" t="s">
        <v>1230</v>
      </c>
      <c r="F143" s="121">
        <f>'[3]וע. 3.2023 להגשה מימוש 4-5.2023'!F52</f>
        <v>303946240</v>
      </c>
      <c r="G143" s="121">
        <f>'[3]וע. 3.2023 להגשה מימוש 4-5.2023'!G52</f>
        <v>286886240</v>
      </c>
      <c r="H143" s="121">
        <f>'[3]וע. 3.2023 להגשה מימוש 4-5.2023'!H52</f>
        <v>17060000</v>
      </c>
      <c r="I143" s="121">
        <f>'[3]וע. 3.2023 להגשה מימוש 4-5.2023'!I52</f>
        <v>185756873</v>
      </c>
      <c r="J143" s="121">
        <f>'[3]וע. 3.2023 להגשה מימוש 4-5.2023'!J52</f>
        <v>169074006.99000001</v>
      </c>
      <c r="K143" s="121">
        <f>'[3]וע. 3.2023 להגשה מימוש 4-5.2023'!K52</f>
        <v>0</v>
      </c>
      <c r="L143" s="121">
        <f>'[3]וע. 3.2023 להגשה מימוש 4-5.2023'!L52</f>
        <v>2502652.42</v>
      </c>
      <c r="M143" s="121">
        <f>'[3]וע. 3.2023 להגשה מימוש 4-5.2023'!M52</f>
        <v>2502652.42</v>
      </c>
      <c r="N143" s="121">
        <f>'[3]וע. 3.2023 להגשה מימוש 4-5.2023'!N52</f>
        <v>171576659.41</v>
      </c>
      <c r="O143" s="121">
        <f>'[3]וע. 3.2023 להגשה מימוש 4-5.2023'!O52</f>
        <v>60614878</v>
      </c>
      <c r="P143" s="121">
        <f>'[3]וע. 3.2023 להגשה מימוש 4-5.2023'!P52</f>
        <v>71754702.590000004</v>
      </c>
      <c r="Q143" s="121">
        <f>'[3]וע. 3.2023 להגשה מימוש 4-5.2023'!Q52</f>
        <v>14180213.59</v>
      </c>
      <c r="R143" s="121">
        <f>'[3]וע. 3.2023 להגשה מימוש 4-5.2023'!R52</f>
        <v>46434664.409999996</v>
      </c>
      <c r="S143" s="121">
        <f>'[3]וע. 3.2023 להגשה מימוש 4-5.2023'!S52</f>
        <v>35024664</v>
      </c>
      <c r="T143" s="121">
        <f>'[3]וע. 3.2023 להגשה מימוש 4-5.2023'!T52</f>
        <v>11410000.41</v>
      </c>
      <c r="U143" s="121">
        <f>'[3]וע. 3.2023 להגשה מימוש 4-5.2023'!U52</f>
        <v>-1768397.5899999999</v>
      </c>
      <c r="V143" s="121">
        <f>'[3]וע. 3.2023 להגשה מימוש 4-5.2023'!V52</f>
        <v>1600000</v>
      </c>
      <c r="W143" s="713"/>
      <c r="X143" s="121">
        <f>'[3]וע. 3.2023 להגשה מימוש 4-5.2023'!W52</f>
        <v>11578398</v>
      </c>
      <c r="Y143" s="39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3"/>
      <c r="AK143" s="53"/>
      <c r="AL143" s="51"/>
      <c r="AM143" s="51"/>
      <c r="AO143" s="51"/>
      <c r="AP143" s="51"/>
      <c r="AQ143" s="51"/>
      <c r="AU143" s="51"/>
      <c r="AZ143" s="157"/>
      <c r="BA143" s="157"/>
      <c r="BB143" s="157"/>
      <c r="BC143" s="157"/>
      <c r="BD143" s="157"/>
      <c r="BE143" s="157"/>
      <c r="BF143" s="157"/>
      <c r="BG143" s="157"/>
      <c r="BH143" s="691"/>
      <c r="BI143" s="691"/>
      <c r="BJ143" s="691"/>
      <c r="BK143" s="691"/>
      <c r="BL143" s="691"/>
      <c r="BM143" s="691"/>
      <c r="BN143" s="691"/>
      <c r="BO143" s="691"/>
      <c r="BP143" s="51"/>
      <c r="BQ143" s="61"/>
      <c r="BR143" s="51"/>
      <c r="BS143" s="51"/>
      <c r="BT143" s="51"/>
      <c r="BU143" s="51"/>
      <c r="BV143" s="688"/>
      <c r="BW143" s="688"/>
      <c r="BX143" s="688"/>
      <c r="BY143" s="688"/>
      <c r="BZ143" s="688"/>
      <c r="CA143" s="688"/>
      <c r="CB143" s="688"/>
      <c r="CC143" s="688"/>
      <c r="CD143" s="688"/>
    </row>
    <row r="144" spans="1:82" hidden="1">
      <c r="A144" s="717"/>
      <c r="B144" s="718"/>
      <c r="C144" s="121">
        <f>'[3]וע. 4.2023  כולל'!C82+'[3]וע. 4.2023  כולל'!C44</f>
        <v>4</v>
      </c>
      <c r="D144" s="695"/>
      <c r="E144" s="271" t="s">
        <v>1231</v>
      </c>
      <c r="F144" s="121">
        <f>'[3]וע. 4.2023  כולל'!F82+'[3]וע. 4.2023  כולל'!F44</f>
        <v>2780000</v>
      </c>
      <c r="G144" s="121">
        <f>'[3]וע. 4.2023  כולל'!G82+'[3]וע. 4.2023  כולל'!G44</f>
        <v>500000</v>
      </c>
      <c r="H144" s="121">
        <f>'[3]וע. 4.2023  כולל'!H82+'[3]וע. 4.2023  כולל'!H44</f>
        <v>2280000</v>
      </c>
      <c r="I144" s="121">
        <f>'[3]וע. 4.2023  כולל'!I82+'[3]וע. 4.2023  כולל'!I44</f>
        <v>0</v>
      </c>
      <c r="J144" s="121">
        <f>'[3]וע. 4.2023  כולל'!J82+'[3]וע. 4.2023  כולל'!J44</f>
        <v>0</v>
      </c>
      <c r="K144" s="121">
        <f>'[3]וע. 4.2023  כולל'!K82+'[3]וע. 4.2023  כולל'!K44</f>
        <v>0</v>
      </c>
      <c r="L144" s="121">
        <f>'[3]וע. 4.2023  כולל'!L82+'[3]וע. 4.2023  כולל'!L44</f>
        <v>0</v>
      </c>
      <c r="M144" s="121">
        <f>'[3]וע. 4.2023  כולל'!M82+'[3]וע. 4.2023  כולל'!M44</f>
        <v>0</v>
      </c>
      <c r="N144" s="121">
        <f>'[3]וע. 4.2023  כולל'!N82+'[3]וע. 4.2023  כולל'!N44</f>
        <v>0</v>
      </c>
      <c r="O144" s="121">
        <f>'[3]וע. 4.2023  כולל'!O82+'[3]וע. 4.2023  כולל'!O44</f>
        <v>1780000</v>
      </c>
      <c r="P144" s="121">
        <f>'[3]וע. 4.2023  כולל'!P82+'[3]וע. 4.2023  כולל'!P44</f>
        <v>1000000</v>
      </c>
      <c r="Q144" s="121">
        <f>'[3]וע. 4.2023  כולל'!Q82+'[3]וע. 4.2023  כולל'!Q44</f>
        <v>0</v>
      </c>
      <c r="R144" s="121">
        <f>'[3]וע. 4.2023  כולל'!R82+'[3]וע. 4.2023  כולל'!R44</f>
        <v>1780000</v>
      </c>
      <c r="S144" s="121">
        <f>'[3]וע. 4.2023  כולל'!S82+'[3]וע. 4.2023  כולל'!S44</f>
        <v>500000</v>
      </c>
      <c r="T144" s="121">
        <f>'[3]וע. 4.2023  כולל'!T82+'[3]וע. 4.2023  כולל'!T44</f>
        <v>1280000</v>
      </c>
      <c r="U144" s="121">
        <f>'[3]וע. 4.2023  כולל'!U82+'[3]וע. 4.2023  כולל'!U44</f>
        <v>780000</v>
      </c>
      <c r="V144" s="121">
        <f>'[3]וע. 4.2023  כולל'!V82+'[3]וע. 4.2023  כולל'!V44</f>
        <v>500000</v>
      </c>
      <c r="W144" s="713"/>
      <c r="X144" s="121">
        <f>'[3]וע. 4.2023  כולל'!W82+'[3]וע. 4.2023  כולל'!W44</f>
        <v>0</v>
      </c>
      <c r="Y144" s="39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3"/>
      <c r="AK144" s="53"/>
      <c r="AL144" s="51"/>
      <c r="AM144" s="51"/>
      <c r="AO144" s="51"/>
      <c r="AP144" s="51"/>
      <c r="AQ144" s="51"/>
      <c r="AU144" s="51"/>
      <c r="AZ144" s="157"/>
      <c r="BA144" s="157"/>
      <c r="BB144" s="157"/>
      <c r="BC144" s="157"/>
      <c r="BD144" s="157"/>
      <c r="BE144" s="157"/>
      <c r="BF144" s="157"/>
      <c r="BG144" s="157"/>
      <c r="BH144" s="691"/>
      <c r="BI144" s="691"/>
      <c r="BJ144" s="691"/>
      <c r="BK144" s="691"/>
      <c r="BL144" s="691"/>
      <c r="BM144" s="691"/>
      <c r="BN144" s="691"/>
      <c r="BO144" s="691"/>
      <c r="BP144" s="51"/>
      <c r="BQ144" s="61"/>
      <c r="BR144" s="51"/>
      <c r="BS144" s="51"/>
      <c r="BT144" s="51"/>
      <c r="BU144" s="51"/>
      <c r="BV144" s="688"/>
      <c r="BW144" s="688"/>
      <c r="BX144" s="688"/>
      <c r="BY144" s="688"/>
      <c r="BZ144" s="688"/>
      <c r="CA144" s="688"/>
      <c r="CB144" s="688"/>
      <c r="CC144" s="688"/>
      <c r="CD144" s="688"/>
    </row>
    <row r="145" spans="1:82" hidden="1">
      <c r="A145" s="717"/>
      <c r="B145" s="718"/>
      <c r="C145" s="121">
        <f>'[3]וע. 5.2023  להגשה כולל'!C61+'[3]וע. 5.2023  להגשה כולל'!C68</f>
        <v>24</v>
      </c>
      <c r="D145" s="695"/>
      <c r="E145" s="271" t="s">
        <v>1232</v>
      </c>
      <c r="F145" s="121">
        <f>'[3]וע. 5.2023  להגשה כולל'!F61+'[3]וע. 5.2023  להגשה כולל'!F68</f>
        <v>277154018</v>
      </c>
      <c r="G145" s="121">
        <f>'[3]וע. 5.2023  להגשה כולל'!G61+'[3]וע. 5.2023  להגשה כולל'!G68</f>
        <v>254268705</v>
      </c>
      <c r="H145" s="121">
        <f>'[3]וע. 5.2023  להגשה כולל'!H61+'[3]וע. 5.2023  להגשה כולל'!H68</f>
        <v>22885313</v>
      </c>
      <c r="I145" s="121">
        <f>'[3]וע. 5.2023  להגשה כולל'!I61+'[3]וע. 5.2023  להגשה כולל'!I68</f>
        <v>126188705</v>
      </c>
      <c r="J145" s="121">
        <f>'[3]וע. 5.2023  להגשה כולל'!J61+'[3]וע. 5.2023  להגשה כולל'!J68</f>
        <v>100599515</v>
      </c>
      <c r="K145" s="121">
        <f>'[3]וע. 5.2023  להגשה כולל'!K61+'[3]וע. 5.2023  להגשה כולל'!K68</f>
        <v>107406</v>
      </c>
      <c r="L145" s="121">
        <f>'[3]וע. 5.2023  להגשה כולל'!L61+'[3]וע. 5.2023  להגשה כולל'!L68</f>
        <v>730355</v>
      </c>
      <c r="M145" s="121">
        <f>'[3]וע. 5.2023  להגשה כולל'!M61+'[3]וע. 5.2023  להגשה כולל'!M68</f>
        <v>837761</v>
      </c>
      <c r="N145" s="121">
        <f>'[3]וע. 5.2023  להגשה כולל'!N61+'[3]וע. 5.2023  להגשה כולל'!N68</f>
        <v>101437276</v>
      </c>
      <c r="O145" s="121">
        <f>'[3]וע. 5.2023  להגשה כולל'!O61+'[3]וע. 5.2023  להגשה כולל'!O68</f>
        <v>94535640</v>
      </c>
      <c r="P145" s="121">
        <f>'[3]וע. 5.2023  להגשה כולל'!P61+'[3]וע. 5.2023  להגשה כולל'!P68</f>
        <v>81181102</v>
      </c>
      <c r="Q145" s="121">
        <f>'[3]וע. 5.2023  להגשה כולל'!Q61+'[3]וע. 5.2023  להגשה כולל'!Q68</f>
        <v>24751429</v>
      </c>
      <c r="R145" s="121">
        <f>'[3]וע. 5.2023  להגשה כולל'!R61+'[3]וע. 5.2023  להגשה כולל'!R68</f>
        <v>69784211</v>
      </c>
      <c r="S145" s="121">
        <f>'[3]וע. 5.2023  להגשה כולל'!S61+'[3]וע. 5.2023  להגשה כולל'!S68</f>
        <v>37000000</v>
      </c>
      <c r="T145" s="121">
        <f>'[3]וע. 5.2023  להגשה כולל'!T61+'[3]וע. 5.2023  להגשה כולל'!T68</f>
        <v>32784211</v>
      </c>
      <c r="U145" s="121">
        <f>'[3]וע. 5.2023  להגשה כולל'!U61+'[3]וע. 5.2023  להגשה כולל'!U68</f>
        <v>23601606</v>
      </c>
      <c r="V145" s="121">
        <f>'[3]וע. 5.2023  להגשה כולל'!V61+'[3]וע. 5.2023  להגשה כולל'!V68</f>
        <v>5470000</v>
      </c>
      <c r="W145" s="713"/>
      <c r="X145" s="121">
        <f>'[3]וע. 5.2023  להגשה כולל'!W61+'[3]וע. 5.2023  להגשה כולל'!W68</f>
        <v>3712605</v>
      </c>
      <c r="Y145" s="39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3"/>
      <c r="AK145" s="53"/>
      <c r="AL145" s="51"/>
      <c r="AM145" s="51"/>
      <c r="AO145" s="51"/>
      <c r="AP145" s="51"/>
      <c r="AQ145" s="51"/>
      <c r="AU145" s="51"/>
      <c r="AZ145" s="157"/>
      <c r="BA145" s="157"/>
      <c r="BB145" s="157"/>
      <c r="BC145" s="157"/>
      <c r="BD145" s="157"/>
      <c r="BE145" s="157"/>
      <c r="BF145" s="157"/>
      <c r="BG145" s="157"/>
      <c r="BH145" s="691"/>
      <c r="BI145" s="691"/>
      <c r="BJ145" s="691"/>
      <c r="BK145" s="691"/>
      <c r="BL145" s="691"/>
      <c r="BM145" s="691"/>
      <c r="BN145" s="691"/>
      <c r="BO145" s="691"/>
      <c r="BP145" s="51"/>
      <c r="BQ145" s="61"/>
      <c r="BR145" s="51"/>
      <c r="BS145" s="51"/>
      <c r="BT145" s="51"/>
      <c r="BU145" s="51"/>
      <c r="BV145" s="688"/>
      <c r="BW145" s="688"/>
      <c r="BX145" s="688"/>
      <c r="BY145" s="688"/>
      <c r="BZ145" s="688"/>
      <c r="CA145" s="688"/>
      <c r="CB145" s="688"/>
      <c r="CC145" s="688"/>
      <c r="CD145" s="688"/>
    </row>
    <row r="146" spans="1:82" hidden="1">
      <c r="A146" s="717"/>
      <c r="B146" s="718"/>
      <c r="C146" s="121">
        <f>'[3]וע. 6.2023  להגשה '!C49</f>
        <v>12</v>
      </c>
      <c r="D146" s="695"/>
      <c r="E146" s="271" t="s">
        <v>1233</v>
      </c>
      <c r="F146" s="121">
        <f>'[3]וע. 6.2023  להגשה '!F49</f>
        <v>210211953</v>
      </c>
      <c r="G146" s="121">
        <f>'[3]וע. 6.2023  להגשה '!G49</f>
        <v>210292000</v>
      </c>
      <c r="H146" s="121">
        <f>'[3]וע. 6.2023  להגשה '!H49</f>
        <v>-80047</v>
      </c>
      <c r="I146" s="121">
        <f>'[3]וע. 6.2023  להגשה '!I49</f>
        <v>109210000</v>
      </c>
      <c r="J146" s="121">
        <f>'[3]וע. 6.2023  להגשה '!J49</f>
        <v>91510214</v>
      </c>
      <c r="K146" s="121">
        <f>'[3]וע. 6.2023  להגשה '!K49</f>
        <v>0</v>
      </c>
      <c r="L146" s="121">
        <f>'[3]וע. 6.2023  להגשה '!L49</f>
        <v>0</v>
      </c>
      <c r="M146" s="121">
        <f>'[3]וע. 6.2023  להגשה '!M49</f>
        <v>0</v>
      </c>
      <c r="N146" s="121">
        <f>'[3]וע. 6.2023  להגשה '!N49</f>
        <v>91510214</v>
      </c>
      <c r="O146" s="121">
        <f>'[3]וע. 6.2023  להגשה '!O49</f>
        <v>36952528</v>
      </c>
      <c r="P146" s="121">
        <f>'[3]וע. 6.2023  להגשה '!P49</f>
        <v>81749211</v>
      </c>
      <c r="Q146" s="121">
        <f>'[3]וע. 6.2023  להגשה '!Q49</f>
        <v>17699786</v>
      </c>
      <c r="R146" s="121">
        <f>'[3]וע. 6.2023  להגשה '!R49</f>
        <v>19252742</v>
      </c>
      <c r="S146" s="121">
        <f>'[3]וע. 6.2023  להגשה '!S49</f>
        <v>20779234</v>
      </c>
      <c r="T146" s="121">
        <f>'[3]וע. 6.2023  להגשה '!T49</f>
        <v>-1526492</v>
      </c>
      <c r="U146" s="121">
        <f>'[3]וע. 6.2023  להגשה '!U49</f>
        <v>998000</v>
      </c>
      <c r="V146" s="121">
        <f>'[3]וע. 6.2023  להגשה '!V49</f>
        <v>-220000</v>
      </c>
      <c r="W146" s="713"/>
      <c r="X146" s="121">
        <f>'[3]וע. 6.2023  להגשה '!W49</f>
        <v>-2304492</v>
      </c>
      <c r="Y146" s="39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K146" s="53"/>
      <c r="AL146" s="51"/>
      <c r="AM146" s="51"/>
      <c r="AO146" s="51"/>
      <c r="AP146" s="51"/>
      <c r="AQ146" s="51"/>
      <c r="AU146" s="51"/>
      <c r="AZ146" s="157"/>
      <c r="BA146" s="157"/>
      <c r="BB146" s="157"/>
      <c r="BC146" s="157"/>
      <c r="BD146" s="157"/>
      <c r="BE146" s="157"/>
      <c r="BF146" s="157"/>
      <c r="BG146" s="157"/>
      <c r="BH146" s="691"/>
      <c r="BI146" s="691"/>
      <c r="BJ146" s="691"/>
      <c r="BK146" s="691"/>
      <c r="BL146" s="691"/>
      <c r="BM146" s="691"/>
      <c r="BN146" s="691"/>
      <c r="BO146" s="691"/>
      <c r="BP146" s="51"/>
      <c r="BQ146" s="61"/>
      <c r="BR146" s="51"/>
      <c r="BS146" s="51"/>
      <c r="BT146" s="51"/>
      <c r="BU146" s="51"/>
      <c r="BV146" s="688"/>
      <c r="BW146" s="688"/>
      <c r="BX146" s="688"/>
      <c r="BY146" s="688"/>
      <c r="BZ146" s="688"/>
      <c r="CA146" s="688"/>
      <c r="CB146" s="688"/>
      <c r="CC146" s="688"/>
      <c r="CD146" s="688"/>
    </row>
    <row r="147" spans="1:82" hidden="1">
      <c r="A147" s="717"/>
      <c r="B147" s="718"/>
      <c r="C147" s="121">
        <f>'[3]וע. 7.2023  להגשה כולל'!C51</f>
        <v>14</v>
      </c>
      <c r="D147" s="695"/>
      <c r="E147" s="271" t="s">
        <v>1234</v>
      </c>
      <c r="F147" s="121">
        <f>'[3]וע. 7.2023  להגשה כולל'!F51</f>
        <v>644740079</v>
      </c>
      <c r="G147" s="121">
        <f>'[3]וע. 7.2023  להגשה כולל'!G51</f>
        <v>622630365</v>
      </c>
      <c r="H147" s="121">
        <f>'[3]וע. 7.2023  להגשה כולל'!H51</f>
        <v>22109714</v>
      </c>
      <c r="I147" s="121">
        <f>'[3]וע. 7.2023  להגשה כולל'!I51</f>
        <v>259261438</v>
      </c>
      <c r="J147" s="121">
        <f>'[3]וע. 7.2023  להגשה כולל'!J51</f>
        <v>249570975</v>
      </c>
      <c r="K147" s="121">
        <f>'[3]וע. 7.2023  להגשה כולל'!K51</f>
        <v>0</v>
      </c>
      <c r="L147" s="121">
        <f>'[3]וע. 7.2023  להגשה כולל'!L51</f>
        <v>0</v>
      </c>
      <c r="M147" s="121">
        <f>'[3]וע. 7.2023  להגשה כולל'!M51</f>
        <v>0</v>
      </c>
      <c r="N147" s="121">
        <f>'[3]וע. 7.2023  להגשה כולל'!N51</f>
        <v>249570975</v>
      </c>
      <c r="O147" s="121">
        <f>'[3]וע. 7.2023  להגשה כולל'!O51</f>
        <v>207522978</v>
      </c>
      <c r="P147" s="121">
        <f>'[3]וע. 7.2023  להגשה כולל'!P51</f>
        <v>187646126</v>
      </c>
      <c r="Q147" s="121">
        <f>'[3]וע. 7.2023  להגשה כולל'!Q51</f>
        <v>9690463</v>
      </c>
      <c r="R147" s="121">
        <f>'[3]וע. 7.2023  להגשה כולל'!R51</f>
        <v>197832515</v>
      </c>
      <c r="S147" s="121">
        <f>'[3]וע. 7.2023  להגשה כולל'!S51</f>
        <v>147651623</v>
      </c>
      <c r="T147" s="121">
        <f>'[3]וע. 7.2023  להגשה כולל'!T51</f>
        <v>50180892</v>
      </c>
      <c r="U147" s="121">
        <f>'[3]וע. 7.2023  להגשה כולל'!U51</f>
        <v>35490000</v>
      </c>
      <c r="V147" s="121">
        <f>'[3]וע. 7.2023  להגשה כולל'!V51</f>
        <v>3000000</v>
      </c>
      <c r="W147" s="713"/>
      <c r="X147" s="121">
        <f>'[3]וע. 7.2023  להגשה כולל'!W51</f>
        <v>11690892</v>
      </c>
      <c r="Y147" s="39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K147" s="53"/>
      <c r="AL147" s="51"/>
      <c r="AM147" s="51"/>
      <c r="AO147" s="51"/>
      <c r="AP147" s="51"/>
      <c r="AQ147" s="51"/>
      <c r="AU147" s="51"/>
      <c r="AZ147" s="157"/>
      <c r="BA147" s="157"/>
      <c r="BB147" s="157"/>
      <c r="BC147" s="157"/>
      <c r="BD147" s="157"/>
      <c r="BE147" s="157"/>
      <c r="BF147" s="157"/>
      <c r="BG147" s="157"/>
      <c r="BH147" s="691"/>
      <c r="BI147" s="691"/>
      <c r="BJ147" s="691"/>
      <c r="BK147" s="691"/>
      <c r="BL147" s="691"/>
      <c r="BM147" s="691"/>
      <c r="BN147" s="691"/>
      <c r="BO147" s="691"/>
      <c r="BP147" s="51"/>
      <c r="BQ147" s="61"/>
      <c r="BR147" s="51"/>
      <c r="BS147" s="51"/>
      <c r="BT147" s="51"/>
      <c r="BU147" s="51"/>
      <c r="BV147" s="688"/>
      <c r="BW147" s="688"/>
      <c r="BX147" s="688"/>
      <c r="BY147" s="688"/>
      <c r="BZ147" s="688"/>
      <c r="CA147" s="688"/>
      <c r="CB147" s="688"/>
      <c r="CC147" s="688"/>
      <c r="CD147" s="688"/>
    </row>
    <row r="148" spans="1:82" hidden="1">
      <c r="A148" s="717"/>
      <c r="B148" s="718"/>
      <c r="C148" s="121">
        <f>'[3]וע. 7.2023  להגשה כולל'!C63</f>
        <v>2</v>
      </c>
      <c r="D148" s="695"/>
      <c r="E148" s="271" t="s">
        <v>1235</v>
      </c>
      <c r="F148" s="121">
        <f>'[3]וע. 7.2023  להגשה כולל'!F63</f>
        <v>9050000</v>
      </c>
      <c r="G148" s="121">
        <f>'[3]וע. 7.2023  להגשה כולל'!G63</f>
        <v>8100000</v>
      </c>
      <c r="H148" s="121">
        <f>'[3]וע. 7.2023  להגשה כולל'!H63</f>
        <v>950000</v>
      </c>
      <c r="I148" s="121">
        <f>'[3]וע. 7.2023  להגשה כולל'!I63</f>
        <v>1500000</v>
      </c>
      <c r="J148" s="121">
        <f>'[3]וע. 7.2023  להגשה כולל'!J63</f>
        <v>1155067</v>
      </c>
      <c r="K148" s="121">
        <f>'[3]וע. 7.2023  להגשה כולל'!K63</f>
        <v>0</v>
      </c>
      <c r="L148" s="121">
        <f>'[3]וע. 7.2023  להגשה כולל'!L63</f>
        <v>0</v>
      </c>
      <c r="M148" s="121">
        <f>'[3]וע. 7.2023  להגשה כולל'!M63</f>
        <v>0</v>
      </c>
      <c r="N148" s="121">
        <f>'[3]וע. 7.2023  להגשה כולל'!N63</f>
        <v>1155067</v>
      </c>
      <c r="O148" s="121">
        <f>'[3]וע. 7.2023  להגשה כולל'!O63</f>
        <v>6944933</v>
      </c>
      <c r="P148" s="121">
        <f>'[3]וע. 7.2023  להגשה כולל'!P63</f>
        <v>950000</v>
      </c>
      <c r="Q148" s="121">
        <f>'[3]וע. 7.2023  להגשה כולל'!Q63</f>
        <v>344933</v>
      </c>
      <c r="R148" s="121">
        <f>'[3]וע. 7.2023  להגשה כולל'!R63</f>
        <v>6600000</v>
      </c>
      <c r="S148" s="121">
        <f>'[3]וע. 7.2023  להגשה כולל'!S63</f>
        <v>6600000</v>
      </c>
      <c r="T148" s="121">
        <f>'[3]וע. 7.2023  להגשה כולל'!T63</f>
        <v>0</v>
      </c>
      <c r="U148" s="121">
        <f>'[3]וע. 7.2023  להגשה כולל'!U63</f>
        <v>0</v>
      </c>
      <c r="V148" s="121">
        <f>'[3]וע. 7.2023  להגשה כולל'!V63</f>
        <v>0</v>
      </c>
      <c r="W148" s="713"/>
      <c r="X148" s="121">
        <f>'[3]וע. 7.2023  להגשה כולל'!W63</f>
        <v>0</v>
      </c>
      <c r="Y148" s="39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K148" s="53"/>
      <c r="AL148" s="51"/>
      <c r="AM148" s="51"/>
      <c r="AO148" s="51"/>
      <c r="AP148" s="51"/>
      <c r="AQ148" s="51"/>
      <c r="AU148" s="51"/>
      <c r="AZ148" s="157"/>
      <c r="BA148" s="157"/>
      <c r="BB148" s="157"/>
      <c r="BC148" s="157"/>
      <c r="BD148" s="157"/>
      <c r="BE148" s="157"/>
      <c r="BF148" s="157"/>
      <c r="BG148" s="157"/>
      <c r="BH148" s="691"/>
      <c r="BI148" s="691"/>
      <c r="BJ148" s="691"/>
      <c r="BK148" s="691"/>
      <c r="BL148" s="691"/>
      <c r="BM148" s="691"/>
      <c r="BN148" s="691"/>
      <c r="BO148" s="691"/>
      <c r="BP148" s="51"/>
      <c r="BQ148" s="61"/>
      <c r="BR148" s="51"/>
      <c r="BS148" s="51"/>
      <c r="BT148" s="51"/>
      <c r="BU148" s="51"/>
      <c r="BV148" s="688"/>
      <c r="BW148" s="688"/>
      <c r="BX148" s="688"/>
      <c r="BY148" s="688"/>
      <c r="BZ148" s="688"/>
      <c r="CA148" s="688"/>
      <c r="CB148" s="688"/>
      <c r="CC148" s="688"/>
      <c r="CD148" s="688"/>
    </row>
    <row r="149" spans="1:82" hidden="1">
      <c r="A149" s="717"/>
      <c r="B149" s="718"/>
      <c r="C149" s="121">
        <f>'[3]וע. 8.2023  '!C41</f>
        <v>3</v>
      </c>
      <c r="D149" s="695"/>
      <c r="E149" s="271" t="s">
        <v>1236</v>
      </c>
      <c r="F149" s="121">
        <f>'[3]וע. 8.2023  '!F41</f>
        <v>43975000</v>
      </c>
      <c r="G149" s="121">
        <f>'[3]וע. 8.2023  '!G41</f>
        <v>36275000</v>
      </c>
      <c r="H149" s="121">
        <f>'[3]וע. 8.2023  '!H41</f>
        <v>7700000</v>
      </c>
      <c r="I149" s="121">
        <f>'[3]וע. 8.2023  '!I41</f>
        <v>17775000</v>
      </c>
      <c r="J149" s="121">
        <f>'[3]וע. 8.2023  '!J41</f>
        <v>14266512</v>
      </c>
      <c r="K149" s="121">
        <f>'[3]וע. 8.2023  '!K41</f>
        <v>107406</v>
      </c>
      <c r="L149" s="121">
        <f>'[3]וע. 8.2023  '!L41</f>
        <v>399115</v>
      </c>
      <c r="M149" s="121">
        <f>'[3]וע. 8.2023  '!M41</f>
        <v>506521</v>
      </c>
      <c r="N149" s="121">
        <f>'[3]וע. 8.2023  '!N41</f>
        <v>14773033</v>
      </c>
      <c r="O149" s="121">
        <f>'[3]וע. 8.2023  '!O41</f>
        <v>13260865</v>
      </c>
      <c r="P149" s="121">
        <f>'[3]וע. 8.2023  '!P41</f>
        <v>15941102</v>
      </c>
      <c r="Q149" s="121">
        <f>'[3]וע. 8.2023  '!Q41</f>
        <v>3001967</v>
      </c>
      <c r="R149" s="121">
        <f>'[3]וע. 8.2023  '!R41</f>
        <v>10258898</v>
      </c>
      <c r="S149" s="121">
        <f>'[3]וע. 8.2023  '!S41</f>
        <v>6858898</v>
      </c>
      <c r="T149" s="121">
        <f>'[3]וע. 8.2023  '!T41</f>
        <v>3400000</v>
      </c>
      <c r="U149" s="121">
        <f>'[3]וע. 8.2023  '!U41</f>
        <v>3400000</v>
      </c>
      <c r="V149" s="121">
        <f>'[3]וע. 8.2023  '!V41</f>
        <v>0</v>
      </c>
      <c r="W149" s="713"/>
      <c r="X149" s="121">
        <f>'[3]וע. 8.2023  '!W41</f>
        <v>0</v>
      </c>
      <c r="Y149" s="39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K149" s="53"/>
      <c r="AL149" s="51"/>
      <c r="AM149" s="51"/>
      <c r="AO149" s="51"/>
      <c r="AP149" s="51"/>
      <c r="AQ149" s="51"/>
      <c r="AU149" s="51"/>
      <c r="AZ149" s="157"/>
      <c r="BA149" s="157"/>
      <c r="BB149" s="157"/>
      <c r="BC149" s="157"/>
      <c r="BD149" s="157"/>
      <c r="BE149" s="157"/>
      <c r="BF149" s="157"/>
      <c r="BG149" s="157"/>
      <c r="BH149" s="691"/>
      <c r="BI149" s="691"/>
      <c r="BJ149" s="691"/>
      <c r="BK149" s="691"/>
      <c r="BL149" s="691"/>
      <c r="BM149" s="691"/>
      <c r="BN149" s="691"/>
      <c r="BO149" s="691"/>
      <c r="BP149" s="51"/>
      <c r="BQ149" s="61"/>
      <c r="BR149" s="51"/>
      <c r="BS149" s="51"/>
      <c r="BT149" s="51"/>
      <c r="BU149" s="51"/>
      <c r="BV149" s="688"/>
      <c r="BW149" s="688"/>
      <c r="BX149" s="688"/>
      <c r="BY149" s="688"/>
      <c r="BZ149" s="688"/>
      <c r="CA149" s="688"/>
      <c r="CB149" s="688"/>
      <c r="CC149" s="688"/>
      <c r="CD149" s="688"/>
    </row>
    <row r="150" spans="1:82" hidden="1">
      <c r="A150" s="717"/>
      <c r="B150" s="718"/>
      <c r="C150" s="121">
        <f>'[4]מצטבר כולל 11.2023 מעודכן'!$C$143</f>
        <v>13</v>
      </c>
      <c r="D150" s="695"/>
      <c r="E150" s="271" t="str">
        <f>'[4]מצטבר כולל 11.2023 מעודכן'!E143</f>
        <v>ועדה  2.11.23</v>
      </c>
      <c r="F150" s="121">
        <f>'[4]מצטבר כולל 11.2023 מעודכן'!F143</f>
        <v>74012535</v>
      </c>
      <c r="G150" s="121">
        <f>'[4]מצטבר כולל 11.2023 מעודכן'!G143</f>
        <v>73153002</v>
      </c>
      <c r="H150" s="121">
        <f>'[4]מצטבר כולל 11.2023 מעודכן'!H143</f>
        <v>859533</v>
      </c>
      <c r="I150" s="121">
        <f>'[4]מצטבר כולל 11.2023 מעודכן'!I143</f>
        <v>55523002</v>
      </c>
      <c r="J150" s="121">
        <f>'[4]מצטבר כולל 11.2023 מעודכן'!J143</f>
        <v>47531611</v>
      </c>
      <c r="K150" s="121">
        <f>'[4]מצטבר כולל 11.2023 מעודכן'!K143</f>
        <v>0</v>
      </c>
      <c r="L150" s="121">
        <f>'[4]מצטבר כולל 11.2023 מעודכן'!L143</f>
        <v>0</v>
      </c>
      <c r="M150" s="121">
        <f>'[4]מצטבר כולל 11.2023 מעודכן'!M143</f>
        <v>0</v>
      </c>
      <c r="N150" s="121">
        <f>'[4]מצטבר כולל 11.2023 מעודכן'!N143</f>
        <v>47531611</v>
      </c>
      <c r="O150" s="121">
        <f>'[4]מצטבר כולל 11.2023 מעודכן'!O143</f>
        <v>10400924</v>
      </c>
      <c r="P150" s="121">
        <f>'[4]מצטבר כולל 11.2023 מעודכן'!P143</f>
        <v>16080000</v>
      </c>
      <c r="Q150" s="121">
        <f>'[4]מצטבר כולל 11.2023 מעודכן'!Q143</f>
        <v>7991391</v>
      </c>
      <c r="R150" s="121">
        <f>'[4]מצטבר כולל 11.2023 מעודכן'!R143</f>
        <v>2409533</v>
      </c>
      <c r="S150" s="121">
        <f>'[4]מצטבר כולל 11.2023 מעודכן'!S143</f>
        <v>2618000</v>
      </c>
      <c r="T150" s="121">
        <f>'[4]מצטבר כולל 11.2023 מעודכן'!T143</f>
        <v>-208467</v>
      </c>
      <c r="U150" s="121">
        <f>'[4]מצטבר כולל 11.2023 מעודכן'!U143</f>
        <v>-281123</v>
      </c>
      <c r="V150" s="121">
        <f>'[4]מצטבר כולל 11.2023 מעודכן'!V143</f>
        <v>256250</v>
      </c>
      <c r="W150" s="121">
        <f>'[4]מצטבר כולל 11.2023 מעודכן'!W143</f>
        <v>770000</v>
      </c>
      <c r="X150" s="121">
        <f>'[4]מצטבר כולל 11.2023 מעודכן'!X143</f>
        <v>-953594</v>
      </c>
      <c r="Y150" s="39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K150" s="53"/>
      <c r="AL150" s="51"/>
      <c r="AM150" s="51"/>
      <c r="AO150" s="51"/>
      <c r="AP150" s="51"/>
      <c r="AQ150" s="51"/>
      <c r="AU150" s="51"/>
      <c r="AZ150" s="157"/>
      <c r="BA150" s="157"/>
      <c r="BB150" s="157"/>
      <c r="BC150" s="157"/>
      <c r="BD150" s="157"/>
      <c r="BE150" s="157"/>
      <c r="BF150" s="157"/>
      <c r="BG150" s="157"/>
      <c r="BH150" s="691"/>
      <c r="BI150" s="691"/>
      <c r="BJ150" s="691"/>
      <c r="BK150" s="691"/>
      <c r="BL150" s="691"/>
      <c r="BM150" s="691"/>
      <c r="BN150" s="691"/>
      <c r="BO150" s="691"/>
      <c r="BP150" s="51"/>
      <c r="BQ150" s="61"/>
      <c r="BR150" s="51"/>
      <c r="BS150" s="51"/>
      <c r="BT150" s="51"/>
      <c r="BU150" s="51"/>
      <c r="BV150" s="688"/>
      <c r="BW150" s="688"/>
      <c r="BX150" s="688"/>
      <c r="BY150" s="688"/>
      <c r="BZ150" s="688"/>
      <c r="CA150" s="688"/>
      <c r="CB150" s="688"/>
      <c r="CC150" s="688"/>
      <c r="CD150" s="688"/>
    </row>
    <row r="151" spans="1:82" hidden="1">
      <c r="A151" s="717"/>
      <c r="B151" s="718"/>
      <c r="C151" s="121">
        <f>'[5]מצטבר כולל 11.2023מעודכן סופי'!$C$148</f>
        <v>4</v>
      </c>
      <c r="D151" s="695"/>
      <c r="E151" s="271" t="str">
        <f>'[5]מצטבר כולל 11.2023מעודכן סופי'!$E$148</f>
        <v>ועדה  21.11.23</v>
      </c>
      <c r="F151" s="738">
        <f>'[5]מצטבר כולל 11.2023מעודכן סופי'!F148</f>
        <v>72700000</v>
      </c>
      <c r="G151" s="738">
        <f>'[5]מצטבר כולל 11.2023מעודכן סופי'!G148</f>
        <v>62000000</v>
      </c>
      <c r="H151" s="738">
        <f>'[5]מצטבר כולל 11.2023מעודכן סופי'!H148</f>
        <v>10700000</v>
      </c>
      <c r="I151" s="738">
        <f>'[5]מצטבר כולל 11.2023מעודכן סופי'!I148</f>
        <v>28500000</v>
      </c>
      <c r="J151" s="738">
        <f>'[5]מצטבר כולל 11.2023מעודכן סופי'!J148</f>
        <v>28022737</v>
      </c>
      <c r="K151" s="738">
        <f>'[5]מצטבר כולל 11.2023מעודכן סופי'!K148</f>
        <v>0</v>
      </c>
      <c r="L151" s="738">
        <f>'[5]מצטבר כולל 11.2023מעודכן סופי'!L148</f>
        <v>0</v>
      </c>
      <c r="M151" s="738">
        <f>'[5]מצטבר כולל 11.2023מעודכן סופי'!M148</f>
        <v>0</v>
      </c>
      <c r="N151" s="738">
        <f>'[5]מצטבר כולל 11.2023מעודכן סופי'!N148</f>
        <v>28022737</v>
      </c>
      <c r="O151" s="738">
        <f>'[5]מצטבר כולל 11.2023מעודכן סופי'!O148</f>
        <v>42677263</v>
      </c>
      <c r="P151" s="738">
        <f>'[5]מצטבר כולל 11.2023מעודכן סופי'!P148</f>
        <v>2000000</v>
      </c>
      <c r="Q151" s="738">
        <f>'[5]מצטבר כולל 11.2023מעודכן סופי'!Q148</f>
        <v>477263</v>
      </c>
      <c r="R151" s="738">
        <f>'[5]מצטבר כולל 11.2023מעודכן סופי'!R148</f>
        <v>42200000</v>
      </c>
      <c r="S151" s="738">
        <f>'[5]מצטבר כולל 11.2023מעודכן סופי'!S148</f>
        <v>32200000</v>
      </c>
      <c r="T151" s="738">
        <f>'[5]מצטבר כולל 11.2023מעודכן סופי'!T148</f>
        <v>10000000</v>
      </c>
      <c r="U151" s="738">
        <f>'[5]מצטבר כולל 11.2023מעודכן סופי'!U148</f>
        <v>0</v>
      </c>
      <c r="V151" s="738">
        <f>'[5]מצטבר כולל 11.2023מעודכן סופי'!V148</f>
        <v>10000000</v>
      </c>
      <c r="W151" s="738">
        <f>'[5]מצטבר כולל 11.2023מעודכן סופי'!W148</f>
        <v>0</v>
      </c>
      <c r="X151" s="738">
        <f>'[5]מצטבר כולל 11.2023מעודכן סופי'!X148</f>
        <v>0</v>
      </c>
      <c r="Y151" s="39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K151" s="53"/>
      <c r="AL151" s="51"/>
      <c r="AM151" s="51"/>
      <c r="AN151" s="737"/>
      <c r="AO151" s="51"/>
      <c r="AP151" s="51"/>
      <c r="AQ151" s="51"/>
      <c r="AR151" s="737"/>
      <c r="AS151" s="737"/>
      <c r="AT151" s="737"/>
      <c r="AU151" s="51"/>
      <c r="AV151" s="737"/>
      <c r="AW151" s="737"/>
      <c r="AX151" s="737"/>
      <c r="AY151" s="737"/>
      <c r="AZ151" s="157"/>
      <c r="BA151" s="157"/>
      <c r="BB151" s="157"/>
      <c r="BC151" s="157"/>
      <c r="BD151" s="157"/>
      <c r="BE151" s="157"/>
      <c r="BF151" s="157"/>
      <c r="BG151" s="157"/>
      <c r="BH151" s="691"/>
      <c r="BI151" s="691"/>
      <c r="BJ151" s="691"/>
      <c r="BK151" s="691"/>
      <c r="BL151" s="691"/>
      <c r="BM151" s="691"/>
      <c r="BN151" s="691"/>
      <c r="BO151" s="691"/>
      <c r="BP151" s="51"/>
      <c r="BQ151" s="61"/>
      <c r="BR151" s="51"/>
      <c r="BS151" s="51"/>
      <c r="BT151" s="51"/>
      <c r="BU151" s="51"/>
      <c r="BV151" s="688"/>
      <c r="BW151" s="688"/>
      <c r="BX151" s="688"/>
      <c r="BY151" s="688"/>
      <c r="BZ151" s="688"/>
      <c r="CA151" s="688"/>
      <c r="CB151" s="688"/>
      <c r="CC151" s="688"/>
      <c r="CD151" s="688"/>
    </row>
    <row r="152" spans="1:82" hidden="1">
      <c r="A152" s="717"/>
      <c r="B152" s="718"/>
      <c r="C152" s="121">
        <f>SUM(C141:C151)</f>
        <v>100</v>
      </c>
      <c r="D152" s="695"/>
      <c r="E152" s="271" t="s">
        <v>84</v>
      </c>
      <c r="F152" s="121">
        <f>SUM(F141:F151)</f>
        <v>1676029825</v>
      </c>
      <c r="G152" s="121">
        <f t="shared" ref="G152:X152" si="67">SUM(G141:G151)</f>
        <v>1557305312</v>
      </c>
      <c r="H152" s="121">
        <f t="shared" si="67"/>
        <v>118724513</v>
      </c>
      <c r="I152" s="121">
        <f t="shared" si="67"/>
        <v>784515018</v>
      </c>
      <c r="J152" s="121">
        <f t="shared" si="67"/>
        <v>702283173.99000001</v>
      </c>
      <c r="K152" s="121">
        <f t="shared" si="67"/>
        <v>214812</v>
      </c>
      <c r="L152" s="121">
        <f t="shared" si="67"/>
        <v>3662264.42</v>
      </c>
      <c r="M152" s="121">
        <f t="shared" si="67"/>
        <v>3877076.42</v>
      </c>
      <c r="N152" s="121">
        <f t="shared" si="67"/>
        <v>706160250.40999997</v>
      </c>
      <c r="O152" s="121">
        <f t="shared" si="67"/>
        <v>490167331</v>
      </c>
      <c r="P152" s="121">
        <f t="shared" si="67"/>
        <v>479702243.59000003</v>
      </c>
      <c r="Q152" s="121">
        <f t="shared" si="67"/>
        <v>78354767.590000004</v>
      </c>
      <c r="R152" s="121">
        <f t="shared" si="67"/>
        <v>411812563.40999997</v>
      </c>
      <c r="S152" s="121">
        <f t="shared" si="67"/>
        <v>289732419</v>
      </c>
      <c r="T152" s="121">
        <f t="shared" si="67"/>
        <v>122080144.41</v>
      </c>
      <c r="U152" s="121">
        <f t="shared" si="67"/>
        <v>69270085.409999996</v>
      </c>
      <c r="V152" s="121">
        <f t="shared" si="67"/>
        <v>20606250</v>
      </c>
      <c r="W152" s="121">
        <f t="shared" si="67"/>
        <v>770000</v>
      </c>
      <c r="X152" s="121">
        <f t="shared" si="67"/>
        <v>31433809</v>
      </c>
      <c r="Y152" s="39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3"/>
      <c r="AK152" s="51"/>
      <c r="AL152" s="51"/>
      <c r="AM152" s="51"/>
      <c r="AO152" s="51"/>
      <c r="AP152" s="51"/>
      <c r="AQ152" s="51"/>
      <c r="AU152" s="51"/>
      <c r="AZ152" s="157"/>
      <c r="BA152" s="157"/>
      <c r="BB152" s="157"/>
      <c r="BC152" s="157"/>
      <c r="BD152" s="157"/>
      <c r="BE152" s="157"/>
      <c r="BF152" s="157"/>
      <c r="BG152" s="157"/>
      <c r="BH152" s="691"/>
      <c r="BI152" s="691"/>
      <c r="BJ152" s="691"/>
      <c r="BK152" s="691"/>
      <c r="BL152" s="691"/>
      <c r="BM152" s="691"/>
      <c r="BN152" s="691"/>
      <c r="BO152" s="691"/>
      <c r="BP152" s="51"/>
      <c r="BQ152" s="61"/>
      <c r="BR152" s="51"/>
      <c r="BS152" s="51"/>
      <c r="BT152" s="51"/>
      <c r="BU152" s="51"/>
      <c r="BV152" s="688"/>
      <c r="BW152" s="688"/>
      <c r="BX152" s="688"/>
      <c r="BY152" s="688"/>
      <c r="BZ152" s="688"/>
      <c r="CA152" s="688"/>
      <c r="CB152" s="688"/>
      <c r="CC152" s="688"/>
      <c r="CD152" s="688"/>
    </row>
    <row r="153" spans="1:82" hidden="1">
      <c r="C153" s="57">
        <f>C152-C138</f>
        <v>0</v>
      </c>
      <c r="D153" s="720"/>
      <c r="E153" s="336" t="s">
        <v>649</v>
      </c>
      <c r="F153" s="57">
        <f t="shared" ref="F153:X153" si="68">F152-F138</f>
        <v>-1000</v>
      </c>
      <c r="G153" s="57">
        <f t="shared" si="68"/>
        <v>0</v>
      </c>
      <c r="H153" s="57">
        <f t="shared" si="68"/>
        <v>-1000</v>
      </c>
      <c r="I153" s="57">
        <f t="shared" si="68"/>
        <v>0</v>
      </c>
      <c r="J153" s="57">
        <f t="shared" si="68"/>
        <v>0</v>
      </c>
      <c r="K153" s="57">
        <f t="shared" si="68"/>
        <v>0</v>
      </c>
      <c r="L153" s="57">
        <f t="shared" si="68"/>
        <v>0</v>
      </c>
      <c r="M153" s="57">
        <f t="shared" si="68"/>
        <v>0</v>
      </c>
      <c r="N153" s="57">
        <f t="shared" si="68"/>
        <v>0</v>
      </c>
      <c r="O153" s="57">
        <f t="shared" si="68"/>
        <v>0</v>
      </c>
      <c r="P153" s="57">
        <f t="shared" si="68"/>
        <v>-1000</v>
      </c>
      <c r="Q153" s="57">
        <f t="shared" si="68"/>
        <v>0</v>
      </c>
      <c r="R153" s="57">
        <f t="shared" si="68"/>
        <v>0</v>
      </c>
      <c r="S153" s="57">
        <f t="shared" si="68"/>
        <v>0</v>
      </c>
      <c r="T153" s="57">
        <f t="shared" si="68"/>
        <v>0</v>
      </c>
      <c r="U153" s="57">
        <f t="shared" si="68"/>
        <v>0</v>
      </c>
      <c r="V153" s="57">
        <f t="shared" si="68"/>
        <v>0</v>
      </c>
      <c r="W153" s="713"/>
      <c r="X153" s="57">
        <f t="shared" si="68"/>
        <v>0</v>
      </c>
      <c r="Y153" s="39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O153" s="51"/>
      <c r="AP153" s="51"/>
      <c r="AQ153" s="51"/>
      <c r="AU153" s="51"/>
      <c r="AZ153" s="157"/>
      <c r="BA153" s="157"/>
      <c r="BB153" s="157"/>
      <c r="BC153" s="157"/>
      <c r="BD153" s="157"/>
      <c r="BE153" s="157"/>
      <c r="BF153" s="157"/>
      <c r="BG153" s="157"/>
      <c r="BH153" s="691"/>
      <c r="BI153" s="691"/>
      <c r="BJ153" s="691"/>
      <c r="BK153" s="691"/>
      <c r="BL153" s="691"/>
      <c r="BM153" s="691"/>
      <c r="BN153" s="691"/>
      <c r="BO153" s="691"/>
      <c r="BP153" s="51"/>
      <c r="BQ153" s="51"/>
      <c r="BR153" s="51"/>
      <c r="BS153" s="51"/>
      <c r="BT153" s="51"/>
      <c r="BU153" s="51"/>
      <c r="BV153" s="688"/>
      <c r="BW153" s="688"/>
      <c r="BX153" s="688"/>
      <c r="BY153" s="688"/>
      <c r="BZ153" s="688"/>
      <c r="CA153" s="688"/>
      <c r="CB153" s="688"/>
      <c r="CC153" s="688"/>
      <c r="CD153" s="688"/>
    </row>
    <row r="154" spans="1:82" hidden="1">
      <c r="C154" s="51"/>
      <c r="D154" s="721"/>
      <c r="E154" s="61" t="s">
        <v>1237</v>
      </c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722" t="s">
        <v>1238</v>
      </c>
      <c r="Q154" s="722"/>
      <c r="R154" s="722"/>
      <c r="S154" s="722"/>
      <c r="T154" s="723">
        <f>T138</f>
        <v>122080144.41</v>
      </c>
      <c r="U154" s="723">
        <f>U138</f>
        <v>69270085.409999996</v>
      </c>
      <c r="V154" s="724">
        <f>V138</f>
        <v>20606250</v>
      </c>
      <c r="W154" s="724">
        <f>W138</f>
        <v>770000</v>
      </c>
      <c r="X154" s="724">
        <f>X138</f>
        <v>31433809</v>
      </c>
      <c r="Y154" s="39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O154" s="51"/>
      <c r="AP154" s="51"/>
      <c r="AQ154" s="51"/>
      <c r="AU154" s="51"/>
      <c r="AZ154" s="157"/>
      <c r="BA154" s="157"/>
      <c r="BB154" s="157"/>
      <c r="BC154" s="157"/>
      <c r="BD154" s="157"/>
      <c r="BE154" s="157"/>
      <c r="BF154" s="157"/>
      <c r="BG154" s="157"/>
      <c r="BH154" s="691"/>
      <c r="BI154" s="691"/>
      <c r="BJ154" s="691"/>
      <c r="BK154" s="691"/>
      <c r="BL154" s="691"/>
      <c r="BM154" s="691"/>
      <c r="BN154" s="691"/>
      <c r="BO154" s="691"/>
      <c r="BP154" s="51"/>
      <c r="BQ154" s="51"/>
      <c r="BR154" s="51"/>
      <c r="BS154" s="51"/>
      <c r="BT154" s="51"/>
      <c r="BU154" s="51"/>
      <c r="BV154" s="688"/>
      <c r="BW154" s="688"/>
      <c r="BX154" s="688"/>
      <c r="BY154" s="688"/>
      <c r="BZ154" s="688"/>
      <c r="CA154" s="688"/>
      <c r="CB154" s="688"/>
      <c r="CC154" s="688"/>
      <c r="CD154" s="688"/>
    </row>
    <row r="155" spans="1:82" hidden="1">
      <c r="C155" s="51"/>
      <c r="D155" s="725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Q155" s="722"/>
      <c r="R155" s="722"/>
      <c r="S155" s="722"/>
      <c r="T155" s="726"/>
      <c r="U155" s="719"/>
      <c r="V155" s="719"/>
      <c r="X155" s="719"/>
      <c r="Y155" s="39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O155" s="51"/>
      <c r="AP155" s="51"/>
      <c r="AQ155" s="51"/>
      <c r="AU155" s="51"/>
      <c r="AZ155" s="157"/>
      <c r="BA155" s="157"/>
      <c r="BB155" s="157"/>
      <c r="BC155" s="157"/>
      <c r="BD155" s="157"/>
      <c r="BE155" s="157"/>
      <c r="BF155" s="157"/>
      <c r="BG155" s="157"/>
      <c r="BH155" s="691"/>
      <c r="BI155" s="691"/>
      <c r="BJ155" s="691"/>
      <c r="BK155" s="691"/>
      <c r="BL155" s="691"/>
      <c r="BM155" s="691"/>
      <c r="BN155" s="691"/>
      <c r="BO155" s="691"/>
      <c r="BP155" s="51"/>
      <c r="BQ155" s="51"/>
      <c r="BR155" s="51"/>
      <c r="BS155" s="51"/>
      <c r="BT155" s="51"/>
      <c r="BU155" s="51"/>
      <c r="BV155" s="688"/>
      <c r="BW155" s="688"/>
      <c r="BX155" s="688"/>
      <c r="BY155" s="688"/>
      <c r="BZ155" s="688"/>
      <c r="CA155" s="688"/>
      <c r="CB155" s="688"/>
      <c r="CC155" s="688"/>
      <c r="CD155" s="688"/>
    </row>
    <row r="156" spans="1:82" hidden="1">
      <c r="C156" s="51"/>
      <c r="D156" s="725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722" t="s">
        <v>1239</v>
      </c>
      <c r="Q156" s="722"/>
      <c r="R156" s="722"/>
      <c r="S156" s="722"/>
      <c r="T156" s="719"/>
      <c r="U156" s="719"/>
      <c r="V156" s="719"/>
      <c r="X156" s="719"/>
      <c r="Y156" s="39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O156" s="51"/>
      <c r="AP156" s="51"/>
      <c r="AQ156" s="51"/>
      <c r="AU156" s="51"/>
      <c r="AZ156" s="157"/>
      <c r="BA156" s="157"/>
      <c r="BB156" s="157"/>
      <c r="BC156" s="157"/>
      <c r="BD156" s="157"/>
      <c r="BE156" s="157"/>
      <c r="BF156" s="157"/>
      <c r="BG156" s="157"/>
      <c r="BH156" s="691"/>
      <c r="BI156" s="691"/>
      <c r="BJ156" s="691"/>
      <c r="BK156" s="691"/>
      <c r="BL156" s="691"/>
      <c r="BM156" s="691"/>
      <c r="BN156" s="691"/>
      <c r="BO156" s="691"/>
      <c r="BP156" s="51"/>
      <c r="BQ156" s="51"/>
      <c r="BR156" s="51"/>
      <c r="BS156" s="51"/>
      <c r="BT156" s="51"/>
      <c r="BU156" s="51"/>
      <c r="BV156" s="688"/>
      <c r="BW156" s="688"/>
      <c r="BX156" s="688"/>
      <c r="BY156" s="688"/>
      <c r="BZ156" s="688"/>
      <c r="CA156" s="688"/>
      <c r="CB156" s="688"/>
      <c r="CC156" s="688"/>
      <c r="CD156" s="688"/>
    </row>
    <row r="157" spans="1:82" hidden="1">
      <c r="C157" s="122"/>
      <c r="D157" s="727"/>
      <c r="E157" s="396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722" t="s">
        <v>1240</v>
      </c>
      <c r="Q157" s="722"/>
      <c r="R157" s="722"/>
      <c r="S157" s="722"/>
      <c r="T157" s="728">
        <f>SUM(U157:X157)</f>
        <v>31433809</v>
      </c>
      <c r="U157" s="728"/>
      <c r="V157" s="728"/>
      <c r="W157" s="728"/>
      <c r="X157" s="728">
        <f>X154</f>
        <v>31433809</v>
      </c>
      <c r="Y157" s="729"/>
      <c r="Z157" s="691"/>
      <c r="AA157" s="691"/>
      <c r="AB157" s="691"/>
      <c r="AC157" s="691"/>
      <c r="AD157" s="691"/>
      <c r="AE157" s="691"/>
      <c r="AF157" s="691"/>
      <c r="AG157" s="691"/>
      <c r="AH157" s="691"/>
      <c r="AI157" s="691"/>
      <c r="AJ157" s="691"/>
      <c r="AK157" s="691"/>
      <c r="AL157" s="691"/>
      <c r="AM157" s="691"/>
      <c r="AO157" s="691"/>
      <c r="AP157" s="691"/>
      <c r="AQ157" s="691"/>
      <c r="AU157" s="691"/>
      <c r="AZ157" s="157"/>
      <c r="BA157" s="157"/>
      <c r="BB157" s="157"/>
      <c r="BC157" s="157"/>
      <c r="BD157" s="157"/>
      <c r="BE157" s="157"/>
      <c r="BF157" s="157"/>
      <c r="BG157" s="157"/>
      <c r="BH157" s="51"/>
      <c r="BI157" s="51"/>
      <c r="BJ157" s="51"/>
      <c r="BK157" s="51"/>
      <c r="BL157" s="688"/>
      <c r="BM157" s="688"/>
      <c r="BN157" s="688"/>
      <c r="BO157" s="688"/>
      <c r="BP157" s="688"/>
      <c r="BQ157" s="688"/>
      <c r="BR157" s="688"/>
      <c r="BS157" s="688"/>
      <c r="BT157" s="688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</row>
    <row r="158" spans="1:82" hidden="1">
      <c r="C158" s="122"/>
      <c r="D158" s="727"/>
      <c r="E158" s="396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722" t="s">
        <v>15</v>
      </c>
      <c r="Q158" s="722"/>
      <c r="R158" s="722"/>
      <c r="S158" s="722"/>
      <c r="T158" s="728">
        <f>SUM(U158:X158)</f>
        <v>770000</v>
      </c>
      <c r="U158" s="730"/>
      <c r="V158" s="728"/>
      <c r="W158" s="728">
        <v>770000</v>
      </c>
      <c r="X158" s="728"/>
      <c r="Y158" s="729"/>
      <c r="Z158" s="691"/>
      <c r="AA158" s="691"/>
      <c r="AB158" s="691"/>
      <c r="AC158" s="691"/>
      <c r="AD158" s="691"/>
      <c r="AE158" s="691"/>
      <c r="AF158" s="691"/>
      <c r="AG158" s="691"/>
      <c r="AH158" s="691"/>
      <c r="AI158" s="691"/>
      <c r="AJ158" s="691"/>
      <c r="AK158" s="691"/>
      <c r="AL158" s="691"/>
      <c r="AM158" s="691"/>
      <c r="AO158" s="691"/>
      <c r="AP158" s="691"/>
      <c r="AQ158" s="691"/>
      <c r="AU158" s="691"/>
      <c r="AZ158" s="157"/>
      <c r="BA158" s="157"/>
      <c r="BB158" s="157"/>
      <c r="BC158" s="157"/>
      <c r="BD158" s="157"/>
      <c r="BE158" s="157"/>
      <c r="BF158" s="157"/>
      <c r="BG158" s="157"/>
      <c r="BH158" s="51"/>
      <c r="BI158" s="51"/>
      <c r="BJ158" s="51"/>
      <c r="BK158" s="51"/>
      <c r="BL158" s="688"/>
      <c r="BM158" s="688"/>
      <c r="BN158" s="688"/>
      <c r="BO158" s="688"/>
      <c r="BP158" s="688"/>
      <c r="BQ158" s="688"/>
      <c r="BR158" s="688"/>
      <c r="BS158" s="688"/>
      <c r="BT158" s="688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</row>
    <row r="159" spans="1:82" hidden="1">
      <c r="C159" s="122"/>
      <c r="D159" s="721"/>
      <c r="E159" s="396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722" t="s">
        <v>1241</v>
      </c>
      <c r="Q159" s="722"/>
      <c r="R159" s="722"/>
      <c r="S159" s="722"/>
      <c r="T159" s="728">
        <f>SUM(U159:X159)</f>
        <v>401494.53000000119</v>
      </c>
      <c r="U159" s="731">
        <f>'[6]סגירה 10.2023  מקור מימון'!$H$10+'[6]סגירה 7.2023מקור מצטבר '!$H$19</f>
        <v>307740.70000000088</v>
      </c>
      <c r="V159" s="121">
        <f>'[6]סגירה 10.2023  מקור מימון'!$H$18+'[6]סגירה 7.2023מקור מצטבר '!$H$25</f>
        <v>93753.830000000307</v>
      </c>
      <c r="W159" s="713"/>
      <c r="X159" s="732"/>
      <c r="Y159" s="729"/>
      <c r="Z159" s="691"/>
      <c r="AA159" s="691"/>
      <c r="AB159" s="691"/>
      <c r="AC159" s="691"/>
      <c r="AD159" s="691"/>
      <c r="AE159" s="691"/>
      <c r="AF159" s="691"/>
      <c r="AG159" s="691"/>
      <c r="AH159" s="691"/>
      <c r="AI159" s="691"/>
      <c r="AJ159" s="691"/>
      <c r="AK159" s="691"/>
      <c r="AL159" s="691"/>
      <c r="AM159" s="691"/>
      <c r="AO159" s="691"/>
      <c r="AP159" s="691"/>
      <c r="AQ159" s="691"/>
      <c r="AU159" s="691"/>
      <c r="AZ159" s="157"/>
      <c r="BA159" s="157"/>
      <c r="BB159" s="157"/>
      <c r="BC159" s="157"/>
      <c r="BD159" s="157"/>
      <c r="BE159" s="157"/>
      <c r="BF159" s="157"/>
      <c r="BG159" s="157"/>
      <c r="BH159" s="51"/>
      <c r="BI159" s="51"/>
      <c r="BJ159" s="51"/>
      <c r="BK159" s="51"/>
      <c r="BL159" s="688"/>
      <c r="BM159" s="688"/>
      <c r="BN159" s="688"/>
      <c r="BO159" s="688"/>
      <c r="BP159" s="688"/>
      <c r="BQ159" s="688"/>
      <c r="BR159" s="688"/>
      <c r="BS159" s="688"/>
      <c r="BT159" s="688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</row>
    <row r="160" spans="1:82" hidden="1">
      <c r="C160" s="122"/>
      <c r="E160" s="396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722" t="s">
        <v>1242</v>
      </c>
      <c r="Q160" s="722"/>
      <c r="R160" s="722"/>
      <c r="S160" s="722"/>
      <c r="T160" s="728">
        <f>SUM(U160:X160)</f>
        <v>7000000</v>
      </c>
      <c r="U160" s="730">
        <v>7000000</v>
      </c>
      <c r="V160" s="728"/>
      <c r="W160" s="713"/>
      <c r="X160" s="732"/>
      <c r="Y160" s="729"/>
      <c r="Z160" s="691"/>
      <c r="AA160" s="691"/>
      <c r="AB160" s="691"/>
      <c r="AC160" s="691"/>
      <c r="AD160" s="691"/>
      <c r="AE160" s="691"/>
      <c r="AF160" s="691"/>
      <c r="AG160" s="691"/>
      <c r="AH160" s="691"/>
      <c r="AI160" s="691"/>
      <c r="AJ160" s="691"/>
      <c r="AK160" s="691"/>
      <c r="AL160" s="691"/>
      <c r="AM160" s="691"/>
      <c r="AO160" s="691"/>
      <c r="AP160" s="691"/>
      <c r="AQ160" s="691"/>
      <c r="AU160" s="691"/>
      <c r="AZ160" s="157"/>
      <c r="BA160" s="157"/>
      <c r="BB160" s="157"/>
      <c r="BC160" s="157"/>
      <c r="BD160" s="157"/>
      <c r="BE160" s="157"/>
      <c r="BF160" s="157"/>
      <c r="BG160" s="157"/>
      <c r="BH160" s="51"/>
      <c r="BI160" s="51"/>
      <c r="BJ160" s="51"/>
      <c r="BK160" s="51"/>
      <c r="BL160" s="688"/>
      <c r="BM160" s="688"/>
      <c r="BN160" s="688"/>
      <c r="BO160" s="688"/>
      <c r="BP160" s="688"/>
      <c r="BQ160" s="688"/>
      <c r="BR160" s="688"/>
      <c r="BS160" s="688"/>
      <c r="BT160" s="688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</row>
    <row r="161" spans="3:82" hidden="1">
      <c r="C161" s="122"/>
      <c r="D161" s="397"/>
      <c r="E161" s="39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722" t="s">
        <v>1243</v>
      </c>
      <c r="Q161" s="722"/>
      <c r="R161" s="722"/>
      <c r="S161" s="722"/>
      <c r="T161" s="728">
        <f>SUM(U161:X161)</f>
        <v>21000000</v>
      </c>
      <c r="U161" s="730"/>
      <c r="V161" s="728">
        <f>2000000+500000+5500000+3000000+10000000</f>
        <v>21000000</v>
      </c>
      <c r="W161" s="713"/>
      <c r="X161" s="732"/>
      <c r="Y161" s="729"/>
      <c r="Z161" s="691"/>
      <c r="AA161" s="691"/>
      <c r="AB161" s="691"/>
      <c r="AC161" s="691"/>
      <c r="AD161" s="691"/>
      <c r="AE161" s="691"/>
      <c r="AF161" s="691"/>
      <c r="AG161" s="691"/>
      <c r="AH161" s="691"/>
      <c r="AI161" s="691"/>
      <c r="AJ161" s="691"/>
      <c r="AK161" s="691"/>
      <c r="AL161" s="691"/>
      <c r="AM161" s="691"/>
      <c r="AO161" s="691"/>
      <c r="AP161" s="691"/>
      <c r="AQ161" s="691"/>
      <c r="AU161" s="691"/>
      <c r="AZ161" s="157"/>
      <c r="BA161" s="157"/>
      <c r="BB161" s="157"/>
      <c r="BC161" s="157"/>
      <c r="BD161" s="157"/>
      <c r="BE161" s="157"/>
      <c r="BF161" s="157"/>
      <c r="BG161" s="157"/>
      <c r="BH161" s="51"/>
      <c r="BI161" s="51"/>
      <c r="BJ161" s="51"/>
      <c r="BK161" s="51"/>
      <c r="BL161" s="688"/>
      <c r="BM161" s="688"/>
      <c r="BN161" s="688"/>
      <c r="BO161" s="688"/>
      <c r="BP161" s="688"/>
      <c r="BQ161" s="688"/>
      <c r="BR161" s="688"/>
      <c r="BS161" s="688"/>
      <c r="BT161" s="688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</row>
    <row r="162" spans="3:82" hidden="1">
      <c r="C162" s="122"/>
      <c r="D162" s="397"/>
      <c r="E162" s="39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722" t="s">
        <v>1239</v>
      </c>
      <c r="Q162" s="722"/>
      <c r="R162" s="722"/>
      <c r="S162" s="722"/>
      <c r="T162" s="728">
        <f>SUM(T157:T161)</f>
        <v>60605303.530000001</v>
      </c>
      <c r="U162" s="728">
        <f>SUM(U157:U161)</f>
        <v>7307740.7000000011</v>
      </c>
      <c r="V162" s="728">
        <f>SUM(V157:V161)</f>
        <v>21093753.830000002</v>
      </c>
      <c r="W162" s="728">
        <f>SUM(W157:W161)</f>
        <v>770000</v>
      </c>
      <c r="X162" s="728">
        <f>SUM(X157:X161)</f>
        <v>31433809</v>
      </c>
      <c r="Y162" s="729"/>
      <c r="Z162" s="691"/>
      <c r="AA162" s="691"/>
      <c r="AB162" s="691"/>
      <c r="AC162" s="691"/>
      <c r="AD162" s="691"/>
      <c r="AE162" s="691"/>
      <c r="AF162" s="691"/>
      <c r="AG162" s="691"/>
      <c r="AH162" s="691"/>
      <c r="AI162" s="691"/>
      <c r="AJ162" s="691"/>
      <c r="AK162" s="691"/>
      <c r="AL162" s="691"/>
      <c r="AM162" s="691"/>
      <c r="AO162" s="691"/>
      <c r="AP162" s="691"/>
      <c r="AQ162" s="691"/>
      <c r="AU162" s="691"/>
      <c r="AZ162" s="157"/>
      <c r="BA162" s="157"/>
      <c r="BB162" s="157"/>
      <c r="BC162" s="157"/>
      <c r="BD162" s="157"/>
      <c r="BE162" s="157"/>
      <c r="BF162" s="157"/>
      <c r="BG162" s="157"/>
      <c r="BH162" s="51"/>
      <c r="BI162" s="51"/>
      <c r="BJ162" s="51"/>
      <c r="BK162" s="51"/>
      <c r="BL162" s="688"/>
      <c r="BM162" s="688"/>
      <c r="BN162" s="688"/>
      <c r="BO162" s="688"/>
      <c r="BP162" s="688"/>
      <c r="BQ162" s="688"/>
      <c r="BR162" s="688"/>
      <c r="BS162" s="688"/>
      <c r="BT162" s="688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</row>
    <row r="163" spans="3:82" hidden="1">
      <c r="C163" s="122"/>
      <c r="D163" s="397"/>
      <c r="E163" s="39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722" t="s">
        <v>1244</v>
      </c>
      <c r="Q163" s="722"/>
      <c r="R163" s="722"/>
      <c r="S163" s="722"/>
      <c r="T163" s="728">
        <f>SUM(U163:X163)</f>
        <v>-61474840.879999995</v>
      </c>
      <c r="U163" s="728">
        <f>U162-U154</f>
        <v>-61962344.709999993</v>
      </c>
      <c r="V163" s="728">
        <f>V162-V154</f>
        <v>487503.83000000194</v>
      </c>
      <c r="W163" s="728">
        <f>W162-W154</f>
        <v>0</v>
      </c>
      <c r="X163" s="728">
        <f>X162-X154</f>
        <v>0</v>
      </c>
      <c r="Y163" s="729"/>
      <c r="Z163" s="691"/>
      <c r="AA163" s="691"/>
      <c r="AB163" s="691"/>
      <c r="AC163" s="691"/>
      <c r="AD163" s="691"/>
      <c r="AE163" s="691"/>
      <c r="AF163" s="691"/>
      <c r="AG163" s="691"/>
      <c r="AH163" s="691"/>
      <c r="AI163" s="691"/>
      <c r="AJ163" s="691"/>
      <c r="AK163" s="691"/>
      <c r="AL163" s="691"/>
      <c r="AM163" s="691"/>
      <c r="AO163" s="691"/>
      <c r="AP163" s="691"/>
      <c r="AQ163" s="691"/>
      <c r="AU163" s="691"/>
      <c r="AZ163" s="157"/>
      <c r="BA163" s="157"/>
      <c r="BB163" s="157"/>
      <c r="BC163" s="157"/>
      <c r="BD163" s="157"/>
      <c r="BE163" s="157"/>
      <c r="BF163" s="157"/>
      <c r="BG163" s="157"/>
      <c r="BH163" s="51"/>
      <c r="BI163" s="51"/>
      <c r="BJ163" s="51"/>
      <c r="BK163" s="51"/>
      <c r="BL163" s="688"/>
      <c r="BM163" s="688"/>
      <c r="BN163" s="688"/>
      <c r="BO163" s="688"/>
      <c r="BP163" s="688"/>
      <c r="BQ163" s="688"/>
      <c r="BR163" s="688"/>
      <c r="BS163" s="688"/>
      <c r="BT163" s="688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</row>
    <row r="164" spans="3:82" hidden="1">
      <c r="C164" s="51"/>
      <c r="D164" s="689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X164" s="51"/>
      <c r="Y164" s="39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O164" s="51"/>
      <c r="AP164" s="51"/>
      <c r="AQ164" s="51"/>
      <c r="AU164" s="51"/>
      <c r="AZ164" s="157"/>
      <c r="BA164" s="157"/>
      <c r="BB164" s="157"/>
      <c r="BC164" s="157"/>
      <c r="BD164" s="157"/>
      <c r="BE164" s="157"/>
      <c r="BF164" s="157"/>
      <c r="BG164" s="157"/>
      <c r="BH164" s="691"/>
      <c r="BI164" s="691"/>
      <c r="BJ164" s="691"/>
      <c r="BK164" s="691"/>
      <c r="BL164" s="691"/>
      <c r="BM164" s="691"/>
      <c r="BN164" s="691"/>
      <c r="BO164" s="691"/>
      <c r="BP164" s="51"/>
      <c r="BQ164" s="51"/>
      <c r="BR164" s="51"/>
      <c r="BS164" s="51"/>
      <c r="BT164" s="51"/>
      <c r="BU164" s="51"/>
      <c r="BV164" s="688"/>
      <c r="BW164" s="688"/>
      <c r="BX164" s="688"/>
      <c r="BY164" s="688"/>
      <c r="BZ164" s="688"/>
      <c r="CA164" s="688"/>
      <c r="CB164" s="688"/>
      <c r="CC164" s="688"/>
      <c r="CD164" s="688"/>
    </row>
    <row r="165" spans="3:82" hidden="1">
      <c r="C165" s="51"/>
      <c r="D165" s="689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X165" s="51"/>
      <c r="Y165" s="39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O165" s="51"/>
      <c r="AP165" s="51"/>
      <c r="AQ165" s="51"/>
      <c r="AU165" s="51"/>
      <c r="AZ165" s="157"/>
      <c r="BA165" s="157"/>
      <c r="BB165" s="157"/>
      <c r="BC165" s="157"/>
      <c r="BD165" s="157"/>
      <c r="BE165" s="157"/>
      <c r="BF165" s="157"/>
      <c r="BG165" s="157"/>
      <c r="BH165" s="691"/>
      <c r="BI165" s="691"/>
      <c r="BJ165" s="691"/>
      <c r="BK165" s="691"/>
      <c r="BL165" s="691"/>
      <c r="BM165" s="691"/>
      <c r="BN165" s="691"/>
      <c r="BO165" s="691"/>
      <c r="BP165" s="51"/>
      <c r="BQ165" s="51"/>
      <c r="BR165" s="51"/>
      <c r="BS165" s="51"/>
      <c r="BT165" s="51"/>
      <c r="BU165" s="51"/>
      <c r="BV165" s="688"/>
      <c r="BW165" s="688"/>
      <c r="BX165" s="688"/>
      <c r="BY165" s="688"/>
      <c r="BZ165" s="688"/>
      <c r="CA165" s="688"/>
      <c r="CB165" s="688"/>
      <c r="CC165" s="688"/>
      <c r="CD165" s="688"/>
    </row>
    <row r="166" spans="3:82">
      <c r="C166" s="51"/>
      <c r="D166" s="689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X166" s="51"/>
      <c r="Y166" s="39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O166" s="51"/>
      <c r="AP166" s="51"/>
      <c r="AQ166" s="51"/>
      <c r="AU166" s="51"/>
      <c r="AZ166" s="157"/>
      <c r="BA166" s="157"/>
      <c r="BB166" s="157"/>
      <c r="BC166" s="157"/>
      <c r="BD166" s="157"/>
      <c r="BE166" s="157"/>
      <c r="BF166" s="157"/>
      <c r="BG166" s="157"/>
      <c r="BH166" s="691"/>
      <c r="BI166" s="691"/>
      <c r="BJ166" s="691"/>
      <c r="BK166" s="691"/>
      <c r="BL166" s="691"/>
      <c r="BM166" s="691"/>
      <c r="BN166" s="691"/>
      <c r="BO166" s="691"/>
      <c r="BP166" s="51"/>
      <c r="BQ166" s="51"/>
      <c r="BR166" s="51"/>
      <c r="BS166" s="51"/>
      <c r="BT166" s="51"/>
      <c r="BU166" s="51"/>
      <c r="BV166" s="688"/>
      <c r="BW166" s="688"/>
      <c r="BX166" s="688"/>
      <c r="BY166" s="688"/>
      <c r="BZ166" s="688"/>
      <c r="CA166" s="688"/>
      <c r="CB166" s="688"/>
      <c r="CC166" s="688"/>
      <c r="CD166" s="688"/>
    </row>
  </sheetData>
  <mergeCells count="6">
    <mergeCell ref="AP4:AU4"/>
    <mergeCell ref="C2:Y2"/>
    <mergeCell ref="F4:P4"/>
    <mergeCell ref="S4:X4"/>
    <mergeCell ref="AL4:AO4"/>
    <mergeCell ref="Z4:AK4"/>
  </mergeCells>
  <printOptions horizontalCentered="1"/>
  <pageMargins left="0" right="0" top="1.3779527559055118" bottom="0.55118110236220474" header="0.9055118110236221" footer="0.31496062992125984"/>
  <pageSetup paperSize="9" scale="85" fitToWidth="0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rightToLeft="1" zoomScaleNormal="100" workbookViewId="0">
      <selection activeCell="T10" sqref="T10"/>
    </sheetView>
  </sheetViews>
  <sheetFormatPr defaultColWidth="9.109375" defaultRowHeight="13.8"/>
  <cols>
    <col min="1" max="1" width="9.5546875" style="216" customWidth="1"/>
    <col min="2" max="2" width="48.33203125" style="139" customWidth="1"/>
    <col min="3" max="3" width="17" style="216" bestFit="1" customWidth="1"/>
    <col min="4" max="4" width="17.6640625" style="139" customWidth="1"/>
    <col min="5" max="5" width="11.5546875" style="132" customWidth="1"/>
    <col min="6" max="6" width="18.6640625" style="132" customWidth="1"/>
    <col min="7" max="7" width="12.6640625" style="157" customWidth="1"/>
    <col min="8" max="16384" width="9.109375" style="157"/>
  </cols>
  <sheetData>
    <row r="1" spans="1:7" ht="18">
      <c r="C1" s="154"/>
      <c r="D1" s="236"/>
      <c r="E1" s="154"/>
    </row>
    <row r="2" spans="1:7" ht="18">
      <c r="A2" s="154" t="s">
        <v>236</v>
      </c>
      <c r="B2" s="264"/>
      <c r="C2" s="154"/>
      <c r="D2" s="236"/>
      <c r="E2" s="154"/>
      <c r="F2" s="147"/>
    </row>
    <row r="3" spans="1:7" ht="18">
      <c r="A3" s="154" t="s">
        <v>1280</v>
      </c>
      <c r="B3" s="1"/>
      <c r="F3" s="153"/>
    </row>
    <row r="4" spans="1:7" ht="18">
      <c r="A4" s="154"/>
      <c r="B4" s="236"/>
      <c r="F4" s="154"/>
    </row>
    <row r="5" spans="1:7" ht="19.95" customHeight="1">
      <c r="A5" s="12" t="s">
        <v>1</v>
      </c>
      <c r="B5" s="12" t="s">
        <v>2</v>
      </c>
      <c r="C5" s="12" t="s">
        <v>3</v>
      </c>
    </row>
    <row r="6" spans="1:7" s="319" customFormat="1" ht="19.95" customHeight="1">
      <c r="A6" s="220">
        <v>1912</v>
      </c>
      <c r="B6" s="135" t="s">
        <v>385</v>
      </c>
      <c r="C6" s="120">
        <v>430000000</v>
      </c>
      <c r="D6" s="139"/>
      <c r="E6" s="132"/>
      <c r="F6" s="132"/>
      <c r="G6" s="157"/>
    </row>
    <row r="7" spans="1:7" s="319" customFormat="1" ht="19.95" customHeight="1">
      <c r="A7" s="19">
        <v>2153</v>
      </c>
      <c r="B7" s="3" t="s">
        <v>409</v>
      </c>
      <c r="C7" s="120">
        <v>225000000</v>
      </c>
      <c r="D7" s="139"/>
      <c r="E7" s="132"/>
      <c r="F7" s="132"/>
      <c r="G7" s="157"/>
    </row>
    <row r="8" spans="1:7" s="319" customFormat="1" ht="19.95" customHeight="1">
      <c r="A8" s="220">
        <v>1909</v>
      </c>
      <c r="B8" s="135" t="s">
        <v>412</v>
      </c>
      <c r="C8" s="120">
        <v>184500000</v>
      </c>
      <c r="D8" s="139"/>
      <c r="E8" s="132"/>
      <c r="F8" s="132"/>
      <c r="G8" s="157"/>
    </row>
    <row r="9" spans="1:7" s="319" customFormat="1" ht="19.95" customHeight="1">
      <c r="A9" s="135">
        <v>1547</v>
      </c>
      <c r="B9" s="135" t="s">
        <v>383</v>
      </c>
      <c r="C9" s="120">
        <v>144000000</v>
      </c>
      <c r="D9" s="139"/>
      <c r="E9" s="132"/>
      <c r="F9" s="132"/>
      <c r="G9" s="157"/>
    </row>
    <row r="10" spans="1:7" s="319" customFormat="1" ht="19.95" customHeight="1">
      <c r="A10" s="220">
        <v>1845</v>
      </c>
      <c r="B10" s="135" t="s">
        <v>1328</v>
      </c>
      <c r="C10" s="120">
        <f>6000000+131500000</f>
        <v>137500000</v>
      </c>
      <c r="G10" s="157"/>
    </row>
    <row r="11" spans="1:7" s="319" customFormat="1" ht="19.95" customHeight="1">
      <c r="A11" s="220">
        <v>1919</v>
      </c>
      <c r="B11" s="135" t="s">
        <v>104</v>
      </c>
      <c r="C11" s="120">
        <v>135100000</v>
      </c>
      <c r="D11" s="139"/>
      <c r="E11" s="132"/>
      <c r="F11" s="132"/>
      <c r="G11" s="157"/>
    </row>
    <row r="12" spans="1:7" s="319" customFormat="1" ht="19.95" customHeight="1">
      <c r="A12" s="19">
        <v>2201</v>
      </c>
      <c r="B12" s="3" t="s">
        <v>476</v>
      </c>
      <c r="C12" s="120">
        <f>130000000-10000000</f>
        <v>120000000</v>
      </c>
      <c r="D12" s="139"/>
      <c r="E12" s="132"/>
      <c r="F12" s="132"/>
      <c r="G12" s="157"/>
    </row>
    <row r="13" spans="1:7" s="319" customFormat="1" ht="19.95" customHeight="1">
      <c r="A13" s="135">
        <v>382</v>
      </c>
      <c r="B13" s="135" t="s">
        <v>366</v>
      </c>
      <c r="C13" s="120">
        <v>111381330</v>
      </c>
      <c r="G13" s="157"/>
    </row>
    <row r="14" spans="1:7" s="319" customFormat="1" ht="19.95" customHeight="1">
      <c r="A14" s="448">
        <v>20084</v>
      </c>
      <c r="B14" s="448" t="s">
        <v>929</v>
      </c>
      <c r="C14" s="419">
        <f>129500000-20500000</f>
        <v>109000000</v>
      </c>
      <c r="D14" s="139"/>
      <c r="E14" s="132"/>
      <c r="F14" s="132"/>
      <c r="G14" s="157"/>
    </row>
    <row r="15" spans="1:7" s="319" customFormat="1" ht="19.95" customHeight="1">
      <c r="A15" s="220">
        <v>1827</v>
      </c>
      <c r="B15" s="135" t="s">
        <v>384</v>
      </c>
      <c r="C15" s="120">
        <v>100000000</v>
      </c>
      <c r="G15" s="157"/>
    </row>
    <row r="16" spans="1:7" s="319" customFormat="1" ht="19.95" customHeight="1">
      <c r="A16" s="19">
        <v>2206</v>
      </c>
      <c r="B16" s="3" t="s">
        <v>478</v>
      </c>
      <c r="C16" s="120">
        <v>92000000</v>
      </c>
      <c r="D16" s="139"/>
      <c r="E16" s="132"/>
      <c r="F16" s="132"/>
      <c r="G16" s="157"/>
    </row>
    <row r="17" spans="1:7" s="319" customFormat="1" ht="19.95" customHeight="1">
      <c r="A17" s="135">
        <v>1965</v>
      </c>
      <c r="B17" s="135" t="s">
        <v>266</v>
      </c>
      <c r="C17" s="120">
        <f>97500000-8500000-2000000</f>
        <v>87000000</v>
      </c>
      <c r="D17" s="139"/>
      <c r="E17" s="132"/>
      <c r="F17" s="132"/>
      <c r="G17" s="157"/>
    </row>
    <row r="18" spans="1:7" s="319" customFormat="1" ht="19.95" customHeight="1">
      <c r="A18" s="135">
        <v>532</v>
      </c>
      <c r="B18" s="135" t="s">
        <v>68</v>
      </c>
      <c r="C18" s="120">
        <v>80090000</v>
      </c>
    </row>
    <row r="19" spans="1:7" s="319" customFormat="1" ht="19.95" customHeight="1">
      <c r="A19" s="3">
        <v>2011</v>
      </c>
      <c r="B19" s="19" t="s">
        <v>571</v>
      </c>
      <c r="C19" s="120">
        <v>80000000</v>
      </c>
      <c r="G19" s="157"/>
    </row>
    <row r="20" spans="1:7" s="319" customFormat="1" ht="19.95" customHeight="1">
      <c r="A20" s="19">
        <v>2097</v>
      </c>
      <c r="B20" s="135" t="s">
        <v>262</v>
      </c>
      <c r="C20" s="120">
        <v>79000000</v>
      </c>
      <c r="G20" s="157"/>
    </row>
    <row r="21" spans="1:7" s="319" customFormat="1" ht="19.95" customHeight="1">
      <c r="A21" s="135">
        <v>576</v>
      </c>
      <c r="B21" s="135" t="s">
        <v>69</v>
      </c>
      <c r="C21" s="120">
        <f>58113000+20000000</f>
        <v>78113000</v>
      </c>
      <c r="G21" s="157"/>
    </row>
    <row r="22" spans="1:7" s="319" customFormat="1" ht="19.95" customHeight="1">
      <c r="A22" s="220">
        <v>1957</v>
      </c>
      <c r="B22" s="135" t="s">
        <v>1367</v>
      </c>
      <c r="C22" s="120">
        <f>60000000+12500000-12500000+15000000</f>
        <v>75000000</v>
      </c>
      <c r="G22" s="157"/>
    </row>
    <row r="23" spans="1:7" s="319" customFormat="1" ht="19.95" customHeight="1">
      <c r="A23" s="135">
        <v>1834</v>
      </c>
      <c r="B23" s="135" t="s">
        <v>96</v>
      </c>
      <c r="C23" s="120">
        <f>62000000+120000+630000+1500000+800000</f>
        <v>65050000</v>
      </c>
      <c r="G23" s="157"/>
    </row>
    <row r="24" spans="1:7" s="319" customFormat="1" ht="19.95" customHeight="1">
      <c r="A24" s="135">
        <v>1657</v>
      </c>
      <c r="B24" s="135" t="s">
        <v>26</v>
      </c>
      <c r="C24" s="4">
        <f>60000000+5000000</f>
        <v>65000000</v>
      </c>
      <c r="G24" s="157"/>
    </row>
    <row r="25" spans="1:7" s="319" customFormat="1" ht="19.95" customHeight="1">
      <c r="A25" s="3">
        <v>20081</v>
      </c>
      <c r="B25" s="3" t="s">
        <v>946</v>
      </c>
      <c r="C25" s="120">
        <f>39000000+11000000+7500000</f>
        <v>57500000</v>
      </c>
      <c r="D25" s="139"/>
      <c r="E25" s="132"/>
      <c r="F25" s="132"/>
      <c r="G25" s="157"/>
    </row>
    <row r="26" spans="1:7" s="319" customFormat="1" ht="19.95" customHeight="1">
      <c r="A26" s="135">
        <v>2015</v>
      </c>
      <c r="B26" s="235" t="s">
        <v>572</v>
      </c>
      <c r="C26" s="120">
        <v>54000000</v>
      </c>
      <c r="G26" s="157"/>
    </row>
    <row r="27" spans="1:7" s="319" customFormat="1" ht="19.95" customHeight="1">
      <c r="A27" s="19">
        <v>2151</v>
      </c>
      <c r="B27" s="3" t="s">
        <v>386</v>
      </c>
      <c r="C27" s="120">
        <v>54000000</v>
      </c>
      <c r="D27" s="139"/>
      <c r="E27" s="132"/>
      <c r="F27" s="132"/>
      <c r="G27" s="157"/>
    </row>
    <row r="28" spans="1:7" s="319" customFormat="1" ht="19.95" customHeight="1">
      <c r="A28" s="135">
        <v>1588</v>
      </c>
      <c r="B28" s="135" t="s">
        <v>24</v>
      </c>
      <c r="C28" s="120">
        <f>50500000+3000000</f>
        <v>53500000</v>
      </c>
      <c r="G28" s="157"/>
    </row>
    <row r="29" spans="1:7" s="319" customFormat="1" ht="19.95" customHeight="1">
      <c r="A29" s="135">
        <v>1835</v>
      </c>
      <c r="B29" s="135" t="s">
        <v>330</v>
      </c>
      <c r="C29" s="120">
        <v>51500000</v>
      </c>
      <c r="G29" s="157"/>
    </row>
    <row r="30" spans="1:7" s="319" customFormat="1" ht="19.95" customHeight="1">
      <c r="A30" s="19">
        <v>2202</v>
      </c>
      <c r="B30" s="3" t="s">
        <v>477</v>
      </c>
      <c r="C30" s="120">
        <v>49000000</v>
      </c>
      <c r="D30" s="139"/>
      <c r="E30" s="132"/>
      <c r="F30" s="132"/>
      <c r="G30" s="157"/>
    </row>
    <row r="31" spans="1:7" s="319" customFormat="1" ht="19.95" customHeight="1">
      <c r="A31" s="19">
        <v>2209</v>
      </c>
      <c r="B31" s="3" t="s">
        <v>480</v>
      </c>
      <c r="C31" s="120">
        <v>46500000</v>
      </c>
      <c r="D31" s="139"/>
      <c r="E31" s="132"/>
      <c r="F31" s="132"/>
      <c r="G31" s="157"/>
    </row>
    <row r="32" spans="1:7" s="319" customFormat="1" ht="19.95" customHeight="1">
      <c r="A32" s="135">
        <v>1207</v>
      </c>
      <c r="B32" s="135" t="s">
        <v>71</v>
      </c>
      <c r="C32" s="120">
        <v>45650000</v>
      </c>
      <c r="G32" s="157"/>
    </row>
    <row r="33" spans="1:7" s="319" customFormat="1" ht="19.95" customHeight="1">
      <c r="A33" s="220">
        <v>1921</v>
      </c>
      <c r="B33" s="135" t="s">
        <v>105</v>
      </c>
      <c r="C33" s="120">
        <f>29716000+15284000</f>
        <v>45000000</v>
      </c>
      <c r="G33" s="157"/>
    </row>
    <row r="34" spans="1:7" s="319" customFormat="1" ht="19.95" customHeight="1">
      <c r="A34" s="19">
        <v>20018</v>
      </c>
      <c r="B34" s="3" t="s">
        <v>662</v>
      </c>
      <c r="C34" s="120">
        <v>45000000</v>
      </c>
      <c r="D34" s="139"/>
      <c r="E34" s="132"/>
      <c r="F34" s="132"/>
      <c r="G34" s="157"/>
    </row>
    <row r="35" spans="1:7" s="319" customFormat="1" ht="19.95" customHeight="1">
      <c r="A35" s="135">
        <v>1375</v>
      </c>
      <c r="B35" s="135" t="s">
        <v>329</v>
      </c>
      <c r="C35" s="120">
        <f>40150000+2000000</f>
        <v>42150000</v>
      </c>
      <c r="G35" s="157"/>
    </row>
    <row r="36" spans="1:7" s="319" customFormat="1" ht="19.95" customHeight="1">
      <c r="A36" s="135">
        <v>1238</v>
      </c>
      <c r="B36" s="135" t="s">
        <v>718</v>
      </c>
      <c r="C36" s="120">
        <v>40500000</v>
      </c>
      <c r="G36" s="157"/>
    </row>
    <row r="37" spans="1:7" s="319" customFormat="1" ht="19.95" customHeight="1">
      <c r="A37" s="19">
        <v>2185</v>
      </c>
      <c r="B37" s="3" t="s">
        <v>429</v>
      </c>
      <c r="C37" s="120">
        <v>40000000</v>
      </c>
      <c r="D37" s="139"/>
      <c r="E37" s="132"/>
      <c r="F37" s="132"/>
      <c r="G37" s="157"/>
    </row>
    <row r="38" spans="1:7" s="319" customFormat="1" ht="19.95" customHeight="1">
      <c r="A38" s="3">
        <v>1670</v>
      </c>
      <c r="B38" s="3" t="s">
        <v>90</v>
      </c>
      <c r="C38" s="120">
        <f>17800000+19900000</f>
        <v>37700000</v>
      </c>
      <c r="G38" s="157"/>
    </row>
    <row r="39" spans="1:7" s="319" customFormat="1" ht="19.95" customHeight="1">
      <c r="A39" s="135">
        <v>2017</v>
      </c>
      <c r="B39" s="224" t="s">
        <v>1359</v>
      </c>
      <c r="C39" s="120">
        <f>37100000+2000000-2000000</f>
        <v>37100000</v>
      </c>
      <c r="G39" s="157"/>
    </row>
    <row r="40" spans="1:7" s="319" customFormat="1" ht="19.95" customHeight="1">
      <c r="A40" s="220">
        <v>1833</v>
      </c>
      <c r="B40" s="135" t="s">
        <v>102</v>
      </c>
      <c r="C40" s="120">
        <v>29000000</v>
      </c>
      <c r="G40" s="157"/>
    </row>
    <row r="41" spans="1:7" s="319" customFormat="1" ht="19.95" customHeight="1">
      <c r="A41" s="135">
        <v>1615</v>
      </c>
      <c r="B41" s="135" t="s">
        <v>98</v>
      </c>
      <c r="C41" s="120">
        <v>27700000</v>
      </c>
      <c r="G41" s="157"/>
    </row>
    <row r="42" spans="1:7" s="319" customFormat="1" ht="19.95" customHeight="1">
      <c r="A42" s="220">
        <v>1911</v>
      </c>
      <c r="B42" s="135" t="s">
        <v>264</v>
      </c>
      <c r="C42" s="120">
        <f>27236240-300000</f>
        <v>26936240</v>
      </c>
      <c r="D42" s="139"/>
      <c r="E42" s="132"/>
      <c r="F42" s="132"/>
      <c r="G42" s="157"/>
    </row>
    <row r="43" spans="1:7" s="319" customFormat="1" ht="19.95" customHeight="1">
      <c r="A43" s="3">
        <v>2001</v>
      </c>
      <c r="B43" s="3" t="s">
        <v>126</v>
      </c>
      <c r="C43" s="120">
        <f>30000000-9000000+4000000</f>
        <v>25000000</v>
      </c>
      <c r="G43" s="157"/>
    </row>
    <row r="44" spans="1:7" s="319" customFormat="1" ht="19.95" customHeight="1">
      <c r="A44" s="19">
        <v>20004</v>
      </c>
      <c r="B44" s="3" t="s">
        <v>589</v>
      </c>
      <c r="C44" s="120">
        <v>24750000</v>
      </c>
      <c r="D44" s="139"/>
      <c r="E44" s="132"/>
      <c r="F44" s="132"/>
      <c r="G44" s="157"/>
    </row>
    <row r="45" spans="1:7" s="319" customFormat="1" ht="19.95" customHeight="1">
      <c r="A45" s="19">
        <v>2101</v>
      </c>
      <c r="B45" s="135" t="s">
        <v>437</v>
      </c>
      <c r="C45" s="120">
        <v>24200000</v>
      </c>
      <c r="G45" s="157"/>
    </row>
    <row r="46" spans="1:7" s="319" customFormat="1" ht="19.95" customHeight="1">
      <c r="A46" s="19">
        <v>2150</v>
      </c>
      <c r="B46" s="19" t="s">
        <v>576</v>
      </c>
      <c r="C46" s="120">
        <v>23500000</v>
      </c>
      <c r="D46" s="139"/>
      <c r="E46" s="132"/>
      <c r="F46" s="132"/>
      <c r="G46" s="157"/>
    </row>
    <row r="47" spans="1:7" s="319" customFormat="1" ht="19.95" customHeight="1">
      <c r="A47" s="19">
        <v>20011</v>
      </c>
      <c r="B47" s="3" t="s">
        <v>1317</v>
      </c>
      <c r="C47" s="120">
        <f>18500000+3000000</f>
        <v>21500000</v>
      </c>
      <c r="D47" s="139"/>
      <c r="E47" s="132"/>
      <c r="F47" s="132"/>
      <c r="G47" s="157"/>
    </row>
    <row r="48" spans="1:7" s="319" customFormat="1" ht="19.95" customHeight="1">
      <c r="A48" s="220">
        <v>1960</v>
      </c>
      <c r="B48" s="135" t="s">
        <v>265</v>
      </c>
      <c r="C48" s="120">
        <f>24710000-3230000</f>
        <v>21480000</v>
      </c>
      <c r="D48" s="139"/>
      <c r="E48" s="132"/>
      <c r="F48" s="132"/>
      <c r="G48" s="157"/>
    </row>
    <row r="49" spans="1:7" s="319" customFormat="1" ht="19.95" customHeight="1">
      <c r="A49" s="19">
        <v>2196</v>
      </c>
      <c r="B49" s="3" t="s">
        <v>496</v>
      </c>
      <c r="C49" s="120">
        <v>21135000</v>
      </c>
      <c r="D49" s="139"/>
      <c r="E49" s="132"/>
      <c r="F49" s="132"/>
      <c r="G49" s="157"/>
    </row>
    <row r="50" spans="1:7" s="319" customFormat="1" ht="19.95" customHeight="1">
      <c r="A50" s="19">
        <v>2175</v>
      </c>
      <c r="B50" s="3" t="s">
        <v>426</v>
      </c>
      <c r="C50" s="120">
        <v>21000000</v>
      </c>
      <c r="D50" s="139"/>
      <c r="E50" s="132"/>
      <c r="F50" s="132"/>
      <c r="G50" s="157"/>
    </row>
    <row r="51" spans="1:7" s="319" customFormat="1" ht="19.95" customHeight="1">
      <c r="A51" s="19">
        <v>2099</v>
      </c>
      <c r="B51" s="135" t="s">
        <v>263</v>
      </c>
      <c r="C51" s="120">
        <f>17650000+3150000+60000</f>
        <v>20860000</v>
      </c>
      <c r="G51" s="157"/>
    </row>
    <row r="52" spans="1:7" s="319" customFormat="1" ht="19.95" customHeight="1">
      <c r="A52" s="19">
        <v>2233</v>
      </c>
      <c r="B52" s="3" t="s">
        <v>579</v>
      </c>
      <c r="C52" s="120">
        <v>20250000</v>
      </c>
      <c r="D52" s="139"/>
      <c r="E52" s="132"/>
      <c r="F52" s="132"/>
      <c r="G52" s="157"/>
    </row>
    <row r="53" spans="1:7" s="319" customFormat="1" ht="19.95" customHeight="1">
      <c r="A53" s="220">
        <v>1962</v>
      </c>
      <c r="B53" s="135" t="s">
        <v>122</v>
      </c>
      <c r="C53" s="120">
        <v>20000000</v>
      </c>
      <c r="D53" s="139"/>
      <c r="E53" s="132"/>
      <c r="F53" s="132"/>
      <c r="G53" s="157"/>
    </row>
    <row r="54" spans="1:7" s="319" customFormat="1" ht="19.95" customHeight="1">
      <c r="A54" s="135">
        <v>1908</v>
      </c>
      <c r="B54" s="135" t="s">
        <v>115</v>
      </c>
      <c r="C54" s="120">
        <f>19054496-849</f>
        <v>19053647</v>
      </c>
      <c r="D54" s="139"/>
      <c r="E54" s="132"/>
      <c r="F54" s="132"/>
      <c r="G54" s="157"/>
    </row>
    <row r="55" spans="1:7" ht="19.95" customHeight="1">
      <c r="A55" s="3">
        <v>1357</v>
      </c>
      <c r="B55" s="3" t="s">
        <v>40</v>
      </c>
      <c r="C55" s="120">
        <v>18812000</v>
      </c>
      <c r="D55" s="319"/>
      <c r="E55" s="319"/>
      <c r="F55" s="319"/>
    </row>
    <row r="56" spans="1:7" ht="19.95" customHeight="1">
      <c r="A56" s="3">
        <v>1322</v>
      </c>
      <c r="B56" s="3" t="s">
        <v>33</v>
      </c>
      <c r="C56" s="120">
        <v>18500000</v>
      </c>
      <c r="D56" s="319"/>
      <c r="E56" s="319"/>
      <c r="F56" s="319"/>
    </row>
    <row r="57" spans="1:7" ht="19.95" customHeight="1">
      <c r="A57" s="135">
        <v>2024</v>
      </c>
      <c r="B57" s="135" t="s">
        <v>260</v>
      </c>
      <c r="C57" s="120">
        <f>16300000+2100000</f>
        <v>18400000</v>
      </c>
      <c r="D57" s="319"/>
      <c r="E57" s="319"/>
      <c r="F57" s="319"/>
    </row>
    <row r="58" spans="1:7" ht="19.95" customHeight="1">
      <c r="A58" s="19">
        <v>2205</v>
      </c>
      <c r="B58" s="3" t="s">
        <v>438</v>
      </c>
      <c r="C58" s="120">
        <f>18000000+275000</f>
        <v>18275000</v>
      </c>
    </row>
    <row r="59" spans="1:7" ht="19.95" customHeight="1">
      <c r="A59" s="220">
        <v>1819</v>
      </c>
      <c r="B59" s="135" t="s">
        <v>365</v>
      </c>
      <c r="C59" s="120">
        <v>17545000</v>
      </c>
      <c r="D59" s="319"/>
      <c r="E59" s="319"/>
      <c r="F59" s="319"/>
    </row>
    <row r="60" spans="1:7" ht="19.95" customHeight="1">
      <c r="A60" s="19">
        <v>2232</v>
      </c>
      <c r="B60" s="3" t="s">
        <v>578</v>
      </c>
      <c r="C60" s="120">
        <v>17200000</v>
      </c>
    </row>
    <row r="61" spans="1:7" ht="19.95" hidden="1" customHeight="1">
      <c r="A61" s="19">
        <v>2198</v>
      </c>
      <c r="B61" s="3" t="s">
        <v>498</v>
      </c>
      <c r="C61" s="120">
        <v>16030000</v>
      </c>
    </row>
    <row r="62" spans="1:7" ht="19.95" hidden="1" customHeight="1">
      <c r="A62" s="19">
        <v>2110</v>
      </c>
      <c r="B62" s="3" t="s">
        <v>249</v>
      </c>
      <c r="C62" s="120">
        <v>16000000</v>
      </c>
      <c r="D62" s="319"/>
      <c r="E62" s="319"/>
      <c r="F62" s="319"/>
    </row>
    <row r="63" spans="1:7" ht="19.95" hidden="1" customHeight="1">
      <c r="A63" s="19">
        <v>2152</v>
      </c>
      <c r="B63" s="3" t="s">
        <v>387</v>
      </c>
      <c r="C63" s="120">
        <f>16000000+7500000-7500000</f>
        <v>16000000</v>
      </c>
    </row>
    <row r="64" spans="1:7" ht="19.95" hidden="1" customHeight="1">
      <c r="A64" s="19">
        <v>2111</v>
      </c>
      <c r="B64" s="3" t="s">
        <v>250</v>
      </c>
      <c r="C64" s="120">
        <v>15200000</v>
      </c>
      <c r="D64" s="319"/>
      <c r="E64" s="319"/>
      <c r="F64" s="319"/>
    </row>
    <row r="65" spans="1:6" ht="19.95" hidden="1" customHeight="1">
      <c r="A65" s="19">
        <v>2197</v>
      </c>
      <c r="B65" s="3" t="s">
        <v>497</v>
      </c>
      <c r="C65" s="120">
        <v>15160000</v>
      </c>
    </row>
    <row r="66" spans="1:6" ht="19.95" hidden="1" customHeight="1">
      <c r="A66" s="19">
        <v>2106</v>
      </c>
      <c r="B66" s="3" t="s">
        <v>361</v>
      </c>
      <c r="C66" s="120">
        <v>15000000</v>
      </c>
      <c r="D66" s="319"/>
      <c r="E66" s="319"/>
      <c r="F66" s="319"/>
    </row>
    <row r="67" spans="1:6" ht="19.95" hidden="1" customHeight="1">
      <c r="A67" s="19">
        <v>2191</v>
      </c>
      <c r="B67" s="3" t="s">
        <v>491</v>
      </c>
      <c r="C67" s="120">
        <v>14000000</v>
      </c>
    </row>
    <row r="68" spans="1:6" ht="19.95" hidden="1" customHeight="1">
      <c r="A68" s="135">
        <v>2022</v>
      </c>
      <c r="B68" s="135" t="s">
        <v>574</v>
      </c>
      <c r="C68" s="120">
        <f>14000000-100000+50000</f>
        <v>13950000</v>
      </c>
      <c r="D68" s="319"/>
      <c r="E68" s="319"/>
      <c r="F68" s="319"/>
    </row>
    <row r="69" spans="1:6" ht="19.95" hidden="1" customHeight="1">
      <c r="A69" s="3">
        <v>2009</v>
      </c>
      <c r="B69" s="3" t="s">
        <v>215</v>
      </c>
      <c r="C69" s="120">
        <v>13700000</v>
      </c>
      <c r="D69" s="319"/>
      <c r="E69" s="319"/>
      <c r="F69" s="319"/>
    </row>
    <row r="70" spans="1:6" ht="19.95" hidden="1" customHeight="1">
      <c r="A70" s="3">
        <v>20093</v>
      </c>
      <c r="B70" s="3" t="s">
        <v>931</v>
      </c>
      <c r="C70" s="120">
        <v>12000000</v>
      </c>
    </row>
    <row r="71" spans="1:6" ht="19.95" hidden="1" customHeight="1">
      <c r="A71" s="220">
        <v>2073</v>
      </c>
      <c r="B71" s="224" t="s">
        <v>575</v>
      </c>
      <c r="C71" s="120">
        <f>60000000+5000000+21000000-12000000-62650000</f>
        <v>11350000</v>
      </c>
      <c r="D71" s="319"/>
      <c r="E71" s="319"/>
      <c r="F71" s="319"/>
    </row>
    <row r="72" spans="1:6" ht="19.95" hidden="1" customHeight="1">
      <c r="A72" s="220">
        <v>1896</v>
      </c>
      <c r="B72" s="135" t="s">
        <v>331</v>
      </c>
      <c r="C72" s="120">
        <f>7800000+1500000+1000000</f>
        <v>10300000</v>
      </c>
      <c r="D72" s="319"/>
      <c r="E72" s="319"/>
      <c r="F72" s="319"/>
    </row>
    <row r="73" spans="1:6" ht="19.95" hidden="1" customHeight="1">
      <c r="A73" s="19">
        <v>20017</v>
      </c>
      <c r="B73" s="3" t="s">
        <v>1441</v>
      </c>
      <c r="C73" s="120">
        <v>10000000</v>
      </c>
    </row>
    <row r="74" spans="1:6" ht="19.95" hidden="1" customHeight="1">
      <c r="A74" s="3">
        <v>20087</v>
      </c>
      <c r="B74" s="3" t="s">
        <v>930</v>
      </c>
      <c r="C74" s="120">
        <f>7500000+1000000</f>
        <v>8500000</v>
      </c>
    </row>
    <row r="75" spans="1:6" ht="19.95" hidden="1" customHeight="1">
      <c r="A75" s="220">
        <v>1914</v>
      </c>
      <c r="B75" s="135" t="s">
        <v>114</v>
      </c>
      <c r="C75" s="120">
        <v>8100000</v>
      </c>
    </row>
    <row r="76" spans="1:6" ht="19.95" hidden="1" customHeight="1">
      <c r="A76" s="19">
        <v>2109</v>
      </c>
      <c r="B76" s="3" t="s">
        <v>248</v>
      </c>
      <c r="C76" s="120">
        <f>2000000+5500000</f>
        <v>7500000</v>
      </c>
      <c r="D76" s="319"/>
      <c r="E76" s="319"/>
      <c r="F76" s="319"/>
    </row>
    <row r="77" spans="1:6" ht="19.95" hidden="1" customHeight="1">
      <c r="A77" s="135">
        <v>2023</v>
      </c>
      <c r="B77" s="135" t="s">
        <v>735</v>
      </c>
      <c r="C77" s="120">
        <v>7340000</v>
      </c>
      <c r="D77" s="319"/>
      <c r="E77" s="319"/>
      <c r="F77" s="319"/>
    </row>
    <row r="78" spans="1:6" ht="19.95" hidden="1" customHeight="1">
      <c r="A78" s="212">
        <v>2213</v>
      </c>
      <c r="B78" s="3" t="s">
        <v>449</v>
      </c>
      <c r="C78" s="120">
        <v>7100000</v>
      </c>
    </row>
    <row r="79" spans="1:6" ht="19.95" hidden="1" customHeight="1">
      <c r="A79" s="19">
        <v>20010</v>
      </c>
      <c r="B79" s="3" t="s">
        <v>635</v>
      </c>
      <c r="C79" s="120">
        <v>7000000</v>
      </c>
    </row>
    <row r="80" spans="1:6" ht="19.95" hidden="1" customHeight="1">
      <c r="A80" s="135">
        <v>1298</v>
      </c>
      <c r="B80" s="135" t="s">
        <v>32</v>
      </c>
      <c r="C80" s="120">
        <f>6100000+500000</f>
        <v>6600000</v>
      </c>
      <c r="D80" s="319"/>
      <c r="E80" s="319"/>
      <c r="F80" s="319"/>
    </row>
    <row r="81" spans="1:7" ht="19.95" hidden="1" customHeight="1">
      <c r="A81" s="19">
        <v>2119</v>
      </c>
      <c r="B81" s="3" t="s">
        <v>254</v>
      </c>
      <c r="C81" s="120">
        <v>6000000</v>
      </c>
    </row>
    <row r="82" spans="1:7" ht="19.95" hidden="1" customHeight="1">
      <c r="A82" s="135">
        <v>1067</v>
      </c>
      <c r="B82" s="135" t="s">
        <v>70</v>
      </c>
      <c r="C82" s="120">
        <f>4975000+500000</f>
        <v>5475000</v>
      </c>
      <c r="D82" s="319"/>
      <c r="E82" s="319"/>
      <c r="F82" s="319"/>
    </row>
    <row r="83" spans="1:7" ht="19.95" hidden="1" customHeight="1">
      <c r="A83" s="3">
        <v>1314</v>
      </c>
      <c r="B83" s="3" t="s">
        <v>39</v>
      </c>
      <c r="C83" s="120">
        <v>5200000</v>
      </c>
      <c r="D83" s="319"/>
      <c r="E83" s="319"/>
      <c r="F83" s="319"/>
    </row>
    <row r="84" spans="1:7" ht="19.95" hidden="1" customHeight="1">
      <c r="A84" s="19">
        <v>20114</v>
      </c>
      <c r="B84" s="135" t="s">
        <v>1377</v>
      </c>
      <c r="C84" s="120">
        <v>5000000</v>
      </c>
    </row>
    <row r="85" spans="1:7" ht="19.95" hidden="1" customHeight="1">
      <c r="A85" s="19">
        <v>20112</v>
      </c>
      <c r="B85" s="135" t="s">
        <v>1314</v>
      </c>
      <c r="C85" s="120">
        <f>5500000-800000</f>
        <v>4700000</v>
      </c>
    </row>
    <row r="86" spans="1:7" ht="19.95" hidden="1" customHeight="1">
      <c r="A86" s="3">
        <v>1693</v>
      </c>
      <c r="B86" s="3" t="s">
        <v>100</v>
      </c>
      <c r="C86" s="120">
        <v>4500000</v>
      </c>
      <c r="D86" s="319"/>
      <c r="E86" s="319"/>
      <c r="F86" s="319"/>
    </row>
    <row r="87" spans="1:7" ht="19.95" hidden="1" customHeight="1">
      <c r="A87" s="3">
        <v>1620</v>
      </c>
      <c r="B87" s="19" t="s">
        <v>1374</v>
      </c>
      <c r="C87" s="4">
        <v>4200000</v>
      </c>
      <c r="D87" s="319"/>
      <c r="E87" s="319"/>
      <c r="F87" s="319"/>
    </row>
    <row r="88" spans="1:7" ht="19.95" hidden="1" customHeight="1">
      <c r="A88" s="19">
        <v>2103</v>
      </c>
      <c r="B88" s="135" t="s">
        <v>293</v>
      </c>
      <c r="C88" s="120">
        <v>4200000</v>
      </c>
      <c r="D88" s="319"/>
      <c r="E88" s="319"/>
      <c r="F88" s="319"/>
    </row>
    <row r="89" spans="1:7" ht="19.95" hidden="1" customHeight="1">
      <c r="A89" s="19">
        <v>2182</v>
      </c>
      <c r="B89" s="3" t="s">
        <v>428</v>
      </c>
      <c r="C89" s="120">
        <v>3900000</v>
      </c>
    </row>
    <row r="90" spans="1:7" ht="19.95" hidden="1" customHeight="1">
      <c r="A90" s="19">
        <v>2115</v>
      </c>
      <c r="B90" s="3" t="s">
        <v>252</v>
      </c>
      <c r="C90" s="120">
        <f>3100000+600000</f>
        <v>3700000</v>
      </c>
      <c r="D90" s="319"/>
      <c r="E90" s="319"/>
      <c r="F90" s="319"/>
      <c r="G90" s="319"/>
    </row>
    <row r="91" spans="1:7" ht="19.95" hidden="1" customHeight="1">
      <c r="A91" s="19">
        <v>20111</v>
      </c>
      <c r="B91" s="135" t="s">
        <v>1313</v>
      </c>
      <c r="C91" s="120">
        <v>3400000</v>
      </c>
    </row>
    <row r="92" spans="1:7" ht="19.95" hidden="1" customHeight="1">
      <c r="A92" s="135">
        <v>1905</v>
      </c>
      <c r="B92" s="135" t="s">
        <v>101</v>
      </c>
      <c r="C92" s="120">
        <v>3366000</v>
      </c>
    </row>
    <row r="93" spans="1:7" ht="19.95" hidden="1" customHeight="1">
      <c r="A93" s="135">
        <v>2018</v>
      </c>
      <c r="B93" s="135" t="s">
        <v>259</v>
      </c>
      <c r="C93" s="120">
        <f>3600000-250000</f>
        <v>3350000</v>
      </c>
      <c r="D93" s="319"/>
      <c r="E93" s="319"/>
      <c r="F93" s="319"/>
    </row>
    <row r="94" spans="1:7" ht="19.95" hidden="1" customHeight="1">
      <c r="A94" s="3">
        <v>20097</v>
      </c>
      <c r="B94" s="3" t="s">
        <v>932</v>
      </c>
      <c r="C94" s="120">
        <v>2900000</v>
      </c>
    </row>
    <row r="95" spans="1:7" ht="19.95" hidden="1" customHeight="1">
      <c r="A95" s="19">
        <v>2220</v>
      </c>
      <c r="B95" s="3" t="s">
        <v>459</v>
      </c>
      <c r="C95" s="120">
        <f>2200000+500000</f>
        <v>2700000</v>
      </c>
    </row>
    <row r="96" spans="1:7" ht="19.95" hidden="1" customHeight="1">
      <c r="A96" s="19">
        <v>2118</v>
      </c>
      <c r="B96" s="3" t="s">
        <v>253</v>
      </c>
      <c r="C96" s="120">
        <v>2600000</v>
      </c>
    </row>
    <row r="97" spans="1:6" ht="19.95" hidden="1" customHeight="1">
      <c r="A97" s="455">
        <v>2180</v>
      </c>
      <c r="B97" s="448" t="s">
        <v>427</v>
      </c>
      <c r="C97" s="419">
        <f>1000000+1600000</f>
        <v>2600000</v>
      </c>
    </row>
    <row r="98" spans="1:6" ht="19.95" hidden="1" customHeight="1">
      <c r="A98" s="135">
        <v>2008</v>
      </c>
      <c r="B98" s="135" t="s">
        <v>246</v>
      </c>
      <c r="C98" s="120">
        <v>2500000</v>
      </c>
      <c r="D98" s="319"/>
      <c r="E98" s="319"/>
      <c r="F98" s="319"/>
    </row>
    <row r="99" spans="1:6" ht="19.95" hidden="1" customHeight="1">
      <c r="A99" s="19">
        <v>2149</v>
      </c>
      <c r="B99" s="19" t="s">
        <v>695</v>
      </c>
      <c r="C99" s="120">
        <f>2000000+500000</f>
        <v>2500000</v>
      </c>
    </row>
    <row r="100" spans="1:6" ht="19.95" hidden="1" customHeight="1">
      <c r="A100" s="19">
        <v>20016</v>
      </c>
      <c r="B100" s="3" t="s">
        <v>664</v>
      </c>
      <c r="C100" s="120">
        <f>2500000</f>
        <v>2500000</v>
      </c>
    </row>
    <row r="101" spans="1:6" ht="19.95" hidden="1" customHeight="1">
      <c r="A101" s="3">
        <v>2078</v>
      </c>
      <c r="B101" s="3" t="s">
        <v>247</v>
      </c>
      <c r="C101" s="120">
        <v>2460000</v>
      </c>
      <c r="D101" s="319"/>
      <c r="E101" s="319"/>
      <c r="F101" s="319"/>
    </row>
    <row r="102" spans="1:6" ht="19.95" hidden="1" customHeight="1">
      <c r="A102" s="220">
        <v>2064</v>
      </c>
      <c r="B102" s="135" t="s">
        <v>213</v>
      </c>
      <c r="C102" s="120">
        <f>2463705-30000</f>
        <v>2433705</v>
      </c>
      <c r="D102" s="319"/>
      <c r="E102" s="319"/>
      <c r="F102" s="319"/>
    </row>
    <row r="103" spans="1:6" ht="19.95" hidden="1" customHeight="1">
      <c r="A103" s="220">
        <v>2076</v>
      </c>
      <c r="B103" s="135" t="s">
        <v>261</v>
      </c>
      <c r="C103" s="120">
        <v>2350000</v>
      </c>
      <c r="D103" s="319"/>
      <c r="E103" s="319"/>
      <c r="F103" s="319"/>
    </row>
    <row r="104" spans="1:6" ht="19.95" hidden="1" customHeight="1">
      <c r="A104" s="135">
        <v>2002</v>
      </c>
      <c r="B104" s="135" t="s">
        <v>132</v>
      </c>
      <c r="C104" s="120">
        <f>1500000+500000+300000</f>
        <v>2300000</v>
      </c>
      <c r="D104" s="319"/>
      <c r="E104" s="319"/>
      <c r="F104" s="319"/>
    </row>
    <row r="105" spans="1:6" ht="19.95" hidden="1" customHeight="1">
      <c r="A105" s="19">
        <v>2195</v>
      </c>
      <c r="B105" s="3" t="s">
        <v>495</v>
      </c>
      <c r="C105" s="4">
        <v>2300000</v>
      </c>
    </row>
    <row r="106" spans="1:6" ht="19.95" hidden="1" customHeight="1">
      <c r="A106" s="19">
        <v>2127</v>
      </c>
      <c r="B106" s="3" t="s">
        <v>375</v>
      </c>
      <c r="C106" s="120">
        <v>2259000</v>
      </c>
    </row>
    <row r="107" spans="1:6" ht="19.95" hidden="1" customHeight="1">
      <c r="A107" s="19">
        <v>20009</v>
      </c>
      <c r="B107" s="3" t="s">
        <v>657</v>
      </c>
      <c r="C107" s="4">
        <v>2150000</v>
      </c>
    </row>
    <row r="108" spans="1:6" ht="19.95" hidden="1" customHeight="1">
      <c r="A108" s="19">
        <v>20015</v>
      </c>
      <c r="B108" s="3" t="s">
        <v>637</v>
      </c>
      <c r="C108" s="120">
        <f>2500000-360000-923</f>
        <v>2139077</v>
      </c>
    </row>
    <row r="109" spans="1:6" ht="19.95" hidden="1" customHeight="1">
      <c r="A109" s="3">
        <v>1773</v>
      </c>
      <c r="B109" s="3" t="s">
        <v>91</v>
      </c>
      <c r="C109" s="120">
        <f>1500000+550000</f>
        <v>2050000</v>
      </c>
      <c r="D109" s="319"/>
      <c r="E109" s="319"/>
      <c r="F109" s="319"/>
    </row>
    <row r="110" spans="1:6" ht="19.95" hidden="1" customHeight="1">
      <c r="A110" s="19">
        <v>20113</v>
      </c>
      <c r="B110" s="135" t="s">
        <v>1340</v>
      </c>
      <c r="C110" s="120">
        <v>2030000</v>
      </c>
    </row>
    <row r="111" spans="1:6" ht="19.95" hidden="1" customHeight="1">
      <c r="A111" s="3">
        <v>20064</v>
      </c>
      <c r="B111" s="3" t="s">
        <v>783</v>
      </c>
      <c r="C111" s="120">
        <v>2000000</v>
      </c>
    </row>
    <row r="112" spans="1:6" ht="19.95" hidden="1" customHeight="1">
      <c r="A112" s="135">
        <v>1723</v>
      </c>
      <c r="B112" s="135" t="s">
        <v>27</v>
      </c>
      <c r="C112" s="120">
        <v>1978521</v>
      </c>
      <c r="D112" s="319"/>
      <c r="E112" s="319"/>
      <c r="F112" s="319"/>
    </row>
    <row r="113" spans="1:7" ht="19.95" hidden="1" customHeight="1">
      <c r="A113" s="19">
        <v>2126</v>
      </c>
      <c r="B113" s="3" t="s">
        <v>374</v>
      </c>
      <c r="C113" s="120">
        <v>1975000</v>
      </c>
    </row>
    <row r="114" spans="1:7" ht="27.6" hidden="1">
      <c r="A114" s="19">
        <v>20063</v>
      </c>
      <c r="B114" s="3" t="s">
        <v>913</v>
      </c>
      <c r="C114" s="120">
        <f>46500000-45500000+750000</f>
        <v>1750000</v>
      </c>
    </row>
    <row r="115" spans="1:7" ht="19.95" hidden="1" customHeight="1">
      <c r="A115" s="19">
        <v>2203</v>
      </c>
      <c r="B115" s="3" t="s">
        <v>719</v>
      </c>
      <c r="C115" s="120">
        <v>1700000</v>
      </c>
    </row>
    <row r="116" spans="1:7" ht="19.95" hidden="1" customHeight="1">
      <c r="A116" s="19">
        <v>20014</v>
      </c>
      <c r="B116" s="3" t="s">
        <v>959</v>
      </c>
      <c r="C116" s="120">
        <v>1500000</v>
      </c>
    </row>
    <row r="117" spans="1:7" ht="19.95" hidden="1" customHeight="1">
      <c r="A117" s="19">
        <v>20109</v>
      </c>
      <c r="B117" s="135" t="s">
        <v>962</v>
      </c>
      <c r="C117" s="419">
        <v>1500000</v>
      </c>
    </row>
    <row r="118" spans="1:7" ht="19.95" hidden="1" customHeight="1">
      <c r="A118" s="19">
        <v>20013</v>
      </c>
      <c r="B118" s="3" t="s">
        <v>736</v>
      </c>
      <c r="C118" s="120">
        <f>1000000+21000000-21000000</f>
        <v>1000000</v>
      </c>
    </row>
    <row r="119" spans="1:7" s="319" customFormat="1" ht="19.95" hidden="1" customHeight="1">
      <c r="A119" s="19">
        <v>20024</v>
      </c>
      <c r="B119" s="3" t="s">
        <v>704</v>
      </c>
      <c r="C119" s="120">
        <f>880000-62208</f>
        <v>817792</v>
      </c>
      <c r="D119" s="139"/>
      <c r="E119" s="132"/>
      <c r="F119" s="132"/>
      <c r="G119" s="157"/>
    </row>
    <row r="120" spans="1:7" ht="19.95" hidden="1" customHeight="1">
      <c r="A120" s="19">
        <v>2194</v>
      </c>
      <c r="B120" s="3" t="s">
        <v>494</v>
      </c>
      <c r="C120" s="120">
        <v>700000</v>
      </c>
    </row>
    <row r="121" spans="1:7" ht="19.95" hidden="1" customHeight="1">
      <c r="A121" s="19">
        <v>20110</v>
      </c>
      <c r="B121" s="135" t="s">
        <v>965</v>
      </c>
      <c r="C121" s="120">
        <v>600000</v>
      </c>
    </row>
    <row r="122" spans="1:7" ht="19.95" hidden="1" customHeight="1">
      <c r="A122" s="19">
        <v>20028</v>
      </c>
      <c r="B122" s="3" t="s">
        <v>660</v>
      </c>
      <c r="C122" s="120">
        <f>620000-21384</f>
        <v>598616</v>
      </c>
    </row>
    <row r="123" spans="1:7" ht="19.95" hidden="1" customHeight="1">
      <c r="A123" s="19">
        <v>2130</v>
      </c>
      <c r="B123" s="3" t="s">
        <v>382</v>
      </c>
      <c r="C123" s="120">
        <v>500000</v>
      </c>
    </row>
    <row r="124" spans="1:7" ht="19.95" hidden="1" customHeight="1">
      <c r="A124" s="3">
        <v>20082</v>
      </c>
      <c r="B124" s="3" t="s">
        <v>927</v>
      </c>
      <c r="C124" s="120">
        <v>500000</v>
      </c>
    </row>
    <row r="125" spans="1:7" ht="19.95" hidden="1" customHeight="1">
      <c r="A125" s="448">
        <v>20083</v>
      </c>
      <c r="B125" s="448" t="s">
        <v>928</v>
      </c>
      <c r="C125" s="419">
        <v>500000</v>
      </c>
    </row>
    <row r="126" spans="1:7" ht="19.95" hidden="1" customHeight="1">
      <c r="A126" s="3">
        <v>20098</v>
      </c>
      <c r="B126" s="3" t="s">
        <v>933</v>
      </c>
      <c r="C126" s="120">
        <f>250000+250000</f>
        <v>500000</v>
      </c>
    </row>
    <row r="127" spans="1:7" ht="19.95" hidden="1" customHeight="1">
      <c r="A127" s="220">
        <v>1961</v>
      </c>
      <c r="B127" s="135" t="s">
        <v>121</v>
      </c>
      <c r="C127" s="120">
        <f>128000000-127500000-200000</f>
        <v>300000</v>
      </c>
      <c r="D127" s="319"/>
      <c r="E127" s="319"/>
      <c r="F127" s="319"/>
    </row>
    <row r="128" spans="1:7" ht="19.95" hidden="1" customHeight="1">
      <c r="A128" s="19">
        <v>2164</v>
      </c>
      <c r="B128" s="3" t="s">
        <v>397</v>
      </c>
      <c r="C128" s="120">
        <v>300000</v>
      </c>
    </row>
    <row r="129" spans="1:3" ht="19.95" hidden="1" customHeight="1">
      <c r="A129" s="19">
        <v>2208</v>
      </c>
      <c r="B129" s="3" t="s">
        <v>479</v>
      </c>
      <c r="C129" s="120">
        <f>12750000-12000000-250000-298391</f>
        <v>201609</v>
      </c>
    </row>
    <row r="130" spans="1:3" ht="19.95" hidden="1" customHeight="1">
      <c r="A130" s="222"/>
      <c r="B130" s="137" t="s">
        <v>167</v>
      </c>
      <c r="C130" s="138">
        <f>SUM(C6:C129)</f>
        <v>3899445537</v>
      </c>
    </row>
  </sheetData>
  <sortState ref="A6:J134">
    <sortCondition descending="1" ref="C6:C134"/>
  </sortState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rightToLeft="1" workbookViewId="0">
      <selection activeCell="T10" sqref="T10"/>
    </sheetView>
  </sheetViews>
  <sheetFormatPr defaultColWidth="9.109375" defaultRowHeight="13.8"/>
  <cols>
    <col min="1" max="1" width="7.109375" style="467" customWidth="1"/>
    <col min="2" max="2" width="6.44140625" style="769" bestFit="1" customWidth="1"/>
    <col min="3" max="3" width="30.6640625" style="770" customWidth="1"/>
    <col min="4" max="5" width="12.88671875" style="467" bestFit="1" customWidth="1"/>
    <col min="6" max="6" width="10.88671875" style="467" customWidth="1"/>
    <col min="7" max="7" width="15.44140625" style="467" bestFit="1" customWidth="1"/>
    <col min="8" max="8" width="11.6640625" style="467" bestFit="1" customWidth="1"/>
    <col min="9" max="9" width="17.5546875" style="467" bestFit="1" customWidth="1"/>
    <col min="10" max="10" width="11.6640625" style="467" customWidth="1"/>
    <col min="11" max="11" width="0" style="467" hidden="1" customWidth="1"/>
    <col min="12" max="12" width="12.6640625" style="467" hidden="1" customWidth="1"/>
    <col min="13" max="13" width="9.109375" style="467" hidden="1" customWidth="1"/>
    <col min="14" max="16384" width="9.109375" style="467"/>
  </cols>
  <sheetData>
    <row r="1" spans="1:13" ht="22.8">
      <c r="A1" s="938" t="s">
        <v>1603</v>
      </c>
      <c r="B1" s="938"/>
      <c r="C1" s="938"/>
      <c r="D1" s="938"/>
      <c r="E1" s="938"/>
      <c r="F1" s="938"/>
      <c r="G1" s="938"/>
      <c r="H1" s="938"/>
      <c r="I1" s="938"/>
      <c r="J1" s="938"/>
    </row>
    <row r="2" spans="1:13" ht="22.8">
      <c r="A2" s="768"/>
    </row>
    <row r="3" spans="1:13" s="775" customFormat="1" ht="45" customHeight="1">
      <c r="A3" s="771" t="s">
        <v>1472</v>
      </c>
      <c r="B3" s="772" t="s">
        <v>1473</v>
      </c>
      <c r="C3" s="625" t="s">
        <v>2</v>
      </c>
      <c r="D3" s="771" t="s">
        <v>1474</v>
      </c>
      <c r="E3" s="771" t="s">
        <v>778</v>
      </c>
      <c r="F3" s="771" t="s">
        <v>1475</v>
      </c>
      <c r="G3" s="771" t="s">
        <v>1476</v>
      </c>
      <c r="H3" s="771" t="s">
        <v>1477</v>
      </c>
      <c r="I3" s="773" t="s">
        <v>1478</v>
      </c>
      <c r="J3" s="774" t="s">
        <v>1479</v>
      </c>
      <c r="K3" s="774" t="s">
        <v>16</v>
      </c>
      <c r="L3" s="771" t="s">
        <v>1480</v>
      </c>
      <c r="M3" s="771" t="s">
        <v>1481</v>
      </c>
    </row>
    <row r="4" spans="1:13" s="775" customFormat="1" ht="17.399999999999999" customHeight="1">
      <c r="A4" s="771"/>
      <c r="B4" s="772"/>
      <c r="C4" s="625" t="s">
        <v>1482</v>
      </c>
      <c r="D4" s="771"/>
      <c r="E4" s="771"/>
      <c r="F4" s="771"/>
      <c r="G4" s="771"/>
      <c r="H4" s="771"/>
      <c r="I4" s="773"/>
      <c r="J4" s="774"/>
      <c r="K4" s="774"/>
      <c r="L4" s="776"/>
      <c r="M4" s="776"/>
    </row>
    <row r="5" spans="1:13" s="780" customFormat="1">
      <c r="A5" s="777">
        <v>1</v>
      </c>
      <c r="B5" s="777">
        <v>638</v>
      </c>
      <c r="C5" s="455" t="s">
        <v>360</v>
      </c>
      <c r="D5" s="778">
        <v>4436000</v>
      </c>
      <c r="E5" s="778">
        <v>4436000</v>
      </c>
      <c r="F5" s="778">
        <f t="shared" ref="F5:F26" si="0">E5</f>
        <v>4436000</v>
      </c>
      <c r="G5" s="778">
        <v>4253645</v>
      </c>
      <c r="H5" s="778">
        <f t="shared" ref="H5:H25" si="1">F5-G5</f>
        <v>182355</v>
      </c>
      <c r="I5" s="779" t="s">
        <v>13</v>
      </c>
      <c r="J5" s="778" t="s">
        <v>317</v>
      </c>
      <c r="K5" s="777">
        <v>742000</v>
      </c>
      <c r="L5" s="776"/>
      <c r="M5" s="776"/>
    </row>
    <row r="6" spans="1:13" s="780" customFormat="1">
      <c r="A6" s="777">
        <f>A5+1</f>
        <v>2</v>
      </c>
      <c r="B6" s="777">
        <v>1937</v>
      </c>
      <c r="C6" s="448" t="s">
        <v>324</v>
      </c>
      <c r="D6" s="778">
        <v>1050000</v>
      </c>
      <c r="E6" s="778">
        <v>650000</v>
      </c>
      <c r="F6" s="778">
        <f t="shared" si="0"/>
        <v>650000</v>
      </c>
      <c r="G6" s="778">
        <v>64235</v>
      </c>
      <c r="H6" s="778">
        <f t="shared" si="1"/>
        <v>585765</v>
      </c>
      <c r="I6" s="779" t="s">
        <v>13</v>
      </c>
      <c r="J6" s="778" t="s">
        <v>317</v>
      </c>
      <c r="K6" s="777">
        <v>732000</v>
      </c>
      <c r="L6" s="776"/>
      <c r="M6" s="776"/>
    </row>
    <row r="7" spans="1:13" s="783" customFormat="1" ht="27.6">
      <c r="A7" s="777">
        <f t="shared" ref="A7:A25" si="2">A6+1</f>
        <v>3</v>
      </c>
      <c r="B7" s="781">
        <v>2114</v>
      </c>
      <c r="C7" s="448" t="s">
        <v>304</v>
      </c>
      <c r="D7" s="776">
        <v>1450000</v>
      </c>
      <c r="E7" s="776">
        <v>84000</v>
      </c>
      <c r="F7" s="776">
        <f t="shared" si="0"/>
        <v>84000</v>
      </c>
      <c r="G7" s="776">
        <v>32029</v>
      </c>
      <c r="H7" s="776">
        <f t="shared" si="1"/>
        <v>51971</v>
      </c>
      <c r="I7" s="782" t="s">
        <v>13</v>
      </c>
      <c r="J7" s="776" t="s">
        <v>317</v>
      </c>
      <c r="K7" s="781">
        <v>732000</v>
      </c>
      <c r="L7" s="776"/>
      <c r="M7" s="776"/>
    </row>
    <row r="8" spans="1:13" s="780" customFormat="1">
      <c r="A8" s="777">
        <f t="shared" si="2"/>
        <v>4</v>
      </c>
      <c r="B8" s="777">
        <v>1314</v>
      </c>
      <c r="C8" s="3" t="s">
        <v>39</v>
      </c>
      <c r="D8" s="778">
        <v>5200000</v>
      </c>
      <c r="E8" s="778">
        <v>5200000</v>
      </c>
      <c r="F8" s="778">
        <f t="shared" si="0"/>
        <v>5200000</v>
      </c>
      <c r="G8" s="778">
        <v>5177082</v>
      </c>
      <c r="H8" s="778">
        <f t="shared" si="1"/>
        <v>22918</v>
      </c>
      <c r="I8" s="779" t="s">
        <v>13</v>
      </c>
      <c r="J8" s="778" t="s">
        <v>1483</v>
      </c>
      <c r="K8" s="777">
        <v>742000</v>
      </c>
      <c r="L8" s="776"/>
      <c r="M8" s="776"/>
    </row>
    <row r="9" spans="1:13" s="780" customFormat="1">
      <c r="A9" s="777">
        <f t="shared" si="2"/>
        <v>5</v>
      </c>
      <c r="B9" s="777">
        <v>20015</v>
      </c>
      <c r="C9" s="3" t="s">
        <v>637</v>
      </c>
      <c r="D9" s="778">
        <v>2500000</v>
      </c>
      <c r="E9" s="778">
        <v>2500000</v>
      </c>
      <c r="F9" s="778">
        <f t="shared" si="0"/>
        <v>2500000</v>
      </c>
      <c r="G9" s="778">
        <v>2139077</v>
      </c>
      <c r="H9" s="778">
        <f t="shared" si="1"/>
        <v>360923</v>
      </c>
      <c r="I9" s="779" t="s">
        <v>13</v>
      </c>
      <c r="J9" s="778" t="s">
        <v>1483</v>
      </c>
      <c r="K9" s="777">
        <v>829000</v>
      </c>
      <c r="L9" s="776"/>
      <c r="M9" s="776"/>
    </row>
    <row r="10" spans="1:13" s="783" customFormat="1" ht="27.6">
      <c r="A10" s="777">
        <f t="shared" si="2"/>
        <v>6</v>
      </c>
      <c r="B10" s="781">
        <v>20024</v>
      </c>
      <c r="C10" s="3" t="s">
        <v>704</v>
      </c>
      <c r="D10" s="776">
        <v>880000</v>
      </c>
      <c r="E10" s="776">
        <v>880000</v>
      </c>
      <c r="F10" s="776">
        <f t="shared" si="0"/>
        <v>880000</v>
      </c>
      <c r="G10" s="776">
        <v>817792</v>
      </c>
      <c r="H10" s="776">
        <f t="shared" si="1"/>
        <v>62208</v>
      </c>
      <c r="I10" s="782" t="s">
        <v>14</v>
      </c>
      <c r="J10" s="776" t="s">
        <v>1483</v>
      </c>
      <c r="K10" s="781">
        <v>747000</v>
      </c>
      <c r="L10" s="776"/>
      <c r="M10" s="776"/>
    </row>
    <row r="11" spans="1:13" s="783" customFormat="1" ht="27.6">
      <c r="A11" s="777">
        <f t="shared" si="2"/>
        <v>7</v>
      </c>
      <c r="B11" s="781">
        <v>20028</v>
      </c>
      <c r="C11" s="3" t="s">
        <v>660</v>
      </c>
      <c r="D11" s="776">
        <v>620000</v>
      </c>
      <c r="E11" s="776">
        <v>620000</v>
      </c>
      <c r="F11" s="776">
        <f t="shared" si="0"/>
        <v>620000</v>
      </c>
      <c r="G11" s="776">
        <v>598616</v>
      </c>
      <c r="H11" s="776">
        <f t="shared" si="1"/>
        <v>21384</v>
      </c>
      <c r="I11" s="782" t="s">
        <v>14</v>
      </c>
      <c r="J11" s="776" t="s">
        <v>1483</v>
      </c>
      <c r="K11" s="781">
        <v>810000</v>
      </c>
      <c r="L11" s="776"/>
      <c r="M11" s="776"/>
    </row>
    <row r="12" spans="1:13" s="783" customFormat="1">
      <c r="A12" s="781">
        <f t="shared" si="2"/>
        <v>8</v>
      </c>
      <c r="B12" s="781">
        <v>1908</v>
      </c>
      <c r="C12" s="3" t="s">
        <v>115</v>
      </c>
      <c r="D12" s="776">
        <v>19054496</v>
      </c>
      <c r="E12" s="776">
        <v>19054496</v>
      </c>
      <c r="F12" s="776">
        <f t="shared" si="0"/>
        <v>19054496</v>
      </c>
      <c r="G12" s="776">
        <v>19053647</v>
      </c>
      <c r="H12" s="776">
        <f t="shared" si="1"/>
        <v>849</v>
      </c>
      <c r="I12" s="782" t="s">
        <v>13</v>
      </c>
      <c r="J12" s="776" t="s">
        <v>1483</v>
      </c>
      <c r="K12" s="781">
        <v>810000</v>
      </c>
      <c r="L12" s="776"/>
      <c r="M12" s="776"/>
    </row>
    <row r="13" spans="1:13" s="780" customFormat="1">
      <c r="A13" s="777">
        <f t="shared" si="2"/>
        <v>9</v>
      </c>
      <c r="B13" s="777">
        <v>1899</v>
      </c>
      <c r="C13" s="448" t="s">
        <v>118</v>
      </c>
      <c r="D13" s="778">
        <v>670000</v>
      </c>
      <c r="E13" s="778">
        <v>670000</v>
      </c>
      <c r="F13" s="778">
        <f t="shared" si="0"/>
        <v>670000</v>
      </c>
      <c r="G13" s="778">
        <v>663752</v>
      </c>
      <c r="H13" s="778">
        <f t="shared" si="1"/>
        <v>6248</v>
      </c>
      <c r="I13" s="782" t="s">
        <v>14</v>
      </c>
      <c r="J13" s="778" t="s">
        <v>598</v>
      </c>
      <c r="K13" s="777">
        <v>870000</v>
      </c>
      <c r="L13" s="776"/>
      <c r="M13" s="776"/>
    </row>
    <row r="14" spans="1:13" s="780" customFormat="1">
      <c r="A14" s="777">
        <f t="shared" si="2"/>
        <v>10</v>
      </c>
      <c r="B14" s="777">
        <v>1968</v>
      </c>
      <c r="C14" s="448" t="s">
        <v>791</v>
      </c>
      <c r="D14" s="778">
        <v>2170000</v>
      </c>
      <c r="E14" s="778">
        <v>2170000</v>
      </c>
      <c r="F14" s="778">
        <f t="shared" si="0"/>
        <v>2170000</v>
      </c>
      <c r="G14" s="778">
        <v>1819923</v>
      </c>
      <c r="H14" s="778">
        <f t="shared" si="1"/>
        <v>350077</v>
      </c>
      <c r="I14" s="782" t="s">
        <v>14</v>
      </c>
      <c r="J14" s="778" t="s">
        <v>598</v>
      </c>
      <c r="K14" s="777">
        <v>848000</v>
      </c>
      <c r="L14" s="776"/>
      <c r="M14" s="776"/>
    </row>
    <row r="15" spans="1:13" s="780" customFormat="1">
      <c r="A15" s="777">
        <f t="shared" si="2"/>
        <v>11</v>
      </c>
      <c r="B15" s="777">
        <v>2028</v>
      </c>
      <c r="C15" s="448" t="s">
        <v>270</v>
      </c>
      <c r="D15" s="778">
        <v>2435000</v>
      </c>
      <c r="E15" s="778">
        <v>2435000</v>
      </c>
      <c r="F15" s="778">
        <f t="shared" si="0"/>
        <v>2435000</v>
      </c>
      <c r="G15" s="778">
        <v>2434523</v>
      </c>
      <c r="H15" s="778">
        <f t="shared" si="1"/>
        <v>477</v>
      </c>
      <c r="I15" s="782" t="s">
        <v>14</v>
      </c>
      <c r="J15" s="778" t="s">
        <v>598</v>
      </c>
      <c r="K15" s="777">
        <v>810000</v>
      </c>
      <c r="L15" s="776"/>
      <c r="M15" s="776"/>
    </row>
    <row r="16" spans="1:13" s="780" customFormat="1">
      <c r="A16" s="777">
        <f t="shared" si="2"/>
        <v>12</v>
      </c>
      <c r="B16" s="777">
        <v>2211</v>
      </c>
      <c r="C16" s="448" t="s">
        <v>722</v>
      </c>
      <c r="D16" s="778">
        <v>800000</v>
      </c>
      <c r="E16" s="778">
        <v>800000</v>
      </c>
      <c r="F16" s="778">
        <f t="shared" si="0"/>
        <v>800000</v>
      </c>
      <c r="G16" s="778">
        <v>777009</v>
      </c>
      <c r="H16" s="778">
        <f t="shared" si="1"/>
        <v>22991</v>
      </c>
      <c r="I16" s="782" t="s">
        <v>14</v>
      </c>
      <c r="J16" s="778" t="s">
        <v>598</v>
      </c>
      <c r="K16" s="777">
        <v>810000</v>
      </c>
      <c r="L16" s="776"/>
      <c r="M16" s="776"/>
    </row>
    <row r="17" spans="1:13" s="780" customFormat="1">
      <c r="A17" s="777">
        <f t="shared" si="2"/>
        <v>13</v>
      </c>
      <c r="B17" s="777">
        <v>20022</v>
      </c>
      <c r="C17" s="448" t="s">
        <v>613</v>
      </c>
      <c r="D17" s="778">
        <v>180000</v>
      </c>
      <c r="E17" s="778"/>
      <c r="F17" s="778">
        <f t="shared" si="0"/>
        <v>0</v>
      </c>
      <c r="G17" s="778"/>
      <c r="H17" s="778">
        <f t="shared" si="1"/>
        <v>0</v>
      </c>
      <c r="I17" s="782" t="s">
        <v>14</v>
      </c>
      <c r="J17" s="778" t="s">
        <v>598</v>
      </c>
      <c r="K17" s="777">
        <v>747000</v>
      </c>
      <c r="L17" s="776"/>
      <c r="M17" s="776"/>
    </row>
    <row r="18" spans="1:13" s="780" customFormat="1">
      <c r="A18" s="777">
        <f t="shared" si="2"/>
        <v>14</v>
      </c>
      <c r="B18" s="777">
        <v>20036</v>
      </c>
      <c r="C18" s="448" t="s">
        <v>620</v>
      </c>
      <c r="D18" s="778">
        <v>6375000</v>
      </c>
      <c r="E18" s="778">
        <v>6375000</v>
      </c>
      <c r="F18" s="778">
        <f t="shared" si="0"/>
        <v>6375000</v>
      </c>
      <c r="G18" s="778">
        <v>6372536</v>
      </c>
      <c r="H18" s="778">
        <f t="shared" si="1"/>
        <v>2464</v>
      </c>
      <c r="I18" s="782" t="s">
        <v>14</v>
      </c>
      <c r="J18" s="778" t="s">
        <v>598</v>
      </c>
      <c r="K18" s="777">
        <v>810000</v>
      </c>
      <c r="L18" s="776"/>
      <c r="M18" s="776"/>
    </row>
    <row r="19" spans="1:13" s="780" customFormat="1">
      <c r="A19" s="777">
        <f t="shared" si="2"/>
        <v>15</v>
      </c>
      <c r="B19" s="777">
        <v>20052</v>
      </c>
      <c r="C19" s="448" t="s">
        <v>739</v>
      </c>
      <c r="D19" s="778">
        <v>2820553</v>
      </c>
      <c r="E19" s="778">
        <v>2820553</v>
      </c>
      <c r="F19" s="778">
        <f t="shared" si="0"/>
        <v>2820553</v>
      </c>
      <c r="G19" s="778">
        <v>2820346</v>
      </c>
      <c r="H19" s="778">
        <f t="shared" si="1"/>
        <v>207</v>
      </c>
      <c r="I19" s="782" t="s">
        <v>14</v>
      </c>
      <c r="J19" s="778" t="s">
        <v>598</v>
      </c>
      <c r="K19" s="777">
        <v>930000</v>
      </c>
      <c r="L19" s="776"/>
      <c r="M19" s="776"/>
    </row>
    <row r="20" spans="1:13" s="783" customFormat="1" ht="27.6">
      <c r="A20" s="777">
        <f t="shared" si="2"/>
        <v>16</v>
      </c>
      <c r="B20" s="781">
        <v>20092</v>
      </c>
      <c r="C20" s="448" t="s">
        <v>938</v>
      </c>
      <c r="D20" s="776">
        <v>530000</v>
      </c>
      <c r="E20" s="776">
        <v>530000</v>
      </c>
      <c r="F20" s="776">
        <f t="shared" si="0"/>
        <v>530000</v>
      </c>
      <c r="G20" s="776">
        <v>530000</v>
      </c>
      <c r="H20" s="776">
        <f t="shared" si="1"/>
        <v>0</v>
      </c>
      <c r="I20" s="782" t="s">
        <v>13</v>
      </c>
      <c r="J20" s="776" t="s">
        <v>598</v>
      </c>
      <c r="K20" s="781">
        <v>930000</v>
      </c>
      <c r="L20" s="776"/>
      <c r="M20" s="776"/>
    </row>
    <row r="21" spans="1:13" s="780" customFormat="1">
      <c r="A21" s="777">
        <f t="shared" si="2"/>
        <v>17</v>
      </c>
      <c r="B21" s="777">
        <v>2090</v>
      </c>
      <c r="C21" s="3" t="s">
        <v>276</v>
      </c>
      <c r="D21" s="778">
        <v>350000</v>
      </c>
      <c r="E21" s="778">
        <v>350000</v>
      </c>
      <c r="F21" s="778">
        <f t="shared" si="0"/>
        <v>350000</v>
      </c>
      <c r="G21" s="778">
        <v>342055</v>
      </c>
      <c r="H21" s="778">
        <f t="shared" si="1"/>
        <v>7945</v>
      </c>
      <c r="I21" s="782" t="s">
        <v>14</v>
      </c>
      <c r="J21" s="778" t="s">
        <v>744</v>
      </c>
      <c r="K21" s="777">
        <v>810000</v>
      </c>
      <c r="L21" s="776"/>
      <c r="M21" s="776"/>
    </row>
    <row r="22" spans="1:13" s="783" customFormat="1" ht="27.6">
      <c r="A22" s="777">
        <f t="shared" si="2"/>
        <v>18</v>
      </c>
      <c r="B22" s="781">
        <v>2217</v>
      </c>
      <c r="C22" s="3" t="s">
        <v>723</v>
      </c>
      <c r="D22" s="776">
        <v>1990000</v>
      </c>
      <c r="E22" s="776">
        <v>1990000</v>
      </c>
      <c r="F22" s="776">
        <f t="shared" si="0"/>
        <v>1990000</v>
      </c>
      <c r="G22" s="776">
        <v>1988769</v>
      </c>
      <c r="H22" s="776">
        <f t="shared" si="1"/>
        <v>1231</v>
      </c>
      <c r="I22" s="782" t="s">
        <v>14</v>
      </c>
      <c r="J22" s="776" t="s">
        <v>744</v>
      </c>
      <c r="K22" s="781">
        <v>810000</v>
      </c>
      <c r="L22" s="776"/>
      <c r="M22" s="776"/>
    </row>
    <row r="23" spans="1:13" s="780" customFormat="1">
      <c r="A23" s="777">
        <f t="shared" si="2"/>
        <v>19</v>
      </c>
      <c r="B23" s="777">
        <v>20046</v>
      </c>
      <c r="C23" s="448" t="s">
        <v>644</v>
      </c>
      <c r="D23" s="778">
        <v>475000</v>
      </c>
      <c r="E23" s="778">
        <v>475000</v>
      </c>
      <c r="F23" s="778">
        <f t="shared" si="0"/>
        <v>475000</v>
      </c>
      <c r="G23" s="778">
        <v>458836</v>
      </c>
      <c r="H23" s="778">
        <f t="shared" si="1"/>
        <v>16164</v>
      </c>
      <c r="I23" s="782" t="s">
        <v>14</v>
      </c>
      <c r="J23" s="778" t="s">
        <v>1484</v>
      </c>
      <c r="K23" s="777">
        <v>829000</v>
      </c>
      <c r="L23" s="776"/>
      <c r="M23" s="776"/>
    </row>
    <row r="24" spans="1:13" s="780" customFormat="1">
      <c r="A24" s="777">
        <f t="shared" si="2"/>
        <v>20</v>
      </c>
      <c r="B24" s="777">
        <v>20099</v>
      </c>
      <c r="C24" s="448" t="s">
        <v>944</v>
      </c>
      <c r="D24" s="778">
        <v>580000</v>
      </c>
      <c r="E24" s="778">
        <v>580000</v>
      </c>
      <c r="F24" s="778">
        <f t="shared" ref="F24" si="3">E24</f>
        <v>580000</v>
      </c>
      <c r="G24" s="778">
        <v>518339</v>
      </c>
      <c r="H24" s="778">
        <f t="shared" ref="H24" si="4">F24-G24</f>
        <v>61661</v>
      </c>
      <c r="I24" s="782" t="s">
        <v>14</v>
      </c>
      <c r="J24" s="778" t="s">
        <v>1484</v>
      </c>
      <c r="K24" s="777">
        <v>829000</v>
      </c>
      <c r="L24" s="776"/>
      <c r="M24" s="776"/>
    </row>
    <row r="25" spans="1:13" s="780" customFormat="1">
      <c r="A25" s="777">
        <f t="shared" si="2"/>
        <v>21</v>
      </c>
      <c r="B25" s="777">
        <v>1867</v>
      </c>
      <c r="C25" s="448" t="s">
        <v>111</v>
      </c>
      <c r="D25" s="778">
        <v>570000</v>
      </c>
      <c r="E25" s="778">
        <v>570000</v>
      </c>
      <c r="F25" s="778">
        <f t="shared" si="0"/>
        <v>570000</v>
      </c>
      <c r="G25" s="778">
        <v>369131</v>
      </c>
      <c r="H25" s="778">
        <f t="shared" si="1"/>
        <v>200869</v>
      </c>
      <c r="I25" s="779" t="s">
        <v>13</v>
      </c>
      <c r="J25" s="778" t="s">
        <v>1485</v>
      </c>
      <c r="K25" s="777">
        <v>732000</v>
      </c>
      <c r="L25" s="776"/>
      <c r="M25" s="776"/>
    </row>
    <row r="26" spans="1:13" s="780" customFormat="1">
      <c r="A26" s="936">
        <f>A25+1</f>
        <v>22</v>
      </c>
      <c r="B26" s="936">
        <v>2100</v>
      </c>
      <c r="C26" s="939" t="s">
        <v>305</v>
      </c>
      <c r="D26" s="941">
        <v>3161603</v>
      </c>
      <c r="E26" s="941">
        <v>3158968</v>
      </c>
      <c r="F26" s="941">
        <f t="shared" si="0"/>
        <v>3158968</v>
      </c>
      <c r="G26" s="941">
        <v>3124624</v>
      </c>
      <c r="H26" s="778">
        <v>16317</v>
      </c>
      <c r="I26" s="779" t="s">
        <v>13</v>
      </c>
      <c r="J26" s="939" t="s">
        <v>202</v>
      </c>
      <c r="K26" s="936">
        <v>742000</v>
      </c>
      <c r="L26" s="776"/>
      <c r="M26" s="776"/>
    </row>
    <row r="27" spans="1:13" s="780" customFormat="1">
      <c r="A27" s="937"/>
      <c r="B27" s="937"/>
      <c r="C27" s="940"/>
      <c r="D27" s="942"/>
      <c r="E27" s="942"/>
      <c r="F27" s="942"/>
      <c r="G27" s="942"/>
      <c r="H27" s="778">
        <v>18027</v>
      </c>
      <c r="I27" s="782" t="s">
        <v>14</v>
      </c>
      <c r="J27" s="940"/>
      <c r="K27" s="937"/>
      <c r="L27" s="776"/>
      <c r="M27" s="776"/>
    </row>
    <row r="28" spans="1:13">
      <c r="A28" s="784">
        <f>COUNT(A5:A26)</f>
        <v>22</v>
      </c>
      <c r="B28" s="785"/>
      <c r="C28" s="786" t="s">
        <v>167</v>
      </c>
      <c r="D28" s="784">
        <f>SUM(D5:D27)</f>
        <v>58297652</v>
      </c>
      <c r="E28" s="784">
        <f>SUM(E5:E27)</f>
        <v>56349017</v>
      </c>
      <c r="F28" s="784">
        <f>SUM(F5:F27)</f>
        <v>56349017</v>
      </c>
      <c r="G28" s="784">
        <f>SUM(G5:G27)</f>
        <v>54355966</v>
      </c>
      <c r="H28" s="784">
        <f>SUM(H5:H27)</f>
        <v>1993051</v>
      </c>
      <c r="I28" s="787"/>
      <c r="J28" s="492"/>
      <c r="K28" s="492"/>
      <c r="L28" s="492"/>
      <c r="M28" s="492"/>
    </row>
    <row r="29" spans="1:13" s="775" customFormat="1" ht="17.399999999999999" customHeight="1">
      <c r="A29" s="771"/>
      <c r="B29" s="772"/>
      <c r="C29" s="625" t="s">
        <v>1486</v>
      </c>
      <c r="D29" s="771"/>
      <c r="E29" s="771"/>
      <c r="F29" s="771"/>
      <c r="G29" s="771"/>
      <c r="H29" s="771"/>
      <c r="I29" s="773"/>
      <c r="J29" s="774"/>
      <c r="K29" s="774"/>
      <c r="L29" s="776"/>
      <c r="M29" s="776"/>
    </row>
    <row r="30" spans="1:13" s="780" customFormat="1">
      <c r="A30" s="777">
        <v>1</v>
      </c>
      <c r="B30" s="777">
        <v>2083</v>
      </c>
      <c r="C30" s="869" t="s">
        <v>297</v>
      </c>
      <c r="D30" s="778">
        <v>7880000</v>
      </c>
      <c r="E30" s="778">
        <v>7880000</v>
      </c>
      <c r="F30" s="778">
        <f t="shared" ref="F30" si="5">E30</f>
        <v>7880000</v>
      </c>
      <c r="G30" s="778">
        <v>7727793</v>
      </c>
      <c r="H30" s="778">
        <f t="shared" ref="H30" si="6">F30-G30</f>
        <v>152207</v>
      </c>
      <c r="I30" s="779" t="s">
        <v>1487</v>
      </c>
      <c r="J30" s="778" t="s">
        <v>1488</v>
      </c>
      <c r="K30" s="777">
        <v>810000</v>
      </c>
      <c r="L30" s="776"/>
      <c r="M30" s="776"/>
    </row>
    <row r="31" spans="1:13">
      <c r="A31" s="784">
        <f>COUNT(A30)</f>
        <v>1</v>
      </c>
      <c r="B31" s="785"/>
      <c r="C31" s="786" t="s">
        <v>167</v>
      </c>
      <c r="D31" s="784">
        <f>SUM(D30)</f>
        <v>7880000</v>
      </c>
      <c r="E31" s="784">
        <f t="shared" ref="E31:H31" si="7">SUM(E30)</f>
        <v>7880000</v>
      </c>
      <c r="F31" s="784">
        <f t="shared" si="7"/>
        <v>7880000</v>
      </c>
      <c r="G31" s="784">
        <f t="shared" si="7"/>
        <v>7727793</v>
      </c>
      <c r="H31" s="784">
        <f t="shared" si="7"/>
        <v>152207</v>
      </c>
      <c r="I31" s="787"/>
      <c r="J31" s="492"/>
      <c r="K31" s="492"/>
      <c r="L31" s="492"/>
      <c r="M31" s="492"/>
    </row>
    <row r="32" spans="1:13">
      <c r="A32" s="784">
        <f>A28+A30</f>
        <v>23</v>
      </c>
      <c r="B32" s="785"/>
      <c r="C32" s="786"/>
      <c r="D32" s="784">
        <f>D28+D30</f>
        <v>66177652</v>
      </c>
      <c r="E32" s="784">
        <f t="shared" ref="E32:H32" si="8">E28+E30</f>
        <v>64229017</v>
      </c>
      <c r="F32" s="784">
        <f t="shared" si="8"/>
        <v>64229017</v>
      </c>
      <c r="G32" s="784">
        <f t="shared" si="8"/>
        <v>62083759</v>
      </c>
      <c r="H32" s="784">
        <f t="shared" si="8"/>
        <v>2145258</v>
      </c>
      <c r="I32" s="787"/>
      <c r="J32" s="492"/>
      <c r="K32" s="492"/>
      <c r="L32" s="492"/>
      <c r="M32" s="492"/>
    </row>
    <row r="37" spans="3:3" ht="15">
      <c r="C37" s="788" t="s">
        <v>404</v>
      </c>
    </row>
  </sheetData>
  <mergeCells count="10">
    <mergeCell ref="K26:K27"/>
    <mergeCell ref="A1:J1"/>
    <mergeCell ref="A26:A27"/>
    <mergeCell ref="B26:B27"/>
    <mergeCell ref="C26:C27"/>
    <mergeCell ref="D26:D27"/>
    <mergeCell ref="E26:E27"/>
    <mergeCell ref="F26:F27"/>
    <mergeCell ref="G26:G27"/>
    <mergeCell ref="J26:J27"/>
  </mergeCells>
  <conditionalFormatting sqref="C30">
    <cfRule type="cellIs" dxfId="0" priority="1" operator="equal">
      <formula>0</formula>
    </cfRule>
  </conditionalFormatting>
  <printOptions horizontalCentered="1"/>
  <pageMargins left="0" right="0" top="1.3779527559055118" bottom="0.55118110236220474" header="0.9055118110236221" footer="0.31496062992125984"/>
  <pageSetup paperSize="9" scale="85" fitToHeight="0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8"/>
  <sheetViews>
    <sheetView showZeros="0" rightToLeft="1" zoomScaleNormal="100" workbookViewId="0">
      <selection activeCell="T10" sqref="T10"/>
    </sheetView>
  </sheetViews>
  <sheetFormatPr defaultColWidth="9.109375" defaultRowHeight="13.8"/>
  <cols>
    <col min="1" max="3" width="4.109375" style="71" customWidth="1"/>
    <col min="4" max="4" width="33" style="71" customWidth="1"/>
    <col min="5" max="8" width="12.109375" style="71" customWidth="1"/>
    <col min="9" max="9" width="12.109375" style="71" bestFit="1" customWidth="1"/>
    <col min="10" max="10" width="9.109375" style="71" customWidth="1"/>
    <col min="11" max="16384" width="9.109375" style="71"/>
  </cols>
  <sheetData>
    <row r="4" spans="1:16" ht="12.75" customHeight="1">
      <c r="A4" s="73"/>
      <c r="C4" s="75"/>
      <c r="D4" s="73"/>
      <c r="F4" s="112"/>
      <c r="G4" s="112"/>
      <c r="N4" s="73"/>
      <c r="O4" s="73"/>
      <c r="P4" s="73"/>
    </row>
    <row r="5" spans="1:16" ht="15.6">
      <c r="A5" s="73">
        <v>3.5</v>
      </c>
      <c r="C5" s="73" t="s">
        <v>172</v>
      </c>
    </row>
    <row r="6" spans="1:16" ht="16.2" thickBot="1">
      <c r="A6" s="73"/>
      <c r="H6" s="73"/>
      <c r="I6" s="73"/>
      <c r="J6" s="73"/>
      <c r="K6" s="73"/>
      <c r="N6" s="73"/>
      <c r="O6" s="73"/>
      <c r="P6" s="73"/>
    </row>
    <row r="7" spans="1:16" ht="20.100000000000001" customHeight="1">
      <c r="A7" s="73"/>
      <c r="C7" s="91" t="s">
        <v>173</v>
      </c>
      <c r="D7" s="151"/>
      <c r="E7" s="93"/>
      <c r="F7" s="94" t="s">
        <v>1248</v>
      </c>
      <c r="G7" s="113" t="s">
        <v>772</v>
      </c>
      <c r="J7" s="101"/>
      <c r="M7" s="73"/>
      <c r="N7" s="73"/>
      <c r="O7" s="73"/>
    </row>
    <row r="8" spans="1:16" ht="20.100000000000001" customHeight="1">
      <c r="A8" s="73"/>
      <c r="C8" s="96" t="s">
        <v>174</v>
      </c>
      <c r="D8" s="96"/>
      <c r="E8" s="98"/>
      <c r="F8" s="99">
        <f>'תקציב 2024 קרנות הרשות'!C20</f>
        <v>273998.75400000002</v>
      </c>
      <c r="G8" s="100">
        <v>258902</v>
      </c>
      <c r="H8" s="405"/>
      <c r="I8" s="406"/>
      <c r="J8" s="209"/>
      <c r="K8" s="406"/>
      <c r="M8" s="73"/>
      <c r="N8" s="73"/>
      <c r="O8" s="73"/>
    </row>
    <row r="9" spans="1:16" ht="20.100000000000001" customHeight="1">
      <c r="A9" s="73"/>
      <c r="C9" s="96" t="s">
        <v>14</v>
      </c>
      <c r="D9" s="96"/>
      <c r="E9" s="98"/>
      <c r="F9" s="99">
        <f>'תקציב 2024 קרנות הרשות'!D20</f>
        <v>30000</v>
      </c>
      <c r="G9" s="100">
        <v>110000</v>
      </c>
      <c r="H9" s="405"/>
      <c r="I9" s="406"/>
      <c r="J9" s="209"/>
      <c r="K9" s="406"/>
      <c r="M9" s="73"/>
      <c r="N9" s="73"/>
      <c r="O9" s="73"/>
    </row>
    <row r="10" spans="1:16" ht="20.100000000000001" customHeight="1">
      <c r="A10" s="73"/>
      <c r="C10" s="96" t="s">
        <v>15</v>
      </c>
      <c r="D10" s="96"/>
      <c r="E10" s="98"/>
      <c r="F10" s="99">
        <v>-770</v>
      </c>
      <c r="G10" s="100"/>
      <c r="H10" s="405"/>
      <c r="I10" s="406"/>
      <c r="J10" s="209"/>
      <c r="K10" s="406"/>
      <c r="M10" s="73"/>
      <c r="N10" s="73"/>
      <c r="O10" s="73"/>
    </row>
    <row r="11" spans="1:16" ht="20.100000000000001" customHeight="1">
      <c r="A11" s="73"/>
      <c r="C11" s="96" t="s">
        <v>1530</v>
      </c>
      <c r="D11" s="103"/>
      <c r="E11" s="105"/>
      <c r="F11" s="99">
        <f>17000+14736.186+5000+1000+705-17000+18200+500</f>
        <v>40141.186000000002</v>
      </c>
      <c r="G11" s="100">
        <v>866</v>
      </c>
      <c r="H11" s="405"/>
      <c r="I11" s="406"/>
      <c r="J11" s="209"/>
      <c r="K11" s="406"/>
      <c r="M11" s="73"/>
      <c r="N11" s="73"/>
      <c r="O11" s="73"/>
    </row>
    <row r="12" spans="1:16" ht="20.100000000000001" hidden="1" customHeight="1">
      <c r="A12" s="73"/>
      <c r="C12" s="96" t="s">
        <v>502</v>
      </c>
      <c r="D12" s="103"/>
      <c r="E12" s="105"/>
      <c r="F12" s="99">
        <v>0</v>
      </c>
      <c r="G12" s="100"/>
      <c r="H12" s="405"/>
      <c r="I12" s="406"/>
      <c r="J12" s="209"/>
      <c r="K12" s="406"/>
      <c r="M12" s="73"/>
      <c r="N12" s="73"/>
      <c r="O12" s="73"/>
    </row>
    <row r="13" spans="1:16" ht="20.100000000000001" customHeight="1">
      <c r="A13" s="73"/>
      <c r="C13" s="96" t="s">
        <v>175</v>
      </c>
      <c r="D13" s="162"/>
      <c r="E13" s="115"/>
      <c r="F13" s="99">
        <f>'תקציב 2024 סעיף 3.7-3.9'!F12</f>
        <v>109294.005</v>
      </c>
      <c r="G13" s="100">
        <v>96402</v>
      </c>
      <c r="H13" s="405"/>
      <c r="I13" s="406"/>
      <c r="J13" s="209"/>
      <c r="K13" s="406"/>
      <c r="L13" s="106"/>
      <c r="M13" s="73"/>
      <c r="N13" s="73"/>
      <c r="O13" s="73"/>
    </row>
    <row r="14" spans="1:16" ht="20.100000000000001" customHeight="1" thickBot="1">
      <c r="A14" s="73"/>
      <c r="C14" s="150" t="s">
        <v>84</v>
      </c>
      <c r="D14" s="152"/>
      <c r="E14" s="109"/>
      <c r="F14" s="148">
        <f>SUM(F8:F13)</f>
        <v>452663.94500000001</v>
      </c>
      <c r="G14" s="149">
        <f>SUM(G8:G13)</f>
        <v>466170</v>
      </c>
      <c r="H14" s="406"/>
      <c r="I14" s="406"/>
      <c r="J14" s="406"/>
      <c r="K14" s="406"/>
      <c r="M14" s="73"/>
      <c r="N14" s="73"/>
      <c r="O14" s="73"/>
    </row>
    <row r="15" spans="1:16" ht="17.399999999999999">
      <c r="A15" s="73"/>
      <c r="C15" s="74"/>
      <c r="D15" s="73"/>
      <c r="F15" s="84"/>
      <c r="G15" s="84"/>
      <c r="H15" s="406"/>
      <c r="N15" s="73"/>
      <c r="O15" s="73"/>
      <c r="P15" s="73"/>
    </row>
    <row r="16" spans="1:16" s="761" customFormat="1" ht="15.6">
      <c r="A16" s="760"/>
      <c r="C16" s="796" t="s">
        <v>183</v>
      </c>
      <c r="D16" s="78" t="s">
        <v>1533</v>
      </c>
      <c r="M16" s="760"/>
      <c r="N16" s="760"/>
      <c r="O16" s="760"/>
      <c r="P16" s="760"/>
    </row>
    <row r="17" spans="1:16" ht="15.6">
      <c r="A17" s="73"/>
      <c r="B17" s="78"/>
      <c r="C17" s="78"/>
      <c r="D17" s="78" t="s">
        <v>1532</v>
      </c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ht="15.6">
      <c r="A18" s="73"/>
      <c r="B18" s="78"/>
      <c r="C18" s="78"/>
      <c r="D18" s="78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</row>
  </sheetData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Zeros="0" rightToLeft="1" workbookViewId="0">
      <selection activeCell="T10" sqref="T10"/>
    </sheetView>
  </sheetViews>
  <sheetFormatPr defaultRowHeight="15.6"/>
  <cols>
    <col min="1" max="1" width="3.44140625" style="51" customWidth="1"/>
    <col min="2" max="2" width="37.33203125" style="51" bestFit="1" customWidth="1"/>
    <col min="3" max="3" width="16.44140625" style="53" bestFit="1" customWidth="1"/>
    <col min="4" max="4" width="19.88671875" style="53" bestFit="1" customWidth="1"/>
    <col min="5" max="5" width="13.44140625" style="53" customWidth="1"/>
    <col min="6" max="6" width="16.44140625" style="53" bestFit="1" customWidth="1"/>
    <col min="7" max="7" width="19.88671875" style="53" bestFit="1" customWidth="1"/>
    <col min="8" max="8" width="12.44140625" style="53" customWidth="1"/>
    <col min="9" max="10" width="9.109375" style="51"/>
    <col min="11" max="15" width="8.88671875" style="51" customWidth="1"/>
    <col min="16" max="16" width="10.33203125" style="51" customWidth="1"/>
    <col min="17" max="256" width="9.109375" style="51"/>
    <col min="257" max="257" width="3.44140625" style="51" customWidth="1"/>
    <col min="258" max="258" width="37.33203125" style="51" bestFit="1" customWidth="1"/>
    <col min="259" max="259" width="16.44140625" style="51" bestFit="1" customWidth="1"/>
    <col min="260" max="260" width="19.88671875" style="51" bestFit="1" customWidth="1"/>
    <col min="261" max="261" width="13.44140625" style="51" customWidth="1"/>
    <col min="262" max="262" width="16.44140625" style="51" bestFit="1" customWidth="1"/>
    <col min="263" max="263" width="19.88671875" style="51" bestFit="1" customWidth="1"/>
    <col min="264" max="264" width="12.44140625" style="51" customWidth="1"/>
    <col min="265" max="512" width="9.109375" style="51"/>
    <col min="513" max="513" width="3.44140625" style="51" customWidth="1"/>
    <col min="514" max="514" width="37.33203125" style="51" bestFit="1" customWidth="1"/>
    <col min="515" max="515" width="16.44140625" style="51" bestFit="1" customWidth="1"/>
    <col min="516" max="516" width="19.88671875" style="51" bestFit="1" customWidth="1"/>
    <col min="517" max="517" width="13.44140625" style="51" customWidth="1"/>
    <col min="518" max="518" width="16.44140625" style="51" bestFit="1" customWidth="1"/>
    <col min="519" max="519" width="19.88671875" style="51" bestFit="1" customWidth="1"/>
    <col min="520" max="520" width="12.44140625" style="51" customWidth="1"/>
    <col min="521" max="768" width="9.109375" style="51"/>
    <col min="769" max="769" width="3.44140625" style="51" customWidth="1"/>
    <col min="770" max="770" width="37.33203125" style="51" bestFit="1" customWidth="1"/>
    <col min="771" max="771" width="16.44140625" style="51" bestFit="1" customWidth="1"/>
    <col min="772" max="772" width="19.88671875" style="51" bestFit="1" customWidth="1"/>
    <col min="773" max="773" width="13.44140625" style="51" customWidth="1"/>
    <col min="774" max="774" width="16.44140625" style="51" bestFit="1" customWidth="1"/>
    <col min="775" max="775" width="19.88671875" style="51" bestFit="1" customWidth="1"/>
    <col min="776" max="776" width="12.44140625" style="51" customWidth="1"/>
    <col min="777" max="1024" width="9.109375" style="51"/>
    <col min="1025" max="1025" width="3.44140625" style="51" customWidth="1"/>
    <col min="1026" max="1026" width="37.33203125" style="51" bestFit="1" customWidth="1"/>
    <col min="1027" max="1027" width="16.44140625" style="51" bestFit="1" customWidth="1"/>
    <col min="1028" max="1028" width="19.88671875" style="51" bestFit="1" customWidth="1"/>
    <col min="1029" max="1029" width="13.44140625" style="51" customWidth="1"/>
    <col min="1030" max="1030" width="16.44140625" style="51" bestFit="1" customWidth="1"/>
    <col min="1031" max="1031" width="19.88671875" style="51" bestFit="1" customWidth="1"/>
    <col min="1032" max="1032" width="12.44140625" style="51" customWidth="1"/>
    <col min="1033" max="1280" width="9.109375" style="51"/>
    <col min="1281" max="1281" width="3.44140625" style="51" customWidth="1"/>
    <col min="1282" max="1282" width="37.33203125" style="51" bestFit="1" customWidth="1"/>
    <col min="1283" max="1283" width="16.44140625" style="51" bestFit="1" customWidth="1"/>
    <col min="1284" max="1284" width="19.88671875" style="51" bestFit="1" customWidth="1"/>
    <col min="1285" max="1285" width="13.44140625" style="51" customWidth="1"/>
    <col min="1286" max="1286" width="16.44140625" style="51" bestFit="1" customWidth="1"/>
    <col min="1287" max="1287" width="19.88671875" style="51" bestFit="1" customWidth="1"/>
    <col min="1288" max="1288" width="12.44140625" style="51" customWidth="1"/>
    <col min="1289" max="1536" width="9.109375" style="51"/>
    <col min="1537" max="1537" width="3.44140625" style="51" customWidth="1"/>
    <col min="1538" max="1538" width="37.33203125" style="51" bestFit="1" customWidth="1"/>
    <col min="1539" max="1539" width="16.44140625" style="51" bestFit="1" customWidth="1"/>
    <col min="1540" max="1540" width="19.88671875" style="51" bestFit="1" customWidth="1"/>
    <col min="1541" max="1541" width="13.44140625" style="51" customWidth="1"/>
    <col min="1542" max="1542" width="16.44140625" style="51" bestFit="1" customWidth="1"/>
    <col min="1543" max="1543" width="19.88671875" style="51" bestFit="1" customWidth="1"/>
    <col min="1544" max="1544" width="12.44140625" style="51" customWidth="1"/>
    <col min="1545" max="1792" width="9.109375" style="51"/>
    <col min="1793" max="1793" width="3.44140625" style="51" customWidth="1"/>
    <col min="1794" max="1794" width="37.33203125" style="51" bestFit="1" customWidth="1"/>
    <col min="1795" max="1795" width="16.44140625" style="51" bestFit="1" customWidth="1"/>
    <col min="1796" max="1796" width="19.88671875" style="51" bestFit="1" customWidth="1"/>
    <col min="1797" max="1797" width="13.44140625" style="51" customWidth="1"/>
    <col min="1798" max="1798" width="16.44140625" style="51" bestFit="1" customWidth="1"/>
    <col min="1799" max="1799" width="19.88671875" style="51" bestFit="1" customWidth="1"/>
    <col min="1800" max="1800" width="12.44140625" style="51" customWidth="1"/>
    <col min="1801" max="2048" width="9.109375" style="51"/>
    <col min="2049" max="2049" width="3.44140625" style="51" customWidth="1"/>
    <col min="2050" max="2050" width="37.33203125" style="51" bestFit="1" customWidth="1"/>
    <col min="2051" max="2051" width="16.44140625" style="51" bestFit="1" customWidth="1"/>
    <col min="2052" max="2052" width="19.88671875" style="51" bestFit="1" customWidth="1"/>
    <col min="2053" max="2053" width="13.44140625" style="51" customWidth="1"/>
    <col min="2054" max="2054" width="16.44140625" style="51" bestFit="1" customWidth="1"/>
    <col min="2055" max="2055" width="19.88671875" style="51" bestFit="1" customWidth="1"/>
    <col min="2056" max="2056" width="12.44140625" style="51" customWidth="1"/>
    <col min="2057" max="2304" width="9.109375" style="51"/>
    <col min="2305" max="2305" width="3.44140625" style="51" customWidth="1"/>
    <col min="2306" max="2306" width="37.33203125" style="51" bestFit="1" customWidth="1"/>
    <col min="2307" max="2307" width="16.44140625" style="51" bestFit="1" customWidth="1"/>
    <col min="2308" max="2308" width="19.88671875" style="51" bestFit="1" customWidth="1"/>
    <col min="2309" max="2309" width="13.44140625" style="51" customWidth="1"/>
    <col min="2310" max="2310" width="16.44140625" style="51" bestFit="1" customWidth="1"/>
    <col min="2311" max="2311" width="19.88671875" style="51" bestFit="1" customWidth="1"/>
    <col min="2312" max="2312" width="12.44140625" style="51" customWidth="1"/>
    <col min="2313" max="2560" width="9.109375" style="51"/>
    <col min="2561" max="2561" width="3.44140625" style="51" customWidth="1"/>
    <col min="2562" max="2562" width="37.33203125" style="51" bestFit="1" customWidth="1"/>
    <col min="2563" max="2563" width="16.44140625" style="51" bestFit="1" customWidth="1"/>
    <col min="2564" max="2564" width="19.88671875" style="51" bestFit="1" customWidth="1"/>
    <col min="2565" max="2565" width="13.44140625" style="51" customWidth="1"/>
    <col min="2566" max="2566" width="16.44140625" style="51" bestFit="1" customWidth="1"/>
    <col min="2567" max="2567" width="19.88671875" style="51" bestFit="1" customWidth="1"/>
    <col min="2568" max="2568" width="12.44140625" style="51" customWidth="1"/>
    <col min="2569" max="2816" width="9.109375" style="51"/>
    <col min="2817" max="2817" width="3.44140625" style="51" customWidth="1"/>
    <col min="2818" max="2818" width="37.33203125" style="51" bestFit="1" customWidth="1"/>
    <col min="2819" max="2819" width="16.44140625" style="51" bestFit="1" customWidth="1"/>
    <col min="2820" max="2820" width="19.88671875" style="51" bestFit="1" customWidth="1"/>
    <col min="2821" max="2821" width="13.44140625" style="51" customWidth="1"/>
    <col min="2822" max="2822" width="16.44140625" style="51" bestFit="1" customWidth="1"/>
    <col min="2823" max="2823" width="19.88671875" style="51" bestFit="1" customWidth="1"/>
    <col min="2824" max="2824" width="12.44140625" style="51" customWidth="1"/>
    <col min="2825" max="3072" width="9.109375" style="51"/>
    <col min="3073" max="3073" width="3.44140625" style="51" customWidth="1"/>
    <col min="3074" max="3074" width="37.33203125" style="51" bestFit="1" customWidth="1"/>
    <col min="3075" max="3075" width="16.44140625" style="51" bestFit="1" customWidth="1"/>
    <col min="3076" max="3076" width="19.88671875" style="51" bestFit="1" customWidth="1"/>
    <col min="3077" max="3077" width="13.44140625" style="51" customWidth="1"/>
    <col min="3078" max="3078" width="16.44140625" style="51" bestFit="1" customWidth="1"/>
    <col min="3079" max="3079" width="19.88671875" style="51" bestFit="1" customWidth="1"/>
    <col min="3080" max="3080" width="12.44140625" style="51" customWidth="1"/>
    <col min="3081" max="3328" width="9.109375" style="51"/>
    <col min="3329" max="3329" width="3.44140625" style="51" customWidth="1"/>
    <col min="3330" max="3330" width="37.33203125" style="51" bestFit="1" customWidth="1"/>
    <col min="3331" max="3331" width="16.44140625" style="51" bestFit="1" customWidth="1"/>
    <col min="3332" max="3332" width="19.88671875" style="51" bestFit="1" customWidth="1"/>
    <col min="3333" max="3333" width="13.44140625" style="51" customWidth="1"/>
    <col min="3334" max="3334" width="16.44140625" style="51" bestFit="1" customWidth="1"/>
    <col min="3335" max="3335" width="19.88671875" style="51" bestFit="1" customWidth="1"/>
    <col min="3336" max="3336" width="12.44140625" style="51" customWidth="1"/>
    <col min="3337" max="3584" width="9.109375" style="51"/>
    <col min="3585" max="3585" width="3.44140625" style="51" customWidth="1"/>
    <col min="3586" max="3586" width="37.33203125" style="51" bestFit="1" customWidth="1"/>
    <col min="3587" max="3587" width="16.44140625" style="51" bestFit="1" customWidth="1"/>
    <col min="3588" max="3588" width="19.88671875" style="51" bestFit="1" customWidth="1"/>
    <col min="3589" max="3589" width="13.44140625" style="51" customWidth="1"/>
    <col min="3590" max="3590" width="16.44140625" style="51" bestFit="1" customWidth="1"/>
    <col min="3591" max="3591" width="19.88671875" style="51" bestFit="1" customWidth="1"/>
    <col min="3592" max="3592" width="12.44140625" style="51" customWidth="1"/>
    <col min="3593" max="3840" width="9.109375" style="51"/>
    <col min="3841" max="3841" width="3.44140625" style="51" customWidth="1"/>
    <col min="3842" max="3842" width="37.33203125" style="51" bestFit="1" customWidth="1"/>
    <col min="3843" max="3843" width="16.44140625" style="51" bestFit="1" customWidth="1"/>
    <col min="3844" max="3844" width="19.88671875" style="51" bestFit="1" customWidth="1"/>
    <col min="3845" max="3845" width="13.44140625" style="51" customWidth="1"/>
    <col min="3846" max="3846" width="16.44140625" style="51" bestFit="1" customWidth="1"/>
    <col min="3847" max="3847" width="19.88671875" style="51" bestFit="1" customWidth="1"/>
    <col min="3848" max="3848" width="12.44140625" style="51" customWidth="1"/>
    <col min="3849" max="4096" width="9.109375" style="51"/>
    <col min="4097" max="4097" width="3.44140625" style="51" customWidth="1"/>
    <col min="4098" max="4098" width="37.33203125" style="51" bestFit="1" customWidth="1"/>
    <col min="4099" max="4099" width="16.44140625" style="51" bestFit="1" customWidth="1"/>
    <col min="4100" max="4100" width="19.88671875" style="51" bestFit="1" customWidth="1"/>
    <col min="4101" max="4101" width="13.44140625" style="51" customWidth="1"/>
    <col min="4102" max="4102" width="16.44140625" style="51" bestFit="1" customWidth="1"/>
    <col min="4103" max="4103" width="19.88671875" style="51" bestFit="1" customWidth="1"/>
    <col min="4104" max="4104" width="12.44140625" style="51" customWidth="1"/>
    <col min="4105" max="4352" width="9.109375" style="51"/>
    <col min="4353" max="4353" width="3.44140625" style="51" customWidth="1"/>
    <col min="4354" max="4354" width="37.33203125" style="51" bestFit="1" customWidth="1"/>
    <col min="4355" max="4355" width="16.44140625" style="51" bestFit="1" customWidth="1"/>
    <col min="4356" max="4356" width="19.88671875" style="51" bestFit="1" customWidth="1"/>
    <col min="4357" max="4357" width="13.44140625" style="51" customWidth="1"/>
    <col min="4358" max="4358" width="16.44140625" style="51" bestFit="1" customWidth="1"/>
    <col min="4359" max="4359" width="19.88671875" style="51" bestFit="1" customWidth="1"/>
    <col min="4360" max="4360" width="12.44140625" style="51" customWidth="1"/>
    <col min="4361" max="4608" width="9.109375" style="51"/>
    <col min="4609" max="4609" width="3.44140625" style="51" customWidth="1"/>
    <col min="4610" max="4610" width="37.33203125" style="51" bestFit="1" customWidth="1"/>
    <col min="4611" max="4611" width="16.44140625" style="51" bestFit="1" customWidth="1"/>
    <col min="4612" max="4612" width="19.88671875" style="51" bestFit="1" customWidth="1"/>
    <col min="4613" max="4613" width="13.44140625" style="51" customWidth="1"/>
    <col min="4614" max="4614" width="16.44140625" style="51" bestFit="1" customWidth="1"/>
    <col min="4615" max="4615" width="19.88671875" style="51" bestFit="1" customWidth="1"/>
    <col min="4616" max="4616" width="12.44140625" style="51" customWidth="1"/>
    <col min="4617" max="4864" width="9.109375" style="51"/>
    <col min="4865" max="4865" width="3.44140625" style="51" customWidth="1"/>
    <col min="4866" max="4866" width="37.33203125" style="51" bestFit="1" customWidth="1"/>
    <col min="4867" max="4867" width="16.44140625" style="51" bestFit="1" customWidth="1"/>
    <col min="4868" max="4868" width="19.88671875" style="51" bestFit="1" customWidth="1"/>
    <col min="4869" max="4869" width="13.44140625" style="51" customWidth="1"/>
    <col min="4870" max="4870" width="16.44140625" style="51" bestFit="1" customWidth="1"/>
    <col min="4871" max="4871" width="19.88671875" style="51" bestFit="1" customWidth="1"/>
    <col min="4872" max="4872" width="12.44140625" style="51" customWidth="1"/>
    <col min="4873" max="5120" width="9.109375" style="51"/>
    <col min="5121" max="5121" width="3.44140625" style="51" customWidth="1"/>
    <col min="5122" max="5122" width="37.33203125" style="51" bestFit="1" customWidth="1"/>
    <col min="5123" max="5123" width="16.44140625" style="51" bestFit="1" customWidth="1"/>
    <col min="5124" max="5124" width="19.88671875" style="51" bestFit="1" customWidth="1"/>
    <col min="5125" max="5125" width="13.44140625" style="51" customWidth="1"/>
    <col min="5126" max="5126" width="16.44140625" style="51" bestFit="1" customWidth="1"/>
    <col min="5127" max="5127" width="19.88671875" style="51" bestFit="1" customWidth="1"/>
    <col min="5128" max="5128" width="12.44140625" style="51" customWidth="1"/>
    <col min="5129" max="5376" width="9.109375" style="51"/>
    <col min="5377" max="5377" width="3.44140625" style="51" customWidth="1"/>
    <col min="5378" max="5378" width="37.33203125" style="51" bestFit="1" customWidth="1"/>
    <col min="5379" max="5379" width="16.44140625" style="51" bestFit="1" customWidth="1"/>
    <col min="5380" max="5380" width="19.88671875" style="51" bestFit="1" customWidth="1"/>
    <col min="5381" max="5381" width="13.44140625" style="51" customWidth="1"/>
    <col min="5382" max="5382" width="16.44140625" style="51" bestFit="1" customWidth="1"/>
    <col min="5383" max="5383" width="19.88671875" style="51" bestFit="1" customWidth="1"/>
    <col min="5384" max="5384" width="12.44140625" style="51" customWidth="1"/>
    <col min="5385" max="5632" width="9.109375" style="51"/>
    <col min="5633" max="5633" width="3.44140625" style="51" customWidth="1"/>
    <col min="5634" max="5634" width="37.33203125" style="51" bestFit="1" customWidth="1"/>
    <col min="5635" max="5635" width="16.44140625" style="51" bestFit="1" customWidth="1"/>
    <col min="5636" max="5636" width="19.88671875" style="51" bestFit="1" customWidth="1"/>
    <col min="5637" max="5637" width="13.44140625" style="51" customWidth="1"/>
    <col min="5638" max="5638" width="16.44140625" style="51" bestFit="1" customWidth="1"/>
    <col min="5639" max="5639" width="19.88671875" style="51" bestFit="1" customWidth="1"/>
    <col min="5640" max="5640" width="12.44140625" style="51" customWidth="1"/>
    <col min="5641" max="5888" width="9.109375" style="51"/>
    <col min="5889" max="5889" width="3.44140625" style="51" customWidth="1"/>
    <col min="5890" max="5890" width="37.33203125" style="51" bestFit="1" customWidth="1"/>
    <col min="5891" max="5891" width="16.44140625" style="51" bestFit="1" customWidth="1"/>
    <col min="5892" max="5892" width="19.88671875" style="51" bestFit="1" customWidth="1"/>
    <col min="5893" max="5893" width="13.44140625" style="51" customWidth="1"/>
    <col min="5894" max="5894" width="16.44140625" style="51" bestFit="1" customWidth="1"/>
    <col min="5895" max="5895" width="19.88671875" style="51" bestFit="1" customWidth="1"/>
    <col min="5896" max="5896" width="12.44140625" style="51" customWidth="1"/>
    <col min="5897" max="6144" width="9.109375" style="51"/>
    <col min="6145" max="6145" width="3.44140625" style="51" customWidth="1"/>
    <col min="6146" max="6146" width="37.33203125" style="51" bestFit="1" customWidth="1"/>
    <col min="6147" max="6147" width="16.44140625" style="51" bestFit="1" customWidth="1"/>
    <col min="6148" max="6148" width="19.88671875" style="51" bestFit="1" customWidth="1"/>
    <col min="6149" max="6149" width="13.44140625" style="51" customWidth="1"/>
    <col min="6150" max="6150" width="16.44140625" style="51" bestFit="1" customWidth="1"/>
    <col min="6151" max="6151" width="19.88671875" style="51" bestFit="1" customWidth="1"/>
    <col min="6152" max="6152" width="12.44140625" style="51" customWidth="1"/>
    <col min="6153" max="6400" width="9.109375" style="51"/>
    <col min="6401" max="6401" width="3.44140625" style="51" customWidth="1"/>
    <col min="6402" max="6402" width="37.33203125" style="51" bestFit="1" customWidth="1"/>
    <col min="6403" max="6403" width="16.44140625" style="51" bestFit="1" customWidth="1"/>
    <col min="6404" max="6404" width="19.88671875" style="51" bestFit="1" customWidth="1"/>
    <col min="6405" max="6405" width="13.44140625" style="51" customWidth="1"/>
    <col min="6406" max="6406" width="16.44140625" style="51" bestFit="1" customWidth="1"/>
    <col min="6407" max="6407" width="19.88671875" style="51" bestFit="1" customWidth="1"/>
    <col min="6408" max="6408" width="12.44140625" style="51" customWidth="1"/>
    <col min="6409" max="6656" width="9.109375" style="51"/>
    <col min="6657" max="6657" width="3.44140625" style="51" customWidth="1"/>
    <col min="6658" max="6658" width="37.33203125" style="51" bestFit="1" customWidth="1"/>
    <col min="6659" max="6659" width="16.44140625" style="51" bestFit="1" customWidth="1"/>
    <col min="6660" max="6660" width="19.88671875" style="51" bestFit="1" customWidth="1"/>
    <col min="6661" max="6661" width="13.44140625" style="51" customWidth="1"/>
    <col min="6662" max="6662" width="16.44140625" style="51" bestFit="1" customWidth="1"/>
    <col min="6663" max="6663" width="19.88671875" style="51" bestFit="1" customWidth="1"/>
    <col min="6664" max="6664" width="12.44140625" style="51" customWidth="1"/>
    <col min="6665" max="6912" width="9.109375" style="51"/>
    <col min="6913" max="6913" width="3.44140625" style="51" customWidth="1"/>
    <col min="6914" max="6914" width="37.33203125" style="51" bestFit="1" customWidth="1"/>
    <col min="6915" max="6915" width="16.44140625" style="51" bestFit="1" customWidth="1"/>
    <col min="6916" max="6916" width="19.88671875" style="51" bestFit="1" customWidth="1"/>
    <col min="6917" max="6917" width="13.44140625" style="51" customWidth="1"/>
    <col min="6918" max="6918" width="16.44140625" style="51" bestFit="1" customWidth="1"/>
    <col min="6919" max="6919" width="19.88671875" style="51" bestFit="1" customWidth="1"/>
    <col min="6920" max="6920" width="12.44140625" style="51" customWidth="1"/>
    <col min="6921" max="7168" width="9.109375" style="51"/>
    <col min="7169" max="7169" width="3.44140625" style="51" customWidth="1"/>
    <col min="7170" max="7170" width="37.33203125" style="51" bestFit="1" customWidth="1"/>
    <col min="7171" max="7171" width="16.44140625" style="51" bestFit="1" customWidth="1"/>
    <col min="7172" max="7172" width="19.88671875" style="51" bestFit="1" customWidth="1"/>
    <col min="7173" max="7173" width="13.44140625" style="51" customWidth="1"/>
    <col min="7174" max="7174" width="16.44140625" style="51" bestFit="1" customWidth="1"/>
    <col min="7175" max="7175" width="19.88671875" style="51" bestFit="1" customWidth="1"/>
    <col min="7176" max="7176" width="12.44140625" style="51" customWidth="1"/>
    <col min="7177" max="7424" width="9.109375" style="51"/>
    <col min="7425" max="7425" width="3.44140625" style="51" customWidth="1"/>
    <col min="7426" max="7426" width="37.33203125" style="51" bestFit="1" customWidth="1"/>
    <col min="7427" max="7427" width="16.44140625" style="51" bestFit="1" customWidth="1"/>
    <col min="7428" max="7428" width="19.88671875" style="51" bestFit="1" customWidth="1"/>
    <col min="7429" max="7429" width="13.44140625" style="51" customWidth="1"/>
    <col min="7430" max="7430" width="16.44140625" style="51" bestFit="1" customWidth="1"/>
    <col min="7431" max="7431" width="19.88671875" style="51" bestFit="1" customWidth="1"/>
    <col min="7432" max="7432" width="12.44140625" style="51" customWidth="1"/>
    <col min="7433" max="7680" width="9.109375" style="51"/>
    <col min="7681" max="7681" width="3.44140625" style="51" customWidth="1"/>
    <col min="7682" max="7682" width="37.33203125" style="51" bestFit="1" customWidth="1"/>
    <col min="7683" max="7683" width="16.44140625" style="51" bestFit="1" customWidth="1"/>
    <col min="7684" max="7684" width="19.88671875" style="51" bestFit="1" customWidth="1"/>
    <col min="7685" max="7685" width="13.44140625" style="51" customWidth="1"/>
    <col min="7686" max="7686" width="16.44140625" style="51" bestFit="1" customWidth="1"/>
    <col min="7687" max="7687" width="19.88671875" style="51" bestFit="1" customWidth="1"/>
    <col min="7688" max="7688" width="12.44140625" style="51" customWidth="1"/>
    <col min="7689" max="7936" width="9.109375" style="51"/>
    <col min="7937" max="7937" width="3.44140625" style="51" customWidth="1"/>
    <col min="7938" max="7938" width="37.33203125" style="51" bestFit="1" customWidth="1"/>
    <col min="7939" max="7939" width="16.44140625" style="51" bestFit="1" customWidth="1"/>
    <col min="7940" max="7940" width="19.88671875" style="51" bestFit="1" customWidth="1"/>
    <col min="7941" max="7941" width="13.44140625" style="51" customWidth="1"/>
    <col min="7942" max="7942" width="16.44140625" style="51" bestFit="1" customWidth="1"/>
    <col min="7943" max="7943" width="19.88671875" style="51" bestFit="1" customWidth="1"/>
    <col min="7944" max="7944" width="12.44140625" style="51" customWidth="1"/>
    <col min="7945" max="8192" width="9.109375" style="51"/>
    <col min="8193" max="8193" width="3.44140625" style="51" customWidth="1"/>
    <col min="8194" max="8194" width="37.33203125" style="51" bestFit="1" customWidth="1"/>
    <col min="8195" max="8195" width="16.44140625" style="51" bestFit="1" customWidth="1"/>
    <col min="8196" max="8196" width="19.88671875" style="51" bestFit="1" customWidth="1"/>
    <col min="8197" max="8197" width="13.44140625" style="51" customWidth="1"/>
    <col min="8198" max="8198" width="16.44140625" style="51" bestFit="1" customWidth="1"/>
    <col min="8199" max="8199" width="19.88671875" style="51" bestFit="1" customWidth="1"/>
    <col min="8200" max="8200" width="12.44140625" style="51" customWidth="1"/>
    <col min="8201" max="8448" width="9.109375" style="51"/>
    <col min="8449" max="8449" width="3.44140625" style="51" customWidth="1"/>
    <col min="8450" max="8450" width="37.33203125" style="51" bestFit="1" customWidth="1"/>
    <col min="8451" max="8451" width="16.44140625" style="51" bestFit="1" customWidth="1"/>
    <col min="8452" max="8452" width="19.88671875" style="51" bestFit="1" customWidth="1"/>
    <col min="8453" max="8453" width="13.44140625" style="51" customWidth="1"/>
    <col min="8454" max="8454" width="16.44140625" style="51" bestFit="1" customWidth="1"/>
    <col min="8455" max="8455" width="19.88671875" style="51" bestFit="1" customWidth="1"/>
    <col min="8456" max="8456" width="12.44140625" style="51" customWidth="1"/>
    <col min="8457" max="8704" width="9.109375" style="51"/>
    <col min="8705" max="8705" width="3.44140625" style="51" customWidth="1"/>
    <col min="8706" max="8706" width="37.33203125" style="51" bestFit="1" customWidth="1"/>
    <col min="8707" max="8707" width="16.44140625" style="51" bestFit="1" customWidth="1"/>
    <col min="8708" max="8708" width="19.88671875" style="51" bestFit="1" customWidth="1"/>
    <col min="8709" max="8709" width="13.44140625" style="51" customWidth="1"/>
    <col min="8710" max="8710" width="16.44140625" style="51" bestFit="1" customWidth="1"/>
    <col min="8711" max="8711" width="19.88671875" style="51" bestFit="1" customWidth="1"/>
    <col min="8712" max="8712" width="12.44140625" style="51" customWidth="1"/>
    <col min="8713" max="8960" width="9.109375" style="51"/>
    <col min="8961" max="8961" width="3.44140625" style="51" customWidth="1"/>
    <col min="8962" max="8962" width="37.33203125" style="51" bestFit="1" customWidth="1"/>
    <col min="8963" max="8963" width="16.44140625" style="51" bestFit="1" customWidth="1"/>
    <col min="8964" max="8964" width="19.88671875" style="51" bestFit="1" customWidth="1"/>
    <col min="8965" max="8965" width="13.44140625" style="51" customWidth="1"/>
    <col min="8966" max="8966" width="16.44140625" style="51" bestFit="1" customWidth="1"/>
    <col min="8967" max="8967" width="19.88671875" style="51" bestFit="1" customWidth="1"/>
    <col min="8968" max="8968" width="12.44140625" style="51" customWidth="1"/>
    <col min="8969" max="9216" width="9.109375" style="51"/>
    <col min="9217" max="9217" width="3.44140625" style="51" customWidth="1"/>
    <col min="9218" max="9218" width="37.33203125" style="51" bestFit="1" customWidth="1"/>
    <col min="9219" max="9219" width="16.44140625" style="51" bestFit="1" customWidth="1"/>
    <col min="9220" max="9220" width="19.88671875" style="51" bestFit="1" customWidth="1"/>
    <col min="9221" max="9221" width="13.44140625" style="51" customWidth="1"/>
    <col min="9222" max="9222" width="16.44140625" style="51" bestFit="1" customWidth="1"/>
    <col min="9223" max="9223" width="19.88671875" style="51" bestFit="1" customWidth="1"/>
    <col min="9224" max="9224" width="12.44140625" style="51" customWidth="1"/>
    <col min="9225" max="9472" width="9.109375" style="51"/>
    <col min="9473" max="9473" width="3.44140625" style="51" customWidth="1"/>
    <col min="9474" max="9474" width="37.33203125" style="51" bestFit="1" customWidth="1"/>
    <col min="9475" max="9475" width="16.44140625" style="51" bestFit="1" customWidth="1"/>
    <col min="9476" max="9476" width="19.88671875" style="51" bestFit="1" customWidth="1"/>
    <col min="9477" max="9477" width="13.44140625" style="51" customWidth="1"/>
    <col min="9478" max="9478" width="16.44140625" style="51" bestFit="1" customWidth="1"/>
    <col min="9479" max="9479" width="19.88671875" style="51" bestFit="1" customWidth="1"/>
    <col min="9480" max="9480" width="12.44140625" style="51" customWidth="1"/>
    <col min="9481" max="9728" width="9.109375" style="51"/>
    <col min="9729" max="9729" width="3.44140625" style="51" customWidth="1"/>
    <col min="9730" max="9730" width="37.33203125" style="51" bestFit="1" customWidth="1"/>
    <col min="9731" max="9731" width="16.44140625" style="51" bestFit="1" customWidth="1"/>
    <col min="9732" max="9732" width="19.88671875" style="51" bestFit="1" customWidth="1"/>
    <col min="9733" max="9733" width="13.44140625" style="51" customWidth="1"/>
    <col min="9734" max="9734" width="16.44140625" style="51" bestFit="1" customWidth="1"/>
    <col min="9735" max="9735" width="19.88671875" style="51" bestFit="1" customWidth="1"/>
    <col min="9736" max="9736" width="12.44140625" style="51" customWidth="1"/>
    <col min="9737" max="9984" width="9.109375" style="51"/>
    <col min="9985" max="9985" width="3.44140625" style="51" customWidth="1"/>
    <col min="9986" max="9986" width="37.33203125" style="51" bestFit="1" customWidth="1"/>
    <col min="9987" max="9987" width="16.44140625" style="51" bestFit="1" customWidth="1"/>
    <col min="9988" max="9988" width="19.88671875" style="51" bestFit="1" customWidth="1"/>
    <col min="9989" max="9989" width="13.44140625" style="51" customWidth="1"/>
    <col min="9990" max="9990" width="16.44140625" style="51" bestFit="1" customWidth="1"/>
    <col min="9991" max="9991" width="19.88671875" style="51" bestFit="1" customWidth="1"/>
    <col min="9992" max="9992" width="12.44140625" style="51" customWidth="1"/>
    <col min="9993" max="10240" width="9.109375" style="51"/>
    <col min="10241" max="10241" width="3.44140625" style="51" customWidth="1"/>
    <col min="10242" max="10242" width="37.33203125" style="51" bestFit="1" customWidth="1"/>
    <col min="10243" max="10243" width="16.44140625" style="51" bestFit="1" customWidth="1"/>
    <col min="10244" max="10244" width="19.88671875" style="51" bestFit="1" customWidth="1"/>
    <col min="10245" max="10245" width="13.44140625" style="51" customWidth="1"/>
    <col min="10246" max="10246" width="16.44140625" style="51" bestFit="1" customWidth="1"/>
    <col min="10247" max="10247" width="19.88671875" style="51" bestFit="1" customWidth="1"/>
    <col min="10248" max="10248" width="12.44140625" style="51" customWidth="1"/>
    <col min="10249" max="10496" width="9.109375" style="51"/>
    <col min="10497" max="10497" width="3.44140625" style="51" customWidth="1"/>
    <col min="10498" max="10498" width="37.33203125" style="51" bestFit="1" customWidth="1"/>
    <col min="10499" max="10499" width="16.44140625" style="51" bestFit="1" customWidth="1"/>
    <col min="10500" max="10500" width="19.88671875" style="51" bestFit="1" customWidth="1"/>
    <col min="10501" max="10501" width="13.44140625" style="51" customWidth="1"/>
    <col min="10502" max="10502" width="16.44140625" style="51" bestFit="1" customWidth="1"/>
    <col min="10503" max="10503" width="19.88671875" style="51" bestFit="1" customWidth="1"/>
    <col min="10504" max="10504" width="12.44140625" style="51" customWidth="1"/>
    <col min="10505" max="10752" width="9.109375" style="51"/>
    <col min="10753" max="10753" width="3.44140625" style="51" customWidth="1"/>
    <col min="10754" max="10754" width="37.33203125" style="51" bestFit="1" customWidth="1"/>
    <col min="10755" max="10755" width="16.44140625" style="51" bestFit="1" customWidth="1"/>
    <col min="10756" max="10756" width="19.88671875" style="51" bestFit="1" customWidth="1"/>
    <col min="10757" max="10757" width="13.44140625" style="51" customWidth="1"/>
    <col min="10758" max="10758" width="16.44140625" style="51" bestFit="1" customWidth="1"/>
    <col min="10759" max="10759" width="19.88671875" style="51" bestFit="1" customWidth="1"/>
    <col min="10760" max="10760" width="12.44140625" style="51" customWidth="1"/>
    <col min="10761" max="11008" width="9.109375" style="51"/>
    <col min="11009" max="11009" width="3.44140625" style="51" customWidth="1"/>
    <col min="11010" max="11010" width="37.33203125" style="51" bestFit="1" customWidth="1"/>
    <col min="11011" max="11011" width="16.44140625" style="51" bestFit="1" customWidth="1"/>
    <col min="11012" max="11012" width="19.88671875" style="51" bestFit="1" customWidth="1"/>
    <col min="11013" max="11013" width="13.44140625" style="51" customWidth="1"/>
    <col min="11014" max="11014" width="16.44140625" style="51" bestFit="1" customWidth="1"/>
    <col min="11015" max="11015" width="19.88671875" style="51" bestFit="1" customWidth="1"/>
    <col min="11016" max="11016" width="12.44140625" style="51" customWidth="1"/>
    <col min="11017" max="11264" width="9.109375" style="51"/>
    <col min="11265" max="11265" width="3.44140625" style="51" customWidth="1"/>
    <col min="11266" max="11266" width="37.33203125" style="51" bestFit="1" customWidth="1"/>
    <col min="11267" max="11267" width="16.44140625" style="51" bestFit="1" customWidth="1"/>
    <col min="11268" max="11268" width="19.88671875" style="51" bestFit="1" customWidth="1"/>
    <col min="11269" max="11269" width="13.44140625" style="51" customWidth="1"/>
    <col min="11270" max="11270" width="16.44140625" style="51" bestFit="1" customWidth="1"/>
    <col min="11271" max="11271" width="19.88671875" style="51" bestFit="1" customWidth="1"/>
    <col min="11272" max="11272" width="12.44140625" style="51" customWidth="1"/>
    <col min="11273" max="11520" width="9.109375" style="51"/>
    <col min="11521" max="11521" width="3.44140625" style="51" customWidth="1"/>
    <col min="11522" max="11522" width="37.33203125" style="51" bestFit="1" customWidth="1"/>
    <col min="11523" max="11523" width="16.44140625" style="51" bestFit="1" customWidth="1"/>
    <col min="11524" max="11524" width="19.88671875" style="51" bestFit="1" customWidth="1"/>
    <col min="11525" max="11525" width="13.44140625" style="51" customWidth="1"/>
    <col min="11526" max="11526" width="16.44140625" style="51" bestFit="1" customWidth="1"/>
    <col min="11527" max="11527" width="19.88671875" style="51" bestFit="1" customWidth="1"/>
    <col min="11528" max="11528" width="12.44140625" style="51" customWidth="1"/>
    <col min="11529" max="11776" width="9.109375" style="51"/>
    <col min="11777" max="11777" width="3.44140625" style="51" customWidth="1"/>
    <col min="11778" max="11778" width="37.33203125" style="51" bestFit="1" customWidth="1"/>
    <col min="11779" max="11779" width="16.44140625" style="51" bestFit="1" customWidth="1"/>
    <col min="11780" max="11780" width="19.88671875" style="51" bestFit="1" customWidth="1"/>
    <col min="11781" max="11781" width="13.44140625" style="51" customWidth="1"/>
    <col min="11782" max="11782" width="16.44140625" style="51" bestFit="1" customWidth="1"/>
    <col min="11783" max="11783" width="19.88671875" style="51" bestFit="1" customWidth="1"/>
    <col min="11784" max="11784" width="12.44140625" style="51" customWidth="1"/>
    <col min="11785" max="12032" width="9.109375" style="51"/>
    <col min="12033" max="12033" width="3.44140625" style="51" customWidth="1"/>
    <col min="12034" max="12034" width="37.33203125" style="51" bestFit="1" customWidth="1"/>
    <col min="12035" max="12035" width="16.44140625" style="51" bestFit="1" customWidth="1"/>
    <col min="12036" max="12036" width="19.88671875" style="51" bestFit="1" customWidth="1"/>
    <col min="12037" max="12037" width="13.44140625" style="51" customWidth="1"/>
    <col min="12038" max="12038" width="16.44140625" style="51" bestFit="1" customWidth="1"/>
    <col min="12039" max="12039" width="19.88671875" style="51" bestFit="1" customWidth="1"/>
    <col min="12040" max="12040" width="12.44140625" style="51" customWidth="1"/>
    <col min="12041" max="12288" width="9.109375" style="51"/>
    <col min="12289" max="12289" width="3.44140625" style="51" customWidth="1"/>
    <col min="12290" max="12290" width="37.33203125" style="51" bestFit="1" customWidth="1"/>
    <col min="12291" max="12291" width="16.44140625" style="51" bestFit="1" customWidth="1"/>
    <col min="12292" max="12292" width="19.88671875" style="51" bestFit="1" customWidth="1"/>
    <col min="12293" max="12293" width="13.44140625" style="51" customWidth="1"/>
    <col min="12294" max="12294" width="16.44140625" style="51" bestFit="1" customWidth="1"/>
    <col min="12295" max="12295" width="19.88671875" style="51" bestFit="1" customWidth="1"/>
    <col min="12296" max="12296" width="12.44140625" style="51" customWidth="1"/>
    <col min="12297" max="12544" width="9.109375" style="51"/>
    <col min="12545" max="12545" width="3.44140625" style="51" customWidth="1"/>
    <col min="12546" max="12546" width="37.33203125" style="51" bestFit="1" customWidth="1"/>
    <col min="12547" max="12547" width="16.44140625" style="51" bestFit="1" customWidth="1"/>
    <col min="12548" max="12548" width="19.88671875" style="51" bestFit="1" customWidth="1"/>
    <col min="12549" max="12549" width="13.44140625" style="51" customWidth="1"/>
    <col min="12550" max="12550" width="16.44140625" style="51" bestFit="1" customWidth="1"/>
    <col min="12551" max="12551" width="19.88671875" style="51" bestFit="1" customWidth="1"/>
    <col min="12552" max="12552" width="12.44140625" style="51" customWidth="1"/>
    <col min="12553" max="12800" width="9.109375" style="51"/>
    <col min="12801" max="12801" width="3.44140625" style="51" customWidth="1"/>
    <col min="12802" max="12802" width="37.33203125" style="51" bestFit="1" customWidth="1"/>
    <col min="12803" max="12803" width="16.44140625" style="51" bestFit="1" customWidth="1"/>
    <col min="12804" max="12804" width="19.88671875" style="51" bestFit="1" customWidth="1"/>
    <col min="12805" max="12805" width="13.44140625" style="51" customWidth="1"/>
    <col min="12806" max="12806" width="16.44140625" style="51" bestFit="1" customWidth="1"/>
    <col min="12807" max="12807" width="19.88671875" style="51" bestFit="1" customWidth="1"/>
    <col min="12808" max="12808" width="12.44140625" style="51" customWidth="1"/>
    <col min="12809" max="13056" width="9.109375" style="51"/>
    <col min="13057" max="13057" width="3.44140625" style="51" customWidth="1"/>
    <col min="13058" max="13058" width="37.33203125" style="51" bestFit="1" customWidth="1"/>
    <col min="13059" max="13059" width="16.44140625" style="51" bestFit="1" customWidth="1"/>
    <col min="13060" max="13060" width="19.88671875" style="51" bestFit="1" customWidth="1"/>
    <col min="13061" max="13061" width="13.44140625" style="51" customWidth="1"/>
    <col min="13062" max="13062" width="16.44140625" style="51" bestFit="1" customWidth="1"/>
    <col min="13063" max="13063" width="19.88671875" style="51" bestFit="1" customWidth="1"/>
    <col min="13064" max="13064" width="12.44140625" style="51" customWidth="1"/>
    <col min="13065" max="13312" width="9.109375" style="51"/>
    <col min="13313" max="13313" width="3.44140625" style="51" customWidth="1"/>
    <col min="13314" max="13314" width="37.33203125" style="51" bestFit="1" customWidth="1"/>
    <col min="13315" max="13315" width="16.44140625" style="51" bestFit="1" customWidth="1"/>
    <col min="13316" max="13316" width="19.88671875" style="51" bestFit="1" customWidth="1"/>
    <col min="13317" max="13317" width="13.44140625" style="51" customWidth="1"/>
    <col min="13318" max="13318" width="16.44140625" style="51" bestFit="1" customWidth="1"/>
    <col min="13319" max="13319" width="19.88671875" style="51" bestFit="1" customWidth="1"/>
    <col min="13320" max="13320" width="12.44140625" style="51" customWidth="1"/>
    <col min="13321" max="13568" width="9.109375" style="51"/>
    <col min="13569" max="13569" width="3.44140625" style="51" customWidth="1"/>
    <col min="13570" max="13570" width="37.33203125" style="51" bestFit="1" customWidth="1"/>
    <col min="13571" max="13571" width="16.44140625" style="51" bestFit="1" customWidth="1"/>
    <col min="13572" max="13572" width="19.88671875" style="51" bestFit="1" customWidth="1"/>
    <col min="13573" max="13573" width="13.44140625" style="51" customWidth="1"/>
    <col min="13574" max="13574" width="16.44140625" style="51" bestFit="1" customWidth="1"/>
    <col min="13575" max="13575" width="19.88671875" style="51" bestFit="1" customWidth="1"/>
    <col min="13576" max="13576" width="12.44140625" style="51" customWidth="1"/>
    <col min="13577" max="13824" width="9.109375" style="51"/>
    <col min="13825" max="13825" width="3.44140625" style="51" customWidth="1"/>
    <col min="13826" max="13826" width="37.33203125" style="51" bestFit="1" customWidth="1"/>
    <col min="13827" max="13827" width="16.44140625" style="51" bestFit="1" customWidth="1"/>
    <col min="13828" max="13828" width="19.88671875" style="51" bestFit="1" customWidth="1"/>
    <col min="13829" max="13829" width="13.44140625" style="51" customWidth="1"/>
    <col min="13830" max="13830" width="16.44140625" style="51" bestFit="1" customWidth="1"/>
    <col min="13831" max="13831" width="19.88671875" style="51" bestFit="1" customWidth="1"/>
    <col min="13832" max="13832" width="12.44140625" style="51" customWidth="1"/>
    <col min="13833" max="14080" width="9.109375" style="51"/>
    <col min="14081" max="14081" width="3.44140625" style="51" customWidth="1"/>
    <col min="14082" max="14082" width="37.33203125" style="51" bestFit="1" customWidth="1"/>
    <col min="14083" max="14083" width="16.44140625" style="51" bestFit="1" customWidth="1"/>
    <col min="14084" max="14084" width="19.88671875" style="51" bestFit="1" customWidth="1"/>
    <col min="14085" max="14085" width="13.44140625" style="51" customWidth="1"/>
    <col min="14086" max="14086" width="16.44140625" style="51" bestFit="1" customWidth="1"/>
    <col min="14087" max="14087" width="19.88671875" style="51" bestFit="1" customWidth="1"/>
    <col min="14088" max="14088" width="12.44140625" style="51" customWidth="1"/>
    <col min="14089" max="14336" width="9.109375" style="51"/>
    <col min="14337" max="14337" width="3.44140625" style="51" customWidth="1"/>
    <col min="14338" max="14338" width="37.33203125" style="51" bestFit="1" customWidth="1"/>
    <col min="14339" max="14339" width="16.44140625" style="51" bestFit="1" customWidth="1"/>
    <col min="14340" max="14340" width="19.88671875" style="51" bestFit="1" customWidth="1"/>
    <col min="14341" max="14341" width="13.44140625" style="51" customWidth="1"/>
    <col min="14342" max="14342" width="16.44140625" style="51" bestFit="1" customWidth="1"/>
    <col min="14343" max="14343" width="19.88671875" style="51" bestFit="1" customWidth="1"/>
    <col min="14344" max="14344" width="12.44140625" style="51" customWidth="1"/>
    <col min="14345" max="14592" width="9.109375" style="51"/>
    <col min="14593" max="14593" width="3.44140625" style="51" customWidth="1"/>
    <col min="14594" max="14594" width="37.33203125" style="51" bestFit="1" customWidth="1"/>
    <col min="14595" max="14595" width="16.44140625" style="51" bestFit="1" customWidth="1"/>
    <col min="14596" max="14596" width="19.88671875" style="51" bestFit="1" customWidth="1"/>
    <col min="14597" max="14597" width="13.44140625" style="51" customWidth="1"/>
    <col min="14598" max="14598" width="16.44140625" style="51" bestFit="1" customWidth="1"/>
    <col min="14599" max="14599" width="19.88671875" style="51" bestFit="1" customWidth="1"/>
    <col min="14600" max="14600" width="12.44140625" style="51" customWidth="1"/>
    <col min="14601" max="14848" width="9.109375" style="51"/>
    <col min="14849" max="14849" width="3.44140625" style="51" customWidth="1"/>
    <col min="14850" max="14850" width="37.33203125" style="51" bestFit="1" customWidth="1"/>
    <col min="14851" max="14851" width="16.44140625" style="51" bestFit="1" customWidth="1"/>
    <col min="14852" max="14852" width="19.88671875" style="51" bestFit="1" customWidth="1"/>
    <col min="14853" max="14853" width="13.44140625" style="51" customWidth="1"/>
    <col min="14854" max="14854" width="16.44140625" style="51" bestFit="1" customWidth="1"/>
    <col min="14855" max="14855" width="19.88671875" style="51" bestFit="1" customWidth="1"/>
    <col min="14856" max="14856" width="12.44140625" style="51" customWidth="1"/>
    <col min="14857" max="15104" width="9.109375" style="51"/>
    <col min="15105" max="15105" width="3.44140625" style="51" customWidth="1"/>
    <col min="15106" max="15106" width="37.33203125" style="51" bestFit="1" customWidth="1"/>
    <col min="15107" max="15107" width="16.44140625" style="51" bestFit="1" customWidth="1"/>
    <col min="15108" max="15108" width="19.88671875" style="51" bestFit="1" customWidth="1"/>
    <col min="15109" max="15109" width="13.44140625" style="51" customWidth="1"/>
    <col min="15110" max="15110" width="16.44140625" style="51" bestFit="1" customWidth="1"/>
    <col min="15111" max="15111" width="19.88671875" style="51" bestFit="1" customWidth="1"/>
    <col min="15112" max="15112" width="12.44140625" style="51" customWidth="1"/>
    <col min="15113" max="15360" width="9.109375" style="51"/>
    <col min="15361" max="15361" width="3.44140625" style="51" customWidth="1"/>
    <col min="15362" max="15362" width="37.33203125" style="51" bestFit="1" customWidth="1"/>
    <col min="15363" max="15363" width="16.44140625" style="51" bestFit="1" customWidth="1"/>
    <col min="15364" max="15364" width="19.88671875" style="51" bestFit="1" customWidth="1"/>
    <col min="15365" max="15365" width="13.44140625" style="51" customWidth="1"/>
    <col min="15366" max="15366" width="16.44140625" style="51" bestFit="1" customWidth="1"/>
    <col min="15367" max="15367" width="19.88671875" style="51" bestFit="1" customWidth="1"/>
    <col min="15368" max="15368" width="12.44140625" style="51" customWidth="1"/>
    <col min="15369" max="15616" width="9.109375" style="51"/>
    <col min="15617" max="15617" width="3.44140625" style="51" customWidth="1"/>
    <col min="15618" max="15618" width="37.33203125" style="51" bestFit="1" customWidth="1"/>
    <col min="15619" max="15619" width="16.44140625" style="51" bestFit="1" customWidth="1"/>
    <col min="15620" max="15620" width="19.88671875" style="51" bestFit="1" customWidth="1"/>
    <col min="15621" max="15621" width="13.44140625" style="51" customWidth="1"/>
    <col min="15622" max="15622" width="16.44140625" style="51" bestFit="1" customWidth="1"/>
    <col min="15623" max="15623" width="19.88671875" style="51" bestFit="1" customWidth="1"/>
    <col min="15624" max="15624" width="12.44140625" style="51" customWidth="1"/>
    <col min="15625" max="15872" width="9.109375" style="51"/>
    <col min="15873" max="15873" width="3.44140625" style="51" customWidth="1"/>
    <col min="15874" max="15874" width="37.33203125" style="51" bestFit="1" customWidth="1"/>
    <col min="15875" max="15875" width="16.44140625" style="51" bestFit="1" customWidth="1"/>
    <col min="15876" max="15876" width="19.88671875" style="51" bestFit="1" customWidth="1"/>
    <col min="15877" max="15877" width="13.44140625" style="51" customWidth="1"/>
    <col min="15878" max="15878" width="16.44140625" style="51" bestFit="1" customWidth="1"/>
    <col min="15879" max="15879" width="19.88671875" style="51" bestFit="1" customWidth="1"/>
    <col min="15880" max="15880" width="12.44140625" style="51" customWidth="1"/>
    <col min="15881" max="16128" width="9.109375" style="51"/>
    <col min="16129" max="16129" width="3.44140625" style="51" customWidth="1"/>
    <col min="16130" max="16130" width="37.33203125" style="51" bestFit="1" customWidth="1"/>
    <col min="16131" max="16131" width="16.44140625" style="51" bestFit="1" customWidth="1"/>
    <col min="16132" max="16132" width="19.88671875" style="51" bestFit="1" customWidth="1"/>
    <col min="16133" max="16133" width="13.44140625" style="51" customWidth="1"/>
    <col min="16134" max="16134" width="16.44140625" style="51" bestFit="1" customWidth="1"/>
    <col min="16135" max="16135" width="19.88671875" style="51" bestFit="1" customWidth="1"/>
    <col min="16136" max="16136" width="12.44140625" style="51" customWidth="1"/>
    <col min="16137" max="16384" width="9.109375" style="51"/>
  </cols>
  <sheetData>
    <row r="1" spans="1:13" ht="21">
      <c r="B1" s="874"/>
      <c r="C1" s="874"/>
      <c r="D1" s="874"/>
      <c r="E1" s="874"/>
      <c r="F1" s="874"/>
      <c r="G1" s="874"/>
      <c r="H1" s="874"/>
    </row>
    <row r="2" spans="1:13" ht="21">
      <c r="B2" s="874"/>
      <c r="C2" s="874"/>
      <c r="D2" s="874"/>
      <c r="E2" s="874"/>
      <c r="F2" s="874"/>
      <c r="G2" s="874"/>
      <c r="H2" s="874"/>
    </row>
    <row r="3" spans="1:13" ht="21">
      <c r="A3" s="52" t="s">
        <v>133</v>
      </c>
      <c r="B3" s="154" t="s">
        <v>134</v>
      </c>
      <c r="C3" s="207"/>
      <c r="D3" s="207"/>
      <c r="E3" s="207"/>
      <c r="F3" s="207"/>
      <c r="G3" s="207"/>
      <c r="H3" s="207"/>
    </row>
    <row r="5" spans="1:13" ht="16.2" thickBot="1"/>
    <row r="6" spans="1:13">
      <c r="B6" s="54"/>
      <c r="C6" s="875" t="s">
        <v>1252</v>
      </c>
      <c r="D6" s="876"/>
      <c r="E6" s="877"/>
      <c r="F6" s="875" t="s">
        <v>771</v>
      </c>
      <c r="G6" s="876"/>
      <c r="H6" s="877"/>
    </row>
    <row r="7" spans="1:13">
      <c r="B7" s="55" t="s">
        <v>135</v>
      </c>
      <c r="C7" s="56" t="s">
        <v>13</v>
      </c>
      <c r="D7" s="57" t="s">
        <v>14</v>
      </c>
      <c r="E7" s="58" t="s">
        <v>84</v>
      </c>
      <c r="F7" s="56" t="s">
        <v>13</v>
      </c>
      <c r="G7" s="57" t="s">
        <v>14</v>
      </c>
      <c r="H7" s="58" t="s">
        <v>84</v>
      </c>
    </row>
    <row r="8" spans="1:13">
      <c r="B8" s="59" t="s">
        <v>136</v>
      </c>
      <c r="C8" s="56"/>
      <c r="D8" s="57"/>
      <c r="E8" s="58"/>
      <c r="F8" s="56"/>
      <c r="G8" s="57"/>
      <c r="H8" s="58"/>
    </row>
    <row r="9" spans="1:13">
      <c r="B9" s="55" t="s">
        <v>137</v>
      </c>
      <c r="C9" s="60">
        <f>205+15000+3300+11495+5000-1.246</f>
        <v>34998.754000000001</v>
      </c>
      <c r="D9" s="57">
        <f>6000-1000</f>
        <v>5000</v>
      </c>
      <c r="E9" s="58">
        <f t="shared" ref="E9:E16" si="0">SUM(C9:D9)</f>
        <v>39998.754000000001</v>
      </c>
      <c r="F9" s="60">
        <v>63380</v>
      </c>
      <c r="G9" s="57">
        <v>10000</v>
      </c>
      <c r="H9" s="58">
        <f t="shared" ref="H9:H20" si="1">SUM(F9:G9)</f>
        <v>73380</v>
      </c>
    </row>
    <row r="10" spans="1:13">
      <c r="B10" s="55" t="s">
        <v>138</v>
      </c>
      <c r="C10" s="60">
        <f>140000+10000+20000+2000+30000-2000</f>
        <v>200000</v>
      </c>
      <c r="D10" s="57"/>
      <c r="E10" s="58">
        <f t="shared" si="0"/>
        <v>200000</v>
      </c>
      <c r="F10" s="60">
        <v>172000</v>
      </c>
      <c r="G10" s="57" t="s">
        <v>404</v>
      </c>
      <c r="H10" s="58">
        <f t="shared" si="1"/>
        <v>172000</v>
      </c>
    </row>
    <row r="11" spans="1:13">
      <c r="B11" s="55" t="s">
        <v>873</v>
      </c>
      <c r="C11" s="60">
        <v>53000</v>
      </c>
      <c r="D11" s="57"/>
      <c r="E11" s="58">
        <f t="shared" si="0"/>
        <v>53000</v>
      </c>
      <c r="F11" s="60">
        <v>40000</v>
      </c>
      <c r="G11" s="57"/>
      <c r="H11" s="58">
        <f t="shared" si="1"/>
        <v>40000</v>
      </c>
    </row>
    <row r="12" spans="1:13">
      <c r="B12" s="55" t="s">
        <v>770</v>
      </c>
      <c r="C12" s="60"/>
      <c r="D12" s="66"/>
      <c r="E12" s="58"/>
      <c r="F12" s="60"/>
      <c r="G12" s="57">
        <v>10000</v>
      </c>
      <c r="H12" s="58">
        <f>SUM(F12:G12)</f>
        <v>10000</v>
      </c>
      <c r="M12" s="53"/>
    </row>
    <row r="13" spans="1:13" hidden="1">
      <c r="B13" s="55" t="s">
        <v>1253</v>
      </c>
      <c r="C13" s="266"/>
      <c r="D13" s="57">
        <f>15000+10000-5000-10000-10000</f>
        <v>0</v>
      </c>
      <c r="E13" s="58">
        <f>SUM(C13:D13)</f>
        <v>0</v>
      </c>
      <c r="F13" s="60"/>
      <c r="G13" s="57"/>
      <c r="H13" s="58">
        <f>SUM(F13:G13)</f>
        <v>0</v>
      </c>
      <c r="M13" s="53"/>
    </row>
    <row r="14" spans="1:13">
      <c r="B14" s="55" t="s">
        <v>233</v>
      </c>
      <c r="C14" s="266"/>
      <c r="D14" s="57">
        <f>10000+10000+5000</f>
        <v>25000</v>
      </c>
      <c r="E14" s="58">
        <f>SUM(C14:D14)</f>
        <v>25000</v>
      </c>
      <c r="F14" s="60"/>
      <c r="G14" s="57">
        <v>90000</v>
      </c>
      <c r="H14" s="58">
        <f>SUM(F14:G14)</f>
        <v>90000</v>
      </c>
      <c r="M14" s="53"/>
    </row>
    <row r="15" spans="1:13">
      <c r="B15" s="55" t="s">
        <v>139</v>
      </c>
      <c r="C15" s="60">
        <v>10000</v>
      </c>
      <c r="D15" s="57"/>
      <c r="E15" s="58">
        <f t="shared" si="0"/>
        <v>10000</v>
      </c>
      <c r="F15" s="60">
        <v>10000</v>
      </c>
      <c r="G15" s="57"/>
      <c r="H15" s="58">
        <f t="shared" si="1"/>
        <v>10000</v>
      </c>
    </row>
    <row r="16" spans="1:13" s="61" customFormat="1">
      <c r="B16" s="59" t="s">
        <v>140</v>
      </c>
      <c r="C16" s="62">
        <f>SUM(C9:C15)</f>
        <v>297998.75400000002</v>
      </c>
      <c r="D16" s="63">
        <f>SUM(D9:D15)</f>
        <v>30000</v>
      </c>
      <c r="E16" s="64">
        <f t="shared" si="0"/>
        <v>327998.75400000002</v>
      </c>
      <c r="F16" s="62">
        <f>SUM(F9:F15)</f>
        <v>285380</v>
      </c>
      <c r="G16" s="63">
        <f>SUM(G9:G15)</f>
        <v>110000</v>
      </c>
      <c r="H16" s="64">
        <f>SUM(H9:H15)</f>
        <v>395380</v>
      </c>
    </row>
    <row r="17" spans="1:11">
      <c r="B17" s="59" t="s">
        <v>141</v>
      </c>
      <c r="C17" s="60"/>
      <c r="D17" s="57"/>
      <c r="E17" s="58"/>
      <c r="F17" s="60"/>
      <c r="G17" s="57"/>
      <c r="H17" s="65">
        <f t="shared" si="1"/>
        <v>0</v>
      </c>
    </row>
    <row r="18" spans="1:11">
      <c r="B18" s="55" t="s">
        <v>1471</v>
      </c>
      <c r="C18" s="736"/>
      <c r="D18" s="57"/>
      <c r="E18" s="58">
        <f>SUM(C18:D18)</f>
        <v>0</v>
      </c>
      <c r="F18" s="60">
        <v>3545</v>
      </c>
      <c r="G18" s="57"/>
      <c r="H18" s="58">
        <f t="shared" si="1"/>
        <v>3545</v>
      </c>
    </row>
    <row r="19" spans="1:11">
      <c r="B19" s="55" t="s">
        <v>142</v>
      </c>
      <c r="C19" s="60">
        <f>17000+5000+2000</f>
        <v>24000</v>
      </c>
      <c r="D19" s="57"/>
      <c r="E19" s="58">
        <f>SUM(C19:D19)</f>
        <v>24000</v>
      </c>
      <c r="F19" s="60">
        <v>22933</v>
      </c>
      <c r="G19" s="57"/>
      <c r="H19" s="58">
        <f t="shared" si="1"/>
        <v>22933</v>
      </c>
    </row>
    <row r="20" spans="1:11">
      <c r="B20" s="55" t="s">
        <v>143</v>
      </c>
      <c r="C20" s="60">
        <f>C16-C18-C19</f>
        <v>273998.75400000002</v>
      </c>
      <c r="D20" s="66">
        <f>D16-D18-D19</f>
        <v>30000</v>
      </c>
      <c r="E20" s="58">
        <f>SUM(C20:D20)</f>
        <v>303998.75400000002</v>
      </c>
      <c r="F20" s="60">
        <v>258902</v>
      </c>
      <c r="G20" s="66">
        <v>110000</v>
      </c>
      <c r="H20" s="58">
        <f t="shared" si="1"/>
        <v>368902</v>
      </c>
    </row>
    <row r="21" spans="1:11" s="61" customFormat="1" ht="16.2" thickBot="1">
      <c r="B21" s="67" t="s">
        <v>144</v>
      </c>
      <c r="C21" s="68">
        <f>C16</f>
        <v>297998.75400000002</v>
      </c>
      <c r="D21" s="69">
        <f>D16</f>
        <v>30000</v>
      </c>
      <c r="E21" s="70">
        <f>SUM(C21:D21)</f>
        <v>327998.75400000002</v>
      </c>
      <c r="F21" s="68">
        <f>SUM(F18:F20)</f>
        <v>285380</v>
      </c>
      <c r="G21" s="69">
        <f>SUM(G18:G20)</f>
        <v>110000</v>
      </c>
      <c r="H21" s="70">
        <f>SUM(H18:H20)</f>
        <v>395380</v>
      </c>
    </row>
    <row r="23" spans="1:11">
      <c r="K23" s="53"/>
    </row>
    <row r="24" spans="1:11" s="763" customFormat="1">
      <c r="A24" s="51" t="s">
        <v>183</v>
      </c>
      <c r="B24" s="51" t="s">
        <v>1470</v>
      </c>
      <c r="C24" s="51"/>
      <c r="D24" s="53"/>
      <c r="E24" s="767"/>
      <c r="F24" s="767"/>
      <c r="G24" s="767"/>
      <c r="H24" s="767"/>
    </row>
  </sheetData>
  <mergeCells count="4">
    <mergeCell ref="B1:H1"/>
    <mergeCell ref="B2:H2"/>
    <mergeCell ref="C6:E6"/>
    <mergeCell ref="F6:H6"/>
  </mergeCells>
  <printOptions horizontalCentered="1"/>
  <pageMargins left="0" right="0" top="1.3779527559055118" bottom="0.55118110236220474" header="0.9055118110236221" footer="0.31496062992125984"/>
  <pageSetup paperSize="9" scale="85" orientation="landscape" r:id="rId1"/>
  <headerFooter>
    <oddHeader>&amp;C&amp;"David,מודגש"&amp;14&amp;Uהצעת התקציב הבלתי רגיל 
לשנת 2024</oddHeader>
    <oddFooter>&amp;L&amp;D&amp;Cעמוד &amp;P מתוך 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79</vt:i4>
      </vt:variant>
      <vt:variant>
        <vt:lpstr>טווחים בעלי שם</vt:lpstr>
      </vt:variant>
      <vt:variant>
        <vt:i4>103</vt:i4>
      </vt:variant>
    </vt:vector>
  </HeadingPairs>
  <TitlesOfParts>
    <vt:vector size="182" baseType="lpstr">
      <vt:lpstr>כותרת</vt:lpstr>
      <vt:lpstr>תוכן ענינים</vt:lpstr>
      <vt:lpstr>מבוא</vt:lpstr>
      <vt:lpstr>תקציב 2023</vt:lpstr>
      <vt:lpstr>תקציב 2024 </vt:lpstr>
      <vt:lpstr>תקציב 2024 פרקים</vt:lpstr>
      <vt:lpstr>תקציב 2024  אגפים </vt:lpstr>
      <vt:lpstr>תקציב 2024  מקורות </vt:lpstr>
      <vt:lpstr>תקציב 2024 קרנות הרשות</vt:lpstr>
      <vt:lpstr>תקציב 2024 סעיף 3.7-3.9</vt:lpstr>
      <vt:lpstr>תרשים אגפים</vt:lpstr>
      <vt:lpstr>ריכוז אגפים</vt:lpstr>
      <vt:lpstr>תרשים פרקים</vt:lpstr>
      <vt:lpstr>ריכוז פרקים</vt:lpstr>
      <vt:lpstr>פרוט מקורות אחרים</vt:lpstr>
      <vt:lpstr>תרשים מקורות מימון</vt:lpstr>
      <vt:lpstr>הנדסה 2024</vt:lpstr>
      <vt:lpstr>הנדסה 2024 </vt:lpstr>
      <vt:lpstr>תקציב הנדסה 2024</vt:lpstr>
      <vt:lpstr>תקציב הנדסה 2024 תאור</vt:lpstr>
      <vt:lpstr>תקציב הנדסה 2024 פרקים</vt:lpstr>
      <vt:lpstr>החברה לפיתוח 2024</vt:lpstr>
      <vt:lpstr>החב. לפיתוח 2024</vt:lpstr>
      <vt:lpstr>תקציב החברה לפיתוח 2024</vt:lpstr>
      <vt:lpstr>תקציב החברה לפיתוח 2023 תאור</vt:lpstr>
      <vt:lpstr>תקציב החברה לפיתוח 2023  פרקים</vt:lpstr>
      <vt:lpstr>תקציב החברה לפיתוח 2024 תאור</vt:lpstr>
      <vt:lpstr>תקציב החברה לפיתוח 2024 פרקים</vt:lpstr>
      <vt:lpstr>מינהל תפעול 2024</vt:lpstr>
      <vt:lpstr>מינהל תפעול  2024 </vt:lpstr>
      <vt:lpstr>תקציב מינהל תפעול 2024 </vt:lpstr>
      <vt:lpstr>תקציב מינהל תפעול 2023 תאור</vt:lpstr>
      <vt:lpstr>תקציב מינהל תפעול 2023 פרקים</vt:lpstr>
      <vt:lpstr>תקציב מינהל תפעול 2024 תאור</vt:lpstr>
      <vt:lpstr>תקציב מינהל תפעול 2024 פרקים</vt:lpstr>
      <vt:lpstr>מינהל חינוך 2024</vt:lpstr>
      <vt:lpstr>תקציב מינהל חינוך 2024 </vt:lpstr>
      <vt:lpstr>תקציב מינהל חינוך 2023 פרקים</vt:lpstr>
      <vt:lpstr>תקציב מינהל חינוך 2024 פרקים</vt:lpstr>
      <vt:lpstr>אגף ספורט 2024</vt:lpstr>
      <vt:lpstr>תקציב אגף ספורט 2024</vt:lpstr>
      <vt:lpstr>תקציב אגף ספורט 2024פרקים</vt:lpstr>
      <vt:lpstr>אגף תנוק 2024</vt:lpstr>
      <vt:lpstr>תקציב אגף תנוק 2024 </vt:lpstr>
      <vt:lpstr>תקציב אגף תנוס 2023  פרקים</vt:lpstr>
      <vt:lpstr>תקציב אגף תנוק 2024 פרקים</vt:lpstr>
      <vt:lpstr>החברה לתירות 2024</vt:lpstr>
      <vt:lpstr>תקציב החברה לתירות 2024 </vt:lpstr>
      <vt:lpstr>תקציב החברה לתירות 2023 פרקים</vt:lpstr>
      <vt:lpstr>תקציב החברה לתירות 2024 פרקים</vt:lpstr>
      <vt:lpstr>אגף תקשוב ומע. מידע 2024</vt:lpstr>
      <vt:lpstr>תקציב אגף המיחשוב 2024 </vt:lpstr>
      <vt:lpstr>תקציב אגף המיחשוב 2023 פרקים</vt:lpstr>
      <vt:lpstr>תקציב אגף המיחשוב 2024 פרקים</vt:lpstr>
      <vt:lpstr>אגף נכסים וביטוח 2024</vt:lpstr>
      <vt:lpstr>תקציב אגף נכסים וביטוח 2024</vt:lpstr>
      <vt:lpstr>תקציב אגף נכסים וביטוח 2023 פרק</vt:lpstr>
      <vt:lpstr>תקציב אגף נכסים וביטוח 2024 פרק</vt:lpstr>
      <vt:lpstr>מינהל כללי 2024</vt:lpstr>
      <vt:lpstr>תקציב איכות הסביבה 2024  </vt:lpstr>
      <vt:lpstr>תקציב איכות הסביבה 2024 פרקים</vt:lpstr>
      <vt:lpstr>תקציב מינהל כללי 2024  </vt:lpstr>
      <vt:lpstr>תקציב מינהל כללי 2023 פרקים</vt:lpstr>
      <vt:lpstr>תקציב מינהל כללי 2023  תאור</vt:lpstr>
      <vt:lpstr>תקציב מינהל כללי 2024 פרקים</vt:lpstr>
      <vt:lpstr>תקציב 2023 - ביצוע</vt:lpstr>
      <vt:lpstr>ריכוז אגפים 2023</vt:lpstr>
      <vt:lpstr>תקציב הנדסה 2023 </vt:lpstr>
      <vt:lpstr>תקציב החברה לפיתוח 2023 </vt:lpstr>
      <vt:lpstr>תקציב מינהל תפעול 2023 </vt:lpstr>
      <vt:lpstr>תקציב מינהל חינוך 2023 </vt:lpstr>
      <vt:lpstr>תקציב אגף תנוס 2023 </vt:lpstr>
      <vt:lpstr>תקציב החברה לתירות 2023 </vt:lpstr>
      <vt:lpstr>תקציב אגף המיחשוב 2023 </vt:lpstr>
      <vt:lpstr>תקציב אגף נכסים וביטוח 2023</vt:lpstr>
      <vt:lpstr>תקציב מינהל כללי 2023 </vt:lpstr>
      <vt:lpstr>עדכוני תקציב 2023</vt:lpstr>
      <vt:lpstr>פרויקטים החב. לפיתוח </vt:lpstr>
      <vt:lpstr>סגירה בתקציב 2024 </vt:lpstr>
      <vt:lpstr>'סגירה בתקציב 2024 '!WPrint_Area_W</vt:lpstr>
      <vt:lpstr>'עדכוני תקציב 2023'!WPrint_Area_W</vt:lpstr>
      <vt:lpstr>'פרוט מקורות אחרים'!WPrint_Area_W</vt:lpstr>
      <vt:lpstr>'ריכוז אגפים'!WPrint_Area_W</vt:lpstr>
      <vt:lpstr>'ריכוז אגפים 2023'!WPrint_Area_W</vt:lpstr>
      <vt:lpstr>'ריכוז פרקים'!WPrint_Area_W</vt:lpstr>
      <vt:lpstr>'תקציב 2024 קרנות הרשות'!WPrint_Area_W</vt:lpstr>
      <vt:lpstr>'תקציב אגף המיחשוב 2023 '!WPrint_Area_W</vt:lpstr>
      <vt:lpstr>'תקציב אגף המיחשוב 2023 פרקים'!WPrint_Area_W</vt:lpstr>
      <vt:lpstr>'תקציב אגף המיחשוב 2024 '!WPrint_Area_W</vt:lpstr>
      <vt:lpstr>'תקציב אגף המיחשוב 2024 פרקים'!WPrint_Area_W</vt:lpstr>
      <vt:lpstr>'תקציב אגף נכסים וביטוח 2023'!WPrint_Area_W</vt:lpstr>
      <vt:lpstr>'תקציב אגף נכסים וביטוח 2023 פרק'!WPrint_Area_W</vt:lpstr>
      <vt:lpstr>'תקציב אגף נכסים וביטוח 2024'!WPrint_Area_W</vt:lpstr>
      <vt:lpstr>'תקציב אגף נכסים וביטוח 2024 פרק'!WPrint_Area_W</vt:lpstr>
      <vt:lpstr>'תקציב אגף ספורט 2024'!WPrint_Area_W</vt:lpstr>
      <vt:lpstr>'תקציב אגף ספורט 2024פרקים'!WPrint_Area_W</vt:lpstr>
      <vt:lpstr>'תקציב אגף תנוס 2023 '!WPrint_Area_W</vt:lpstr>
      <vt:lpstr>'תקציב אגף תנוס 2023  פרקים'!WPrint_Area_W</vt:lpstr>
      <vt:lpstr>'תקציב אגף תנוק 2024 '!WPrint_Area_W</vt:lpstr>
      <vt:lpstr>'תקציב אגף תנוק 2024 פרקים'!WPrint_Area_W</vt:lpstr>
      <vt:lpstr>'תקציב איכות הסביבה 2024  '!WPrint_Area_W</vt:lpstr>
      <vt:lpstr>'תקציב איכות הסביבה 2024 פרקים'!WPrint_Area_W</vt:lpstr>
      <vt:lpstr>'תקציב החברה לפיתוח 2023 '!WPrint_Area_W</vt:lpstr>
      <vt:lpstr>'תקציב החברה לפיתוח 2023  פרקים'!WPrint_Area_W</vt:lpstr>
      <vt:lpstr>'תקציב החברה לפיתוח 2023 תאור'!WPrint_Area_W</vt:lpstr>
      <vt:lpstr>'תקציב החברה לפיתוח 2024'!WPrint_Area_W</vt:lpstr>
      <vt:lpstr>'תקציב החברה לפיתוח 2024 פרקים'!WPrint_Area_W</vt:lpstr>
      <vt:lpstr>'תקציב החברה לפיתוח 2024 תאור'!WPrint_Area_W</vt:lpstr>
      <vt:lpstr>'תקציב החברה לתירות 2023 '!WPrint_Area_W</vt:lpstr>
      <vt:lpstr>'תקציב החברה לתירות 2023 פרקים'!WPrint_Area_W</vt:lpstr>
      <vt:lpstr>'תקציב החברה לתירות 2024 '!WPrint_Area_W</vt:lpstr>
      <vt:lpstr>'תקציב החברה לתירות 2024 פרקים'!WPrint_Area_W</vt:lpstr>
      <vt:lpstr>'תקציב הנדסה 2023 '!WPrint_Area_W</vt:lpstr>
      <vt:lpstr>'תקציב הנדסה 2024'!WPrint_Area_W</vt:lpstr>
      <vt:lpstr>'תקציב הנדסה 2024 פרקים'!WPrint_Area_W</vt:lpstr>
      <vt:lpstr>'תקציב הנדסה 2024 תאור'!WPrint_Area_W</vt:lpstr>
      <vt:lpstr>'תקציב מינהל חינוך 2023 '!WPrint_Area_W</vt:lpstr>
      <vt:lpstr>'תקציב מינהל חינוך 2023 פרקים'!WPrint_Area_W</vt:lpstr>
      <vt:lpstr>'תקציב מינהל חינוך 2024 '!WPrint_Area_W</vt:lpstr>
      <vt:lpstr>'תקציב מינהל חינוך 2024 פרקים'!WPrint_Area_W</vt:lpstr>
      <vt:lpstr>'תקציב מינהל כללי 2023 '!WPrint_Area_W</vt:lpstr>
      <vt:lpstr>'תקציב מינהל כללי 2023  תאור'!WPrint_Area_W</vt:lpstr>
      <vt:lpstr>'תקציב מינהל כללי 2023 פרקים'!WPrint_Area_W</vt:lpstr>
      <vt:lpstr>'תקציב מינהל כללי 2024  '!WPrint_Area_W</vt:lpstr>
      <vt:lpstr>'תקציב מינהל כללי 2024 פרקים'!WPrint_Area_W</vt:lpstr>
      <vt:lpstr>'תקציב מינהל תפעול 2023 '!WPrint_Area_W</vt:lpstr>
      <vt:lpstr>'תקציב מינהל תפעול 2023 פרקים'!WPrint_Area_W</vt:lpstr>
      <vt:lpstr>'תקציב מינהל תפעול 2023 תאור'!WPrint_Area_W</vt:lpstr>
      <vt:lpstr>'תקציב מינהל תפעול 2024 '!WPrint_Area_W</vt:lpstr>
      <vt:lpstr>'תקציב מינהל תפעול 2024 פרקים'!WPrint_Area_W</vt:lpstr>
      <vt:lpstr>'תקציב מינהל תפעול 2024 תאור'!WPrint_Area_W</vt:lpstr>
      <vt:lpstr>'סגירה בתקציב 2024 '!WPrint_TitlesW</vt:lpstr>
      <vt:lpstr>'עדכוני תקציב 2023'!WPrint_TitlesW</vt:lpstr>
      <vt:lpstr>'פרויקטים החב. לפיתוח '!WPrint_TitlesW</vt:lpstr>
      <vt:lpstr>'ריכוז אגפים'!WPrint_TitlesW</vt:lpstr>
      <vt:lpstr>'ריכוז אגפים 2023'!WPrint_TitlesW</vt:lpstr>
      <vt:lpstr>'ריכוז פרקים'!WPrint_TitlesW</vt:lpstr>
      <vt:lpstr>'תקציב אגף המיחשוב 2023 '!WPrint_TitlesW</vt:lpstr>
      <vt:lpstr>'תקציב אגף המיחשוב 2023 פרקים'!WPrint_TitlesW</vt:lpstr>
      <vt:lpstr>'תקציב אגף המיחשוב 2024 '!WPrint_TitlesW</vt:lpstr>
      <vt:lpstr>'תקציב אגף המיחשוב 2024 פרקים'!WPrint_TitlesW</vt:lpstr>
      <vt:lpstr>'תקציב אגף נכסים וביטוח 2023'!WPrint_TitlesW</vt:lpstr>
      <vt:lpstr>'תקציב אגף נכסים וביטוח 2023 פרק'!WPrint_TitlesW</vt:lpstr>
      <vt:lpstr>'תקציב אגף נכסים וביטוח 2024'!WPrint_TitlesW</vt:lpstr>
      <vt:lpstr>'תקציב אגף נכסים וביטוח 2024 פרק'!WPrint_TitlesW</vt:lpstr>
      <vt:lpstr>'תקציב אגף ספורט 2024'!WPrint_TitlesW</vt:lpstr>
      <vt:lpstr>'תקציב אגף ספורט 2024פרקים'!WPrint_TitlesW</vt:lpstr>
      <vt:lpstr>'תקציב אגף תנוס 2023 '!WPrint_TitlesW</vt:lpstr>
      <vt:lpstr>'תקציב אגף תנוס 2023  פרקים'!WPrint_TitlesW</vt:lpstr>
      <vt:lpstr>'תקציב אגף תנוק 2024 '!WPrint_TitlesW</vt:lpstr>
      <vt:lpstr>'תקציב אגף תנוק 2024 פרקים'!WPrint_TitlesW</vt:lpstr>
      <vt:lpstr>'תקציב איכות הסביבה 2024  '!WPrint_TitlesW</vt:lpstr>
      <vt:lpstr>'תקציב איכות הסביבה 2024 פרקים'!WPrint_TitlesW</vt:lpstr>
      <vt:lpstr>'תקציב החברה לפיתוח 2023 '!WPrint_TitlesW</vt:lpstr>
      <vt:lpstr>'תקציב החברה לפיתוח 2023  פרקים'!WPrint_TitlesW</vt:lpstr>
      <vt:lpstr>'תקציב החברה לפיתוח 2023 תאור'!WPrint_TitlesW</vt:lpstr>
      <vt:lpstr>'תקציב החברה לפיתוח 2024'!WPrint_TitlesW</vt:lpstr>
      <vt:lpstr>'תקציב החברה לפיתוח 2024 פרקים'!WPrint_TitlesW</vt:lpstr>
      <vt:lpstr>'תקציב החברה לפיתוח 2024 תאור'!WPrint_TitlesW</vt:lpstr>
      <vt:lpstr>'תקציב החברה לתירות 2023 '!WPrint_TitlesW</vt:lpstr>
      <vt:lpstr>'תקציב החברה לתירות 2023 פרקים'!WPrint_TitlesW</vt:lpstr>
      <vt:lpstr>'תקציב החברה לתירות 2024 '!WPrint_TitlesW</vt:lpstr>
      <vt:lpstr>'תקציב החברה לתירות 2024 פרקים'!WPrint_TitlesW</vt:lpstr>
      <vt:lpstr>'תקציב הנדסה 2023 '!WPrint_TitlesW</vt:lpstr>
      <vt:lpstr>'תקציב הנדסה 2024'!WPrint_TitlesW</vt:lpstr>
      <vt:lpstr>'תקציב הנדסה 2024 פרקים'!WPrint_TitlesW</vt:lpstr>
      <vt:lpstr>'תקציב הנדסה 2024 תאור'!WPrint_TitlesW</vt:lpstr>
      <vt:lpstr>'תקציב מינהל חינוך 2023 '!WPrint_TitlesW</vt:lpstr>
      <vt:lpstr>'תקציב מינהל חינוך 2023 פרקים'!WPrint_TitlesW</vt:lpstr>
      <vt:lpstr>'תקציב מינהל חינוך 2024 '!WPrint_TitlesW</vt:lpstr>
      <vt:lpstr>'תקציב מינהל חינוך 2024 פרקים'!WPrint_TitlesW</vt:lpstr>
      <vt:lpstr>'תקציב מינהל כללי 2023 '!WPrint_TitlesW</vt:lpstr>
      <vt:lpstr>'תקציב מינהל כללי 2023  תאור'!WPrint_TitlesW</vt:lpstr>
      <vt:lpstr>'תקציב מינהל כללי 2023 פרקים'!WPrint_TitlesW</vt:lpstr>
      <vt:lpstr>'תקציב מינהל כללי 2024  '!WPrint_TitlesW</vt:lpstr>
      <vt:lpstr>'תקציב מינהל כללי 2024 פרקים'!WPrint_TitlesW</vt:lpstr>
      <vt:lpstr>'תקציב מינהל תפעול 2023 '!WPrint_TitlesW</vt:lpstr>
      <vt:lpstr>'תקציב מינהל תפעול 2023 פרקים'!WPrint_TitlesW</vt:lpstr>
      <vt:lpstr>'תקציב מינהל תפעול 2023 תאור'!WPrint_TitlesW</vt:lpstr>
      <vt:lpstr>'תקציב מינהל תפעול 2024 '!WPrint_TitlesW</vt:lpstr>
      <vt:lpstr>'תקציב מינהל תפעול 2024 פרקים'!WPrint_TitlesW</vt:lpstr>
      <vt:lpstr>'תקציב מינהל תפעול 2024 תאור'!WPrint_TitlesW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הצעת התקציב הבלתי הרגיל לשנת 2024</dc:title>
  <dc:creator>Gizbarut-Orna Goldfriend</dc:creator>
  <cp:lastModifiedBy>Gizbarut-Orna Goldfriend</cp:lastModifiedBy>
  <cp:lastPrinted>2024-05-02T07:55:42Z</cp:lastPrinted>
  <dcterms:created xsi:type="dcterms:W3CDTF">2014-10-19T04:47:46Z</dcterms:created>
  <dcterms:modified xsi:type="dcterms:W3CDTF">2024-05-02T08:20:46Z</dcterms:modified>
</cp:coreProperties>
</file>